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defaultThemeVersion="124226"/>
  <bookViews>
    <workbookView xWindow="0" yWindow="5535" windowWidth="15390" windowHeight="5505" tabRatio="827" firstSheet="8" activeTab="13"/>
  </bookViews>
  <sheets>
    <sheet name="员工流失率" sheetId="28" r:id="rId1"/>
    <sheet name="犹豫期内电话回访成功率" sheetId="29" r:id="rId2"/>
    <sheet name="新契约回访完成率" sheetId="30" r:id="rId3"/>
    <sheet name="续期收费率" sheetId="32" r:id="rId4"/>
    <sheet name="退撤保率" sheetId="33" r:id="rId5"/>
    <sheet name="总公司绩效-II" sheetId="27" r:id="rId6"/>
    <sheet name="总公司绩效-I" sheetId="26" r:id="rId7"/>
    <sheet name="分公司绩效" sheetId="25" r:id="rId8"/>
    <sheet name="目录" sheetId="9" r:id="rId9"/>
    <sheet name="绩效总分" sheetId="34" r:id="rId10"/>
    <sheet name="FM02-分支机构封面页" sheetId="21" r:id="rId11"/>
    <sheet name="权重" sheetId="24" r:id="rId12"/>
    <sheet name="OR04-分公司销售、承保、保全" sheetId="18" r:id="rId13"/>
    <sheet name="OR08-分公司理赔" sheetId="19" r:id="rId14"/>
    <sheet name="单证遗失情况" sheetId="22" state="hidden" r:id="rId15"/>
    <sheet name="绩效评分汇总页" sheetId="23" state="hidden" r:id="rId16"/>
    <sheet name="OR13-分公司财务管理" sheetId="20" r:id="rId17"/>
    <sheet name="OR02-销售承保" sheetId="2" r:id="rId18"/>
    <sheet name="OR06-理赔保全" sheetId="3" r:id="rId19"/>
    <sheet name="OR12-财务管理" sheetId="5" r:id="rId20"/>
    <sheet name="OR10-资金运用" sheetId="4" r:id="rId21"/>
    <sheet name="OR18-合规风险" sheetId="7" r:id="rId22"/>
    <sheet name="OR15-准备金再保险" sheetId="6" r:id="rId23"/>
    <sheet name="RR01-声誉风险" sheetId="8" r:id="rId24"/>
    <sheet name="信息系统" sheetId="12" r:id="rId25"/>
    <sheet name="案件管理" sheetId="16" r:id="rId26"/>
    <sheet name="流动性风险" sheetId="10" r:id="rId27"/>
    <sheet name="公司治理" sheetId="11" r:id="rId28"/>
    <sheet name="战略风险" sheetId="15" r:id="rId29"/>
    <sheet name="Sheet1" sheetId="35" r:id="rId30"/>
  </sheets>
  <externalReferences>
    <externalReference r:id="rId31"/>
    <externalReference r:id="rId32"/>
    <externalReference r:id="rId33"/>
  </externalReferences>
  <definedNames>
    <definedName name="_xlnm._FilterDatabase" localSheetId="17" hidden="1">'OR02-销售承保'!$A$3:$BB$45</definedName>
    <definedName name="_xlnm._FilterDatabase" localSheetId="12" hidden="1">'OR04-分公司销售、承保、保全'!$A$1:$Z$84</definedName>
    <definedName name="_xlnm._FilterDatabase" localSheetId="18" hidden="1">'OR06-理赔保全'!$A$3:$AA$28</definedName>
    <definedName name="_xlnm._FilterDatabase" localSheetId="13" hidden="1">'OR08-分公司理赔'!$A$3:$CJ$49</definedName>
    <definedName name="_xlnm._FilterDatabase" localSheetId="20" hidden="1">'OR10-资金运用'!$A$3:$AL$66</definedName>
    <definedName name="_xlnm._FilterDatabase" localSheetId="19" hidden="1">'OR12-财务管理'!$A$3:$AI$48</definedName>
    <definedName name="_xlnm._FilterDatabase" localSheetId="16" hidden="1">'OR13-分公司财务管理'!$A$3:$DO$65</definedName>
    <definedName name="_xlnm._FilterDatabase" localSheetId="22" hidden="1">'OR15-准备金再保险'!$C$3:$V$19</definedName>
    <definedName name="_xlnm._FilterDatabase" localSheetId="21" hidden="1">'OR18-合规风险'!$C$3:$P$23</definedName>
    <definedName name="_xlnm._FilterDatabase" localSheetId="23" hidden="1">'RR01-声誉风险'!$C$3:$K$20</definedName>
    <definedName name="_xlnm._FilterDatabase" localSheetId="25" hidden="1">案件管理!$F$2:$M$21</definedName>
    <definedName name="_xlnm._FilterDatabase" localSheetId="27" hidden="1">公司治理!$A$3:$M$96</definedName>
    <definedName name="_xlnm._FilterDatabase" localSheetId="24" hidden="1">信息系统!$A$2:$L$137</definedName>
    <definedName name="_xlnm._FilterDatabase" localSheetId="3" hidden="1">续期收费率!$A$1:$L$1</definedName>
    <definedName name="_xlnm._FilterDatabase" localSheetId="28" hidden="1">战略风险!$A$2:$F$32</definedName>
    <definedName name="_xlnm._FilterDatabase" localSheetId="6" hidden="1">'总公司绩效-I'!$D$133:$D$137</definedName>
    <definedName name="_xlnm._FilterDatabase" localSheetId="5" hidden="1">'总公司绩效-II'!$A$1:$M$84</definedName>
    <definedName name="boolean" localSheetId="25">'[1]Database-下拉框'!$B$2:$B$3</definedName>
    <definedName name="boolean" localSheetId="28">'[1]Database-下拉框'!$B$2:$B$3</definedName>
    <definedName name="LR01_D1.1.1_报告期的实际净现金流" localSheetId="25">'[2]Database-分值计算'!$B$917:$C$918</definedName>
    <definedName name="LR01_D1.1.1_报告期的实际净现金流" localSheetId="28">'[2]Database-分值计算'!$B$917:$C$918</definedName>
    <definedName name="LR01_D1.1.2.1_在基本情景下未来预计净现金流_财产险和再保险公司" localSheetId="25">'[2]Database-分值计算'!$B$919:$C$920</definedName>
    <definedName name="LR01_D1.1.2.1_在基本情景下未来预计净现金流_财产险和再保险公司" localSheetId="28">'[2]Database-分值计算'!$B$919:$C$920</definedName>
    <definedName name="LR01_D1.1.2.3_在基本情景下未来预计净现金流_人身险公司_报告日后第1年" localSheetId="25">'[2]Database-分值计算'!$B$921:$C$922</definedName>
    <definedName name="LR01_D1.1.2.3_在基本情景下未来预计净现金流_人身险公司_报告日后第1年" localSheetId="28">'[2]Database-分值计算'!$B$921:$C$922</definedName>
    <definedName name="LR01_D1.1.2.4_在基本情景下未来预计净现金流_人身险公司_报告日后第2年和第3年" localSheetId="25">'[2]Database-分值计算'!$B$923:$C$924</definedName>
    <definedName name="LR01_D1.1.2.4_在基本情景下未来预计净现金流_人身险公司_报告日后第2年和第3年" localSheetId="28">'[2]Database-分值计算'!$B$923:$C$924</definedName>
    <definedName name="LR01_D1.1.3.1_在压力情景下未来预计净现金流_财产险和再保险公司" localSheetId="25">'[2]Database-分值计算'!$B$925:$C$926</definedName>
    <definedName name="LR01_D1.1.3.1_在压力情景下未来预计净现金流_财产险和再保险公司" localSheetId="28">'[2]Database-分值计算'!$B$925:$C$926</definedName>
    <definedName name="LR01_D1.1.3.3_在压力情景下未来预计净现金流_人身险公司_报告日后第1年" localSheetId="25">'[2]Database-分值计算'!$B$927:$C$928</definedName>
    <definedName name="LR01_D1.1.3.3_在压力情景下未来预计净现金流_人身险公司_报告日后第1年" localSheetId="28">'[2]Database-分值计算'!$B$927:$C$928</definedName>
    <definedName name="LR01_D1.1.3.4_在压力情景下未来预计净现金流_人身险公司_报告日后第2年和第3年" localSheetId="25">'[2]Database-分值计算'!$B$929:$C$930</definedName>
    <definedName name="LR01_D1.1.3.4_在压力情景下未来预计净现金流_人身险公司_报告日后第2年和第3年" localSheetId="28">'[2]Database-分值计算'!$B$929:$C$930</definedName>
    <definedName name="LR01_D1.2.2_综合流动比率_财产险和再保险公司" localSheetId="25">'[2]Database-分值计算'!$B$931:$C$932</definedName>
    <definedName name="LR01_D1.2.2_综合流动比率_财产险和再保险公司" localSheetId="28">'[2]Database-分值计算'!$B$931:$C$932</definedName>
    <definedName name="LR01_D1.2.4_综合流动比率_人身险公司" localSheetId="25">'[2]Database-分值计算'!$B$933:$C$934</definedName>
    <definedName name="LR01_D1.2.4_综合流动比率_人身险公司" localSheetId="28">'[2]Database-分值计算'!$B$933:$C$934</definedName>
    <definedName name="LR01_D1.3_流动性覆盖率" localSheetId="25">'[2]Database-分值计算'!$B$935:$C$939</definedName>
    <definedName name="LR01_D1.3_流动性覆盖率" localSheetId="28">'[2]Database-分值计算'!$B$935:$C$939</definedName>
    <definedName name="OR01_D1.1.1_销售人员管理情况" localSheetId="25">'[2]Database-分值计算'!$B$2:$C$4</definedName>
    <definedName name="OR01_D1.1.1_销售人员管理情况" localSheetId="28">'[2]Database-分值计算'!$B$2:$C$4</definedName>
    <definedName name="OR01_D1.1.2_核保人员管理情况" localSheetId="25">'[2]Database-分值计算'!$B$5:$C$7</definedName>
    <definedName name="OR01_D1.1.2_核保人员管理情况" localSheetId="28">'[2]Database-分值计算'!$B$5:$C$7</definedName>
    <definedName name="OR01_D1.2.1_核保授权管理建设情况" localSheetId="25">'[2]Database-分值计算'!$B$8:$C$10</definedName>
    <definedName name="OR01_D1.2.1_核保授权管理建设情况" localSheetId="28">'[2]Database-分值计算'!$B$8:$C$10</definedName>
    <definedName name="OR01_D2.1.1_合作中介机构资质完备率" localSheetId="25">'[2]Database-分值计算'!$B$11:$C$14</definedName>
    <definedName name="OR01_D2.1.1_合作中介机构资质完备率" localSheetId="28">'[2]Database-分值计算'!$B$11:$C$14</definedName>
    <definedName name="OR01_D2.1.2_中介代理协议签订合格率" localSheetId="25">'[2]Database-分值计算'!$B$15:$C$18</definedName>
    <definedName name="OR01_D2.1.2_中介代理协议签订合格率" localSheetId="28">'[2]Database-分值计算'!$B$15:$C$18</definedName>
    <definedName name="OR01_D2.1.3_手续费跟单率" localSheetId="25">'[2]Database-分值计算'!$B$19:$C$22</definedName>
    <definedName name="OR01_D2.1.3_手续费跟单率" localSheetId="28">'[2]Database-分值计算'!$B$19:$C$22</definedName>
    <definedName name="OR01_D2.2.1.1_对需审批的保险条款和费率执行情况" localSheetId="25">'[2]Database-分值计算'!$B$23:$C$24</definedName>
    <definedName name="OR01_D2.2.1.1_对需审批的保险条款和费率执行情况" localSheetId="28">'[2]Database-分值计算'!$B$23:$C$24</definedName>
    <definedName name="OR01_D2.2.1.2_对不需审批的保险条款和费率执行情况" localSheetId="25">'[2]Database-分值计算'!$B$25:$C$26</definedName>
    <definedName name="OR01_D2.2.1.2_对不需审批的保险条款和费率执行情况" localSheetId="28">'[2]Database-分值计算'!$B$25:$C$26</definedName>
    <definedName name="OR01_D2.2.1.3_经保监会批准或备案的保险条款和费率的执行情况" localSheetId="25">'[2]Database-分值计算'!$B$27:$C$28</definedName>
    <definedName name="OR01_D2.2.1.3_经保监会批准或备案的保险条款和费率的执行情况" localSheetId="28">'[2]Database-分值计算'!$B$27:$C$28</definedName>
    <definedName name="OR01_D2.2.4_签单日期晚于起保日期的保费_当期总保费" localSheetId="25">'[2]Database-分值计算'!$B$29:$C$32</definedName>
    <definedName name="OR01_D2.2.4_签单日期晚于起保日期的保费_当期总保费" localSheetId="28">'[2]Database-分值计算'!$B$29:$C$32</definedName>
    <definedName name="OR01_D2.3_承保档案管理情况" localSheetId="25">'[2]Database-分值计算'!$B$33:$C$35</definedName>
    <definedName name="OR01_D2.3_承保档案管理情况" localSheetId="28">'[2]Database-分值计算'!$B$33:$C$35</definedName>
    <definedName name="OR01_D2.4.1_符合产品特点的应收保费管理细则制定情况" localSheetId="25">'[2]Database-分值计算'!$B$36:$C$37</definedName>
    <definedName name="OR01_D2.4.1_符合产品特点的应收保费管理细则制定情况" localSheetId="28">'[2]Database-分值计算'!$B$36:$C$37</definedName>
    <definedName name="OR01_D2.4.2_根据应收保费管理细则实施应收保费的日常管理情况" localSheetId="25">'[2]Database-分值计算'!$B$38:$C$39</definedName>
    <definedName name="OR01_D2.4.2_根据应收保费管理细则实施应收保费的日常管理情况" localSheetId="28">'[2]Database-分值计算'!$B$38:$C$39</definedName>
    <definedName name="OR01_D2.4.3_对应收账龄超过3个月的应收保费开展催收情况" localSheetId="25">'[2]Database-分值计算'!$B$40:$C$41</definedName>
    <definedName name="OR01_D2.4.3_对应收账龄超过3个月的应收保费开展催收情况" localSheetId="28">'[2]Database-分值计算'!$B$40:$C$41</definedName>
    <definedName name="OR01_D2.4.4_总公司应收保费考核开展情况" localSheetId="25">'[2]Database-分值计算'!$B$42:$C$43</definedName>
    <definedName name="OR01_D2.4.4_总公司应收保费考核开展情况" localSheetId="28">'[2]Database-分值计算'!$B$42:$C$43</definedName>
    <definedName name="OR01_D2.5.1_利用广告后其他宣传方式对保险条款内容和服务质量等做引人误解的宣传情况" localSheetId="25">'[2]Database-分值计算'!$B$44:$C$45</definedName>
    <definedName name="OR01_D2.5.1_利用广告后其他宣传方式对保险条款内容和服务质量等做引人误解的宣传情况" localSheetId="28">'[2]Database-分值计算'!$B$44:$C$45</definedName>
    <definedName name="OR01_D2.5.2_在销售活动中阻碍消费者履行如实告知义务或诱导其不履行如实告知义务情况" localSheetId="25">'[2]Database-分值计算'!$B$46:$C$47</definedName>
    <definedName name="OR01_D2.5.2_在销售活动中阻碍消费者履行如实告知义务或诱导其不履行如实告知义务情况" localSheetId="28">'[2]Database-分值计算'!$B$46:$C$47</definedName>
    <definedName name="OR01_D2.5.3_夸大保险产品保障情况" localSheetId="25">'[2]Database-分值计算'!$B$48:$C$49</definedName>
    <definedName name="OR01_D2.5.3_夸大保险产品保障情况" localSheetId="28">'[2]Database-分值计算'!$B$48:$C$49</definedName>
    <definedName name="OR01_D2.5.4_隐瞒合同重要内容如免责退保等内容情况" localSheetId="25">'[2]Database-分值计算'!$B$50:$C$51</definedName>
    <definedName name="OR01_D2.5.4_隐瞒合同重要内容如免责退保等内容情况" localSheetId="28">'[2]Database-分值计算'!$B$50:$C$51</definedName>
    <definedName name="OR01_D2.5.5_提供虚假产品信息情况" localSheetId="25">'[2]Database-分值计算'!$B$52:$C$53</definedName>
    <definedName name="OR01_D2.5.5_提供虚假产品信息情况" localSheetId="28">'[2]Database-分值计算'!$B$52:$C$53</definedName>
    <definedName name="OR01_D3.1.1.1_业务信息系统管理完整性得分" localSheetId="25">'[2]Database-分值计算'!$B$54:$C$55</definedName>
    <definedName name="OR01_D3.1.1.1_业务信息系统管理完整性得分" localSheetId="28">'[2]Database-分值计算'!$B$54:$C$55</definedName>
    <definedName name="OR01_D3.1.1.2_业务统计分析系统管理完整性得分" localSheetId="25">'[2]Database-分值计算'!$B$56:$C$57</definedName>
    <definedName name="OR01_D3.1.1.2_业务统计分析系统管理完整性得分" localSheetId="28">'[2]Database-分值计算'!$B$56:$C$57</definedName>
    <definedName name="OR01_D3.1.1.3_承保业务系统与再保、财务系统对接情况得分" localSheetId="25">'[2]Database-分值计算'!$B$58:$C$59</definedName>
    <definedName name="OR01_D3.1.1.3_承保业务系统与再保、财务系统对接情况得分" localSheetId="28">'[2]Database-分值计算'!$B$58:$C$59</definedName>
    <definedName name="OR01_D3.1.2_销售管理系统建设情况" localSheetId="25">'[2]Database-分值计算'!$B$60:$C$62</definedName>
    <definedName name="OR01_D3.1.2_销售管理系统建设情况" localSheetId="28">'[2]Database-分值计算'!$B$60:$C$62</definedName>
    <definedName name="OR01_D3.2.1_关键承保信息质量及一致性情况" localSheetId="25">'[2]Database-分值计算'!$B$63:$C$65</definedName>
    <definedName name="OR01_D3.2.1_关键承保信息质量及一致性情况" localSheetId="28">'[2]Database-分值计算'!$B$63:$C$65</definedName>
    <definedName name="OR01_D5.1_行业人员水平调整" localSheetId="25">'[2]Database-分值计算'!$B$71:$C$73</definedName>
    <definedName name="OR01_D5.1_行业人员水平调整" localSheetId="28">'[2]Database-分值计算'!$B$71:$C$73</definedName>
    <definedName name="OR01_D5.2_行业内控水平调整" localSheetId="25">'[2]Database-分值计算'!$B$74:$C$76</definedName>
    <definedName name="OR01_D5.2_行业内控水平调整" localSheetId="28">'[2]Database-分值计算'!$B$74:$C$76</definedName>
    <definedName name="OR01_D5.3_行业系统水平调整" localSheetId="25">'[2]Database-分值计算'!$B$77:$C$79</definedName>
    <definedName name="OR01_D5.3_行业系统水平调整" localSheetId="28">'[2]Database-分值计算'!$B$77:$C$79</definedName>
    <definedName name="OR01_D6.1_农业保险核验标的率" localSheetId="25">'[2]Database-分值计算'!$B$66:$C$68</definedName>
    <definedName name="OR01_D6.1_农业保险核验标的率" localSheetId="28">'[2]Database-分值计算'!$B$66:$C$68</definedName>
    <definedName name="OR01_D6.2_农业保险承保到户情况" localSheetId="25">'[2]Database-分值计算'!$B$69:$C$70</definedName>
    <definedName name="OR01_D6.2_农业保险承保到户情况" localSheetId="28">'[2]Database-分值计算'!$B$69:$C$70</definedName>
    <definedName name="OR01_X1.1.1_销售人员管理情况" localSheetId="25">'[2]Database-下拉框'!$B$4:$B$6</definedName>
    <definedName name="OR01_X1.1.1_销售人员管理情况" localSheetId="28">'[2]Database-下拉框'!$B$4:$B$6</definedName>
    <definedName name="OR01_X1.1.2_核保人员管理情况" localSheetId="25">'[2]Database-下拉框'!$B$7:$B$9</definedName>
    <definedName name="OR01_X1.1.2_核保人员管理情况" localSheetId="28">'[2]Database-下拉框'!$B$7:$B$9</definedName>
    <definedName name="OR01_X1.2.1_核保授权管理建设情况" localSheetId="25">'[2]Database-下拉框'!$B$10:$B$12</definedName>
    <definedName name="OR01_X1.2.1_核保授权管理建设情况" localSheetId="28">'[2]Database-下拉框'!$B$10:$B$12</definedName>
    <definedName name="OR01_X2.2.1.1_对需审批的保险条款和费率执行情况" localSheetId="25">'[2]Database-下拉框'!$B$13:$B$14</definedName>
    <definedName name="OR01_X2.2.1.1_对需审批的保险条款和费率执行情况" localSheetId="28">'[2]Database-下拉框'!$B$13:$B$14</definedName>
    <definedName name="OR01_X2.2.1.2_对不需审批的保险条款和费率执行情况" localSheetId="25">'[2]Database-下拉框'!$B$15:$B$16</definedName>
    <definedName name="OR01_X2.2.1.2_对不需审批的保险条款和费率执行情况" localSheetId="28">'[2]Database-下拉框'!$B$15:$B$16</definedName>
    <definedName name="OR01_X2.2.1.3_经保监会批准或备案的保险条款和费率的执行情况" localSheetId="25">'[2]Database-下拉框'!$B$17:$B$18</definedName>
    <definedName name="OR01_X2.2.1.3_经保监会批准或备案的保险条款和费率的执行情况" localSheetId="28">'[2]Database-下拉框'!$B$17:$B$18</definedName>
    <definedName name="OR01_X2.3_承保档案管理情况" localSheetId="25">'[2]Database-下拉框'!$B$37:$B$39</definedName>
    <definedName name="OR01_X2.3_承保档案管理情况" localSheetId="28">'[2]Database-下拉框'!$B$37:$B$39</definedName>
    <definedName name="OR01_X2.4.1_符合产品特点的应收保费管理细则制定情况" localSheetId="25">'[2]Database-下拉框'!$B$19:$B$20</definedName>
    <definedName name="OR01_X2.4.1_符合产品特点的应收保费管理细则制定情况" localSheetId="28">'[2]Database-下拉框'!$B$19:$B$20</definedName>
    <definedName name="OR01_X2.4.2_根据应收保费管理细则实施应收保费的日常管理情况" localSheetId="25">'[2]Database-下拉框'!$B$21:$B$22</definedName>
    <definedName name="OR01_X2.4.2_根据应收保费管理细则实施应收保费的日常管理情况" localSheetId="28">'[2]Database-下拉框'!$B$21:$B$22</definedName>
    <definedName name="OR01_X2.4.3_对应收账龄超过3个月的应收保费开展催收情况" localSheetId="25">'[2]Database-下拉框'!$B$23:$B$24</definedName>
    <definedName name="OR01_X2.4.3_对应收账龄超过3个月的应收保费开展催收情况" localSheetId="28">'[2]Database-下拉框'!$B$23:$B$24</definedName>
    <definedName name="OR01_X2.4.4_总公司应收保费考核开展情况" localSheetId="25">'[2]Database-下拉框'!$B$25:$B$26</definedName>
    <definedName name="OR01_X2.4.4_总公司应收保费考核开展情况" localSheetId="28">'[2]Database-下拉框'!$B$25:$B$26</definedName>
    <definedName name="OR01_X2.5.1_利用广告后其他宣传方式对保险条款内容和服务质量等做引人误解的宣传情况" localSheetId="25">'[2]Database-下拉框'!$B$27:$B$28</definedName>
    <definedName name="OR01_X2.5.1_利用广告后其他宣传方式对保险条款内容和服务质量等做引人误解的宣传情况" localSheetId="28">'[2]Database-下拉框'!$B$27:$B$28</definedName>
    <definedName name="OR01_X2.5.2_在销售活动中阻碍消费者履行如实告知义务或诱导其不履行如实告知义务情况" localSheetId="25">'[2]Database-下拉框'!$B$29:$B$30</definedName>
    <definedName name="OR01_X2.5.2_在销售活动中阻碍消费者履行如实告知义务或诱导其不履行如实告知义务情况" localSheetId="28">'[2]Database-下拉框'!$B$29:$B$30</definedName>
    <definedName name="OR01_X2.5.3_夸大保险产品保障情况" localSheetId="25">'[2]Database-下拉框'!$B$31:$B$32</definedName>
    <definedName name="OR01_X2.5.3_夸大保险产品保障情况" localSheetId="28">'[2]Database-下拉框'!$B$31:$B$32</definedName>
    <definedName name="OR01_X2.5.4_隐瞒合同重要内容如免责退保等内容情况" localSheetId="25">'[2]Database-下拉框'!$B$33:$B$34</definedName>
    <definedName name="OR01_X2.5.4_隐瞒合同重要内容如免责退保等内容情况" localSheetId="28">'[2]Database-下拉框'!$B$33:$B$34</definedName>
    <definedName name="OR01_X2.5.5_提供虚假产品信息情况" localSheetId="25">'[2]Database-下拉框'!$B$35:$B$36</definedName>
    <definedName name="OR01_X2.5.5_提供虚假产品信息情况" localSheetId="28">'[2]Database-下拉框'!$B$35:$B$36</definedName>
    <definedName name="OR01_X3.1.1.1_业务信息系统管理完整性" localSheetId="25">'[2]Database-下拉框'!$B$40:$B$41</definedName>
    <definedName name="OR01_X3.1.1.1_业务信息系统管理完整性" localSheetId="28">'[2]Database-下拉框'!$B$40:$B$41</definedName>
    <definedName name="OR01_X3.1.1.2_业务统计分析系统管理完整性" localSheetId="25">'[2]Database-下拉框'!$B$42:$B$43</definedName>
    <definedName name="OR01_X3.1.1.2_业务统计分析系统管理完整性" localSheetId="28">'[2]Database-下拉框'!$B$42:$B$43</definedName>
    <definedName name="OR01_X3.1.1.3_承保业务系统与再保、财务系统对接情况" localSheetId="25">'[2]Database-下拉框'!$B$44:$B$45</definedName>
    <definedName name="OR01_X3.1.1.3_承保业务系统与再保、财务系统对接情况" localSheetId="28">'[2]Database-下拉框'!$B$44:$B$45</definedName>
    <definedName name="OR01_X3.1.2_销售管理系统建设情况" localSheetId="25">'[2]Database-下拉框'!$B$46:$B$48</definedName>
    <definedName name="OR01_X3.1.2_销售管理系统建设情况" localSheetId="28">'[2]Database-下拉框'!$B$46:$B$48</definedName>
    <definedName name="OR01_X3.2.1_关键承保信息质量及一致性情况" localSheetId="25">'[2]Database-下拉框'!$B$49:$B$51</definedName>
    <definedName name="OR01_X3.2.1_关键承保信息质量及一致性情况" localSheetId="28">'[2]Database-下拉框'!$B$49:$B$51</definedName>
    <definedName name="OR01_X6.2_农业保险承保到户情况" localSheetId="25">'[2]Database-下拉框'!$B$52:$B$53</definedName>
    <definedName name="OR01_X6.2_农业保险承保到户情况" localSheetId="28">'[2]Database-下拉框'!$B$52:$B$53</definedName>
    <definedName name="OR02_D1.1_销售人员离职率" localSheetId="25">'[2]Database-分值计算'!$B$80:$C$83</definedName>
    <definedName name="OR02_D1.1_销售人员离职率" localSheetId="28">'[2]Database-分值计算'!$B$80:$C$83</definedName>
    <definedName name="OR02_D1.2_电话回访人员数量" localSheetId="25">'[2]Database-分值计算'!$B$84:$C$87</definedName>
    <definedName name="OR02_D1.2_电话回访人员数量" localSheetId="28">'[2]Database-分值计算'!$B$84:$C$87</definedName>
    <definedName name="OR02_D1.3_核保人员人均核保保单数量" localSheetId="25">'[2]Database-分值计算'!$B$88:$C$91</definedName>
    <definedName name="OR02_D1.3_核保人员人均核保保单数量" localSheetId="28">'[2]Database-分值计算'!$B$88:$C$91</definedName>
    <definedName name="OR02_D1.4_核保人员工作经验" localSheetId="25">'[2]Database-分值计算'!$B$92:$C$95</definedName>
    <definedName name="OR02_D1.4_核保人员工作经验" localSheetId="28">'[2]Database-分值计算'!$B$92:$C$95</definedName>
    <definedName name="OR02_D1.5_销售人员学历水平" localSheetId="25">'[2]Database-分值计算'!$B$96:$C$99</definedName>
    <definedName name="OR02_D1.5_销售人员学历水平" localSheetId="28">'[2]Database-分值计算'!$B$96:$C$99</definedName>
    <definedName name="OR02_D1.6_销售人员责任追究" localSheetId="25">'[2]Database-分值计算'!$B$100:$C$103</definedName>
    <definedName name="OR02_D1.6_销售人员责任追究" localSheetId="28">'[2]Database-分值计算'!$B$100:$C$103</definedName>
    <definedName name="OR02_D2.1_电话回访成功率" localSheetId="25">'[2]Database-分值计算'!$B$104:$C$106</definedName>
    <definedName name="OR02_D2.1_电话回访成功率" localSheetId="28">'[2]Database-分值计算'!$B$104:$C$106</definedName>
    <definedName name="OR02_D2.2_电客户信息真实性" localSheetId="25">'[2]Database-分值计算'!$B$106:$C$109</definedName>
    <definedName name="OR02_D2.2_电客户信息真实性" localSheetId="28">'[2]Database-分值计算'!$B$106:$C$109</definedName>
    <definedName name="OR02_D2.5_电话营销销售误导问题" localSheetId="25">'[2]Database-分值计算'!$B$110:$C$113</definedName>
    <definedName name="OR02_D2.5_电话营销销售误导问题" localSheetId="28">'[2]Database-分值计算'!$B$110:$C$113</definedName>
    <definedName name="OR02_D3.1_银保通系统得分" localSheetId="25">'[2]Database-分值计算'!$B$114:$C$115</definedName>
    <definedName name="OR02_D3.1_银保通系统得分" localSheetId="28">'[2]Database-分值计算'!$B$114:$C$115</definedName>
    <definedName name="OR02_D3.2.1_与核心业务系统实时对接" localSheetId="25">'[2]Database-分值计算'!$B$116:$C$117</definedName>
    <definedName name="OR02_D3.2.1_与核心业务系统实时对接" localSheetId="28">'[2]Database-分值计算'!$B$116:$C$117</definedName>
    <definedName name="OR02_D3.2.2_意外险保单信息记录的完整性" localSheetId="25">'[2]Database-分值计算'!$B$118:$C$119</definedName>
    <definedName name="OR02_D3.2.2_意外险保单信息记录的完整性" localSheetId="28">'[2]Database-分值计算'!$B$118:$C$119</definedName>
    <definedName name="OR02_D3.3.1_系统完整性控制功能得分" localSheetId="25">'[2]Database-分值计算'!$B$120:$C$122</definedName>
    <definedName name="OR02_D3.3.1_系统完整性控制功能得分" localSheetId="28">'[2]Database-分值计算'!$B$120:$C$122</definedName>
    <definedName name="OR02_D3.3.2_系统逻辑准确性功能得分" localSheetId="25">'[2]Database-分值计算'!$B$123:$C$125</definedName>
    <definedName name="OR02_D3.3.2_系统逻辑准确性功能得分" localSheetId="28">'[2]Database-分值计算'!$B$123:$C$125</definedName>
    <definedName name="OR02_D4.1_监管部门接到的关于承保、销售业务线的投诉得分" localSheetId="25">'[2]Database-分值计算'!$B$126:$C$130</definedName>
    <definedName name="OR02_D4.1_监管部门接到的关于承保、销售业务线的投诉得分" localSheetId="28">'[2]Database-分值计算'!$B$126:$C$130</definedName>
    <definedName name="OR02_D4.2_保险公司接到的关于承保、销售业务线的投诉得分" localSheetId="25">'[2]Database-分值计算'!$B$131:$C$135</definedName>
    <definedName name="OR02_D4.2_保险公司接到的关于承保、销售业务线的投诉得分" localSheetId="28">'[2]Database-分值计算'!$B$131:$C$135</definedName>
    <definedName name="OR02_X3.1_银邮保通系统" localSheetId="25">'[2]Database-下拉框'!$B$54:$B$55</definedName>
    <definedName name="OR02_X3.1_银邮保通系统" localSheetId="28">'[2]Database-下拉框'!$B$54:$B$55</definedName>
    <definedName name="OR02_X3.2.1_与核心业务系统实时对接" localSheetId="25">'[2]Database-下拉框'!$B$56:$B$57</definedName>
    <definedName name="OR02_X3.2.1_与核心业务系统实时对接" localSheetId="28">'[2]Database-下拉框'!$B$56:$B$57</definedName>
    <definedName name="OR02_X3.2.2_意外险保单信息记录的完整性" localSheetId="25">'[2]Database-下拉框'!$B$58:$B$59</definedName>
    <definedName name="OR02_X3.2.2_意外险保单信息记录的完整性" localSheetId="28">'[2]Database-下拉框'!$B$58:$B$59</definedName>
    <definedName name="OR02_X3.3.1_系统完整性控制功能得分" localSheetId="25">'[2]Database-下拉框'!$B$60:$B$62</definedName>
    <definedName name="OR02_X3.3.1_系统完整性控制功能得分" localSheetId="28">'[2]Database-下拉框'!$B$60:$B$62</definedName>
    <definedName name="OR02_X3.3.2_系统逻辑准确性功能得分" localSheetId="25">'[2]Database-下拉框'!$B$63:$B$65</definedName>
    <definedName name="OR02_X3.3.2_系统逻辑准确性功能得分" localSheetId="28">'[2]Database-下拉框'!$B$63:$B$65</definedName>
    <definedName name="OR03_D1.1.1_管理层离职率得分" localSheetId="25">'[2]Database-分值计算'!$B$136:$C$138</definedName>
    <definedName name="OR03_D1.1.1_管理层离职率得分" localSheetId="28">'[2]Database-分值计算'!$B$136:$C$138</definedName>
    <definedName name="OR03_D1.1.2_部门管理层从业经验得分" localSheetId="25">'[2]Database-分值计算'!$B$139:$C$141</definedName>
    <definedName name="OR03_D1.1.2_部门管理层从业经验得分" localSheetId="28">'[2]Database-分值计算'!$B$139:$C$141</definedName>
    <definedName name="OR03_D1.2_招聘、解雇得分" localSheetId="25">'[2]Database-分值计算'!$B$142:$C$144</definedName>
    <definedName name="OR03_D1.2_招聘、解雇得分" localSheetId="28">'[2]Database-分值计算'!$B$142:$C$144</definedName>
    <definedName name="OR03_D1.3_培训得分" localSheetId="25">'[2]Database-分值计算'!$B$145:$C$147</definedName>
    <definedName name="OR03_D1.3_培训得分" localSheetId="28">'[2]Database-分值计算'!$B$145:$C$147</definedName>
    <definedName name="OR03_D1.4_业绩管理、薪酬得分" localSheetId="25">'[2]Database-分值计算'!$B$148:$C$149</definedName>
    <definedName name="OR03_D1.4_业绩管理、薪酬得分" localSheetId="28">'[2]Database-分值计算'!$B$148:$C$149</definedName>
    <definedName name="OR03_D2.1.1_中介协议签订率得分" localSheetId="25">'[2]Database-分值计算'!$B$150:$C$151</definedName>
    <definedName name="OR03_D2.1.1_中介协议签订率得分" localSheetId="28">'[2]Database-分值计算'!$B$150:$C$151</definedName>
    <definedName name="OR03_D2.1.2_销售人员协议签订率得分" localSheetId="25">'[2]Database-分值计算'!$B$152:$C$153</definedName>
    <definedName name="OR03_D2.1.2_销售人员协议签订率得分" localSheetId="28">'[2]Database-分值计算'!$B$152:$C$153</definedName>
    <definedName name="OR03_D2.1.3_佣金支付方式得分" localSheetId="25">'[2]Database-分值计算'!$B$154:$C$156</definedName>
    <definedName name="OR03_D2.1.3_佣金支付方式得分" localSheetId="28">'[2]Database-分值计算'!$B$154:$C$156</definedName>
    <definedName name="OR03_D2.2.1_核保权限集中度得分" localSheetId="25">'[2]Database-分值计算'!$B$157:$C$159</definedName>
    <definedName name="OR03_D2.2.1_核保权限集中度得分" localSheetId="28">'[2]Database-分值计算'!$B$157:$C$159</definedName>
    <definedName name="OR03_D2.2.2_承保标的风险评估得分" localSheetId="25">'[2]Database-分值计算'!$B$160:$C$161</definedName>
    <definedName name="OR03_D2.2.2_承保标的风险评估得分" localSheetId="28">'[2]Database-分值计算'!$B$160:$C$161</definedName>
    <definedName name="OR03_D2.2.3_应收保费率得分" localSheetId="25">'[2]Database-分值计算'!$B$162:$C$164</definedName>
    <definedName name="OR03_D2.2.3_应收保费率得分" localSheetId="28">'[2]Database-分值计算'!$B$162:$C$164</definedName>
    <definedName name="OR03_D2.3.1_保费批退率得分" localSheetId="25">'[2]Database-分值计算'!$B$168:$C$170</definedName>
    <definedName name="OR03_D2.3.1_保费批退率得分" localSheetId="28">'[2]Database-分值计算'!$B$168:$C$170</definedName>
    <definedName name="OR03_D2.3.2_保全差错率得分" localSheetId="25">'[2]Database-分值计算'!$B$171:$C$173</definedName>
    <definedName name="OR03_D2.3.2_保全差错率得分" localSheetId="28">'[2]Database-分值计算'!$B$171:$C$173</definedName>
    <definedName name="OR03_D2.3.3_批减资金支付方式得分" localSheetId="25">'[2]Database-分值计算'!$B$174:$C$175</definedName>
    <definedName name="OR03_D2.3.3_批减资金支付方式得分" localSheetId="28">'[2]Database-分值计算'!$B$174:$C$175</definedName>
    <definedName name="OR03_D3.2_佣金系统计提得分" localSheetId="25">'[2]Database-分值计算'!$B$176:$C$177</definedName>
    <definedName name="OR03_D3.2_佣金系统计提得分" localSheetId="28">'[2]Database-分值计算'!$B$176:$C$177</definedName>
    <definedName name="OR03_D5_亿元保费销售、承保、保全操作风险事件数" localSheetId="25">'[2]Database-分值计算'!$B$178:$C$181</definedName>
    <definedName name="OR03_D5_亿元保费销售、承保、保全操作风险事件数" localSheetId="28">'[2]Database-分值计算'!$B$178:$C$181</definedName>
    <definedName name="OR03_X1.4_业绩考核" localSheetId="25">'[2]Database-下拉框'!$B$72:$B$73</definedName>
    <definedName name="OR03_X1.4_业绩考核" localSheetId="28">'[2]Database-下拉框'!$B$72:$B$73</definedName>
    <definedName name="OR03_X2.1.3_佣金支付方式得分" localSheetId="25">'[2]Database-下拉框'!$B$66:$B$68</definedName>
    <definedName name="OR03_X2.1.3_佣金支付方式得分" localSheetId="28">'[2]Database-下拉框'!$B$66:$B$68</definedName>
    <definedName name="OR03_X2.2.1_核保权限集中度得分" localSheetId="25">'[2]Database-下拉框'!$B$69:$B$71</definedName>
    <definedName name="OR03_X2.2.1_核保权限集中度得分" localSheetId="28">'[2]Database-下拉框'!$B$69:$B$71</definedName>
    <definedName name="OR03_X2.2.2_承保标的风险评估" localSheetId="25">'[2]Database-下拉框'!$B$74:$B$75</definedName>
    <definedName name="OR03_X2.2.2_承保标的风险评估" localSheetId="28">'[2]Database-下拉框'!$B$74:$B$75</definedName>
    <definedName name="OR03_X2.3.3_批减资金支付方式" localSheetId="25">'[2]Database-下拉框'!$B$76:$B$77</definedName>
    <definedName name="OR03_X2.3.3_批减资金支付方式" localSheetId="28">'[2]Database-下拉框'!$B$76:$B$77</definedName>
    <definedName name="OR03_X3.2_佣金系统计提" localSheetId="25">'[2]Database-下拉框'!$B$78:$B$79</definedName>
    <definedName name="OR03_X3.2_佣金系统计提" localSheetId="28">'[2]Database-下拉框'!$B$78:$B$79</definedName>
    <definedName name="OR04_D1.1.1_管理层离职率得分" localSheetId="25">'[2]Database-分值计算'!$B$182:$C$184</definedName>
    <definedName name="OR04_D1.1.1_管理层离职率得分" localSheetId="28">'[2]Database-分值计算'!$B$182:$C$184</definedName>
    <definedName name="OR04_D1.1.2_部门管理层从业经验得分" localSheetId="25">'[2]Database-分值计算'!$B$185:$C$187</definedName>
    <definedName name="OR04_D1.1.2_部门管理层从业经验得分" localSheetId="28">'[2]Database-分值计算'!$B$185:$C$187</definedName>
    <definedName name="OR04_D1.2_招聘、解雇得分" localSheetId="25">'[2]Database-分值计算'!$B$188:$C$190</definedName>
    <definedName name="OR04_D1.2_招聘、解雇得分" localSheetId="28">'[2]Database-分值计算'!$B$188:$C$190</definedName>
    <definedName name="OR04_D1.3_培训得分" localSheetId="25">'[2]Database-分值计算'!$B$191:$C$193</definedName>
    <definedName name="OR04_D1.3_培训得分" localSheetId="28">'[2]Database-分值计算'!$B$191:$C$193</definedName>
    <definedName name="OR04_D1.4_业绩管理、薪酬得分" localSheetId="25">'[2]Database-分值计算'!$B$194:$C$195</definedName>
    <definedName name="OR04_D1.4_业绩管理、薪酬得分" localSheetId="28">'[2]Database-分值计算'!$B$194:$C$195</definedName>
    <definedName name="OR04_D2.1.1_中介协议签订率得分" localSheetId="25">'[2]Database-分值计算'!$B$196:$C$197</definedName>
    <definedName name="OR04_D2.1.1_中介协议签订率得分" localSheetId="28">'[2]Database-分值计算'!$B$196:$C$197</definedName>
    <definedName name="OR04_D2.1.2_销售人员协议签订率得分" localSheetId="25">'[2]Database-分值计算'!$B$198:$C$199</definedName>
    <definedName name="OR04_D2.1.2_销售人员协议签订率得分" localSheetId="28">'[2]Database-分值计算'!$B$198:$C$199</definedName>
    <definedName name="OR04_D2.1.3_千张保单投诉量得分" localSheetId="25">'[2]Database-分值计算'!$B$200:$C$202</definedName>
    <definedName name="OR04_D2.1.3_千张保单投诉量得分" localSheetId="28">'[2]Database-分值计算'!$B$200:$C$202</definedName>
    <definedName name="OR04_D2.2.1_承保标的风险评估得分" localSheetId="25">'[2]Database-分值计算'!$B$203:$C$204</definedName>
    <definedName name="OR04_D2.2.1_承保标的风险评估得分" localSheetId="28">'[2]Database-分值计算'!$B$203:$C$204</definedName>
    <definedName name="OR04_D2.2.2_犹豫期内电话回访成功率得分" localSheetId="25">'[2]Database-分值计算'!$B$205:$C$208</definedName>
    <definedName name="OR04_D2.2.2_犹豫期内电话回访成功率得分" localSheetId="28">'[2]Database-分值计算'!$B$205:$C$208</definedName>
    <definedName name="OR04_D2.3.1_续期收费率得分" localSheetId="25">'[2]Database-分值计算'!$B$212:$C$214</definedName>
    <definedName name="OR04_D2.3.1_续期收费率得分" localSheetId="28">'[2]Database-分值计算'!$B$212:$C$214</definedName>
    <definedName name="OR04_D2.3.2_保全变更完成率得分" localSheetId="25">'[2]Database-分值计算'!$B$215:$C$217</definedName>
    <definedName name="OR04_D2.3.2_保全变更完成率得分" localSheetId="28">'[2]Database-分值计算'!$B$215:$C$217</definedName>
    <definedName name="OR04_D2.3.3_退撤保率得分" localSheetId="25">'[2]Database-分值计算'!$B$218:$C$220</definedName>
    <definedName name="OR04_D2.3.3_退撤保率得分" localSheetId="28">'[2]Database-分值计算'!$B$218:$C$220</definedName>
    <definedName name="OR04_D2.3.4_保单失效率得分" localSheetId="25">'[2]Database-分值计算'!$B$221:$C$223</definedName>
    <definedName name="OR04_D2.3.4_保单失效率得分" localSheetId="28">'[2]Database-分值计算'!$B$221:$C$223</definedName>
    <definedName name="OR04_D2.3.5_保全差错率得分" localSheetId="25">'[2]Database-分值计算'!$B$224:$C$226</definedName>
    <definedName name="OR04_D2.3.5_保全差错率得分" localSheetId="28">'[2]Database-分值计算'!$B$224:$C$226</definedName>
    <definedName name="OR04_D2.3.6_保单质押贷款支付方式得分" localSheetId="25">'[2]Database-分值计算'!$B$227:$C$228</definedName>
    <definedName name="OR04_D2.3.6_保单质押贷款支付方式得分" localSheetId="28">'[2]Database-分值计算'!$B$227:$C$228</definedName>
    <definedName name="OR04_D3.2_佣金系统计提得分" localSheetId="25">'[2]Database-分值计算'!$B$229:$C$230</definedName>
    <definedName name="OR04_D3.2_佣金系统计提得分" localSheetId="28">'[2]Database-分值计算'!$B$229:$C$230</definedName>
    <definedName name="OR04_D5_亿元保费销售、承保、保全操作风险事件数" localSheetId="25">'[2]Database-分值计算'!$B$231:$C$234</definedName>
    <definedName name="OR04_D5_亿元保费销售、承保、保全操作风险事件数" localSheetId="28">'[2]Database-分值计算'!$B$231:$C$234</definedName>
    <definedName name="OR04_X1.4_业绩考核" localSheetId="25">'[2]Database-下拉框'!$B$80:$B$81</definedName>
    <definedName name="OR04_X1.4_业绩考核" localSheetId="28">'[2]Database-下拉框'!$B$80:$B$81</definedName>
    <definedName name="OR04_X2.2.1_承保标的风险评估" localSheetId="25">'[2]Database-下拉框'!$B$82:$B$83</definedName>
    <definedName name="OR04_X2.2.1_承保标的风险评估" localSheetId="28">'[2]Database-下拉框'!$B$82:$B$83</definedName>
    <definedName name="OR04_X2.3.6_保单质押贷款支付方式" localSheetId="25">'[2]Database-下拉框'!$B$84:$B$85</definedName>
    <definedName name="OR04_X2.3.6_保单质押贷款支付方式" localSheetId="28">'[2]Database-下拉框'!$B$84:$B$85</definedName>
    <definedName name="OR04_X3.2_佣金系统计提" localSheetId="25">'[2]Database-下拉框'!$B$86:$B$87</definedName>
    <definedName name="OR04_X3.2_佣金系统计提" localSheetId="28">'[2]Database-下拉框'!$B$86:$B$87</definedName>
    <definedName name="OR05_D1_不相容职务分离得分" localSheetId="25">'[2]Database-分值计算'!$B$235:$C$237</definedName>
    <definedName name="OR05_D1_不相容职务分离得分" localSheetId="28">'[2]Database-分值计算'!$B$235:$C$237</definedName>
    <definedName name="OR05_D2.1_特殊环节集中度得分" localSheetId="25">'[2]Database-分值计算'!$B$238:$C$239</definedName>
    <definedName name="OR05_D2.1_特殊环节集中度得分" localSheetId="28">'[2]Database-分值计算'!$B$238:$C$239</definedName>
    <definedName name="OR05_D2.2.1限时立案率得分" localSheetId="25">'[2]Database-分值计算'!$B$240:$C$242</definedName>
    <definedName name="OR05_D2.2.1限时立案率得分" localSheetId="28">'[2]Database-分值计算'!$B$240:$C$242</definedName>
    <definedName name="OR05_D2.3立案注销率得分" localSheetId="25">'[2]Database-分值计算'!$B$243:$C$245</definedName>
    <definedName name="OR05_D2.3立案注销率得分" localSheetId="28">'[2]Database-分值计算'!$B$243:$C$245</definedName>
    <definedName name="OR05_D2.4立案注销恢复率得分" localSheetId="25">'[2]Database-分值计算'!$B$246:$C$248</definedName>
    <definedName name="OR05_D2.4立案注销恢复率得分" localSheetId="28">'[2]Database-分值计算'!$B$246:$C$248</definedName>
    <definedName name="OR05_D2.5_已发生已报告未决赔款准备金发展偏差率_II类公司" localSheetId="25">'[2]Database-分值计算'!$B$256:$C$260</definedName>
    <definedName name="OR05_D2.5_已发生已报告未决赔款准备金发展偏差率_II类公司" localSheetId="28">'[2]Database-分值计算'!$B$256:$C$260</definedName>
    <definedName name="OR05_D2.5_已发生已报告未决赔款准备金发展偏差率_I类公司" localSheetId="25">'[2]Database-分值计算'!$B$251:$C$255</definedName>
    <definedName name="OR05_D2.5_已发生已报告未决赔款准备金发展偏差率_I类公司" localSheetId="28">'[2]Database-分值计算'!$B$251:$C$255</definedName>
    <definedName name="OR05_D2.5_已发生已报告未决赔款准备金发展偏差率得分" localSheetId="25">'[2]Database-分值计算'!$B$249:$C$250</definedName>
    <definedName name="OR05_D2.5_已发生已报告未决赔款准备金发展偏差率得分" localSheetId="28">'[2]Database-分值计算'!$B$249:$C$250</definedName>
    <definedName name="OR05_D2.6注销恢复及案件重开率得分" localSheetId="25">'[2]Database-分值计算'!$B$261:$C$263</definedName>
    <definedName name="OR05_D2.6注销恢复及案件重开率得分" localSheetId="28">'[2]Database-分值计算'!$B$261:$C$263</definedName>
    <definedName name="OR05_D2.7.1车险报案结案率得分" localSheetId="25">'[2]Database-分值计算'!$B$264:$C$266</definedName>
    <definedName name="OR05_D2.7.1车险报案结案率得分" localSheetId="28">'[2]Database-分值计算'!$B$264:$C$266</definedName>
    <definedName name="OR05_D2.7.2非车险报案结案率得分" localSheetId="25">'[2]Database-分值计算'!$B$267:$C$269</definedName>
    <definedName name="OR05_D2.7.2非车险报案结案率得分" localSheetId="28">'[2]Database-分值计算'!$B$267:$C$269</definedName>
    <definedName name="OR05_D4_理赔反欺诈模块" localSheetId="25">'[2]Database-分值计算'!$B$270:$C$272</definedName>
    <definedName name="OR05_D4_理赔反欺诈模块" localSheetId="28">'[2]Database-分值计算'!$B$270:$C$272</definedName>
    <definedName name="OR05_D5.1_行业人员水平调整得分" localSheetId="25">'[2]Database-分值计算'!$B$273:$C$275</definedName>
    <definedName name="OR05_D5.1_行业人员水平调整得分" localSheetId="28">'[2]Database-分值计算'!$B$273:$C$275</definedName>
    <definedName name="OR05_D5.2_行业内控水平调整得分" localSheetId="25">'[2]Database-分值计算'!$B$276:$C$278</definedName>
    <definedName name="OR05_D5.2_行业内控水平调整得分" localSheetId="28">'[2]Database-分值计算'!$B$276:$C$278</definedName>
    <definedName name="OR05_D5.3_行业系统水平调整得分" localSheetId="25">'[2]Database-分值计算'!$B$279:$C$281</definedName>
    <definedName name="OR05_D5.3_行业系统水平调整得分" localSheetId="28">'[2]Database-分值计算'!$B$279:$C$281</definedName>
    <definedName name="OR05_D6.1_内部稽核" localSheetId="25">'[2]Database-分值计算'!$B$282:$C$285</definedName>
    <definedName name="OR05_D6.1_内部稽核" localSheetId="28">'[2]Database-分值计算'!$B$282:$C$285</definedName>
    <definedName name="OR05_D6.2_赔付后回访率得分" localSheetId="25">'[2]Database-分值计算'!$B$286:$C$288</definedName>
    <definedName name="OR05_D6.2_赔付后回访率得分" localSheetId="28">'[2]Database-分值计算'!$B$286:$C$288</definedName>
    <definedName name="OR05_X1_不相容职务分离" localSheetId="25">'[2]Database-下拉框'!$B$88:$B$90</definedName>
    <definedName name="OR05_X1_不相容职务分离" localSheetId="28">'[2]Database-下拉框'!$B$88:$B$90</definedName>
    <definedName name="OR05_X2.1_特殊环节集中度" localSheetId="25">'[2]Database-下拉框'!$B$91:$B$92</definedName>
    <definedName name="OR05_X2.1_特殊环节集中度" localSheetId="28">'[2]Database-下拉框'!$B$91:$B$92</definedName>
    <definedName name="OR05_X4_理赔反欺诈模块" localSheetId="25">'[2]Database-下拉框'!$B$93:$B$95</definedName>
    <definedName name="OR05_X4_理赔反欺诈模块" localSheetId="28">'[2]Database-下拉框'!$B$93:$B$95</definedName>
    <definedName name="OR05_X6.1_内部稽核" localSheetId="25">'[2]Database-下拉框'!$B$96:$B$99</definedName>
    <definedName name="OR05_X6.1_内部稽核" localSheetId="28">'[2]Database-下拉框'!$B$96:$B$99</definedName>
    <definedName name="OR06_D1.1_理赔人员人均办理理赔案件数量得分" localSheetId="25">'[2]Database-分值计算'!$B$289:$C$292</definedName>
    <definedName name="OR06_D1.1_理赔人员人均办理理赔案件数量得分" localSheetId="28">'[2]Database-分值计算'!$B$289:$C$292</definedName>
    <definedName name="OR06_D1.2_理赔人员人均办理理赔案件数量得分" localSheetId="25">'[2]Database-分值计算'!$B$293:$C$296</definedName>
    <definedName name="OR06_D1.2_理赔人员人均办理理赔案件数量得分" localSheetId="28">'[2]Database-分值计算'!$B$293:$C$296</definedName>
    <definedName name="OR06_D1.3_理赔工作经验得分" localSheetId="25">'[2]Database-分值计算'!$B$297:$C$300</definedName>
    <definedName name="OR06_D1.3_理赔工作经验得分" localSheetId="28">'[2]Database-分值计算'!$B$297:$C$300</definedName>
    <definedName name="OR06_D1.4_保全工作经验得分" localSheetId="25">'[2]Database-分值计算'!$B$301:$C$304</definedName>
    <definedName name="OR06_D1.4_保全工作经验得分" localSheetId="28">'[2]Database-分值计算'!$B$301:$C$304</definedName>
    <definedName name="OR06_D2.1_索赔核定平均时长得分" localSheetId="25">'[2]Database-分值计算'!$B$305:$C$306</definedName>
    <definedName name="OR06_D2.1_索赔核定平均时长得分" localSheetId="28">'[2]Database-分值计算'!$B$305:$C$306</definedName>
    <definedName name="OR06_D2.1_索赔核定平均时长行业均值大于8" localSheetId="25">'[2]Database-分值计算'!$B$307:$C$309</definedName>
    <definedName name="OR06_D2.1_索赔核定平均时长行业均值大于8" localSheetId="28">'[2]Database-分值计算'!$B$307:$C$309</definedName>
    <definedName name="OR06_D2.1_索赔核定平均时长行业均值小于8" localSheetId="25">'[2]Database-分值计算'!$B$310:$C$313</definedName>
    <definedName name="OR06_D2.1_索赔核定平均时长行业均值小于8" localSheetId="28">'[2]Database-分值计算'!$B$310:$C$313</definedName>
    <definedName name="OR06_D2.2_赔款支付平均时长得分" localSheetId="25">'[2]Database-分值计算'!$B$314:$C$315</definedName>
    <definedName name="OR06_D2.2_赔款支付平均时长得分" localSheetId="28">'[2]Database-分值计算'!$B$314:$C$315</definedName>
    <definedName name="OR06_D2.2_赔款支付平均时长行业均值大于10" localSheetId="25">'[2]Database-分值计算'!$B$316:$C$318</definedName>
    <definedName name="OR06_D2.2_赔款支付平均时长行业均值大于10" localSheetId="28">'[2]Database-分值计算'!$B$316:$C$318</definedName>
    <definedName name="OR06_D2.2_赔款支付平均时长行业均值小于10" localSheetId="25">'[2]Database-分值计算'!$B$319:$C$322</definedName>
    <definedName name="OR06_D2.2_赔款支付平均时长行业均值小于10" localSheetId="28">'[2]Database-分值计算'!$B$319:$C$322</definedName>
    <definedName name="OR06_D2.3保全受理平均时长得分" localSheetId="25">'[2]Database-分值计算'!$B$323:$C$324</definedName>
    <definedName name="OR06_D2.3保全受理平均时长得分" localSheetId="28">'[2]Database-分值计算'!$B$323:$C$324</definedName>
    <definedName name="OR06_D2.3保全受理平均时长行业均值大于2" localSheetId="25">'[2]Database-分值计算'!$B$325:$C$327</definedName>
    <definedName name="OR06_D2.3保全受理平均时长行业均值大于2" localSheetId="28">'[2]Database-分值计算'!$B$325:$C$327</definedName>
    <definedName name="OR06_D2.3保全受理平均时长行业均值小于2" localSheetId="25">'[2]Database-分值计算'!$B$328:$C$331</definedName>
    <definedName name="OR06_D2.3保全受理平均时长行业均值小于2" localSheetId="28">'[2]Database-分值计算'!$B$328:$C$331</definedName>
    <definedName name="OR06_D2.4保全处理平均时长得分" localSheetId="25">'[2]Database-分值计算'!$B$332:$C$333</definedName>
    <definedName name="OR06_D2.4保全处理平均时长得分" localSheetId="28">'[2]Database-分值计算'!$B$332:$C$333</definedName>
    <definedName name="OR06_D2.4保全处理平均时长得分行业均值大于5" localSheetId="25">'[2]Database-分值计算'!$B$334:$C$336</definedName>
    <definedName name="OR06_D2.4保全处理平均时长得分行业均值大于5" localSheetId="28">'[2]Database-分值计算'!$B$334:$C$336</definedName>
    <definedName name="OR06_D2.4保全处理平均时长得分行业均值小于5" localSheetId="25">'[2]Database-分值计算'!$B$337:$C$340</definedName>
    <definedName name="OR06_D2.4保全处理平均时长得分行业均值小于5" localSheetId="28">'[2]Database-分值计算'!$B$337:$C$340</definedName>
    <definedName name="OR06_D2.5投诉处理平均时长得分" localSheetId="25">'[2]Database-分值计算'!$B$341:$C$342</definedName>
    <definedName name="OR06_D2.5投诉处理平均时长得分" localSheetId="28">'[2]Database-分值计算'!$B$341:$C$342</definedName>
    <definedName name="OR06_D2.5投诉处理平均时长得分行业均值大于10" localSheetId="25">'[2]Database-分值计算'!$B$343:$C$345</definedName>
    <definedName name="OR06_D2.5投诉处理平均时长得分行业均值大于10" localSheetId="28">'[2]Database-分值计算'!$B$343:$C$345</definedName>
    <definedName name="OR06_D2.5投诉处理平均时长得分行业均值小于10" localSheetId="25">'[2]Database-分值计算'!$B$346:$C$349</definedName>
    <definedName name="OR06_D2.5投诉处理平均时长得分行业均值小于10" localSheetId="28">'[2]Database-分值计算'!$B$346:$C$349</definedName>
    <definedName name="OR06_D4.1_监管部门接到的关于理赔、保全业务线的投诉得分" localSheetId="25">'[2]Database-分值计算'!$B$350:$C$354</definedName>
    <definedName name="OR06_D4.1_监管部门接到的关于理赔、保全业务线的投诉得分" localSheetId="28">'[2]Database-分值计算'!$B$350:$C$354</definedName>
    <definedName name="OR06_D4.2_保险公司接到的关于理赔、保全业务线的投诉得分" localSheetId="25">'[2]Database-分值计算'!$B$355:$C$359</definedName>
    <definedName name="OR06_D4.2_保险公司接到的关于理赔、保全业务线的投诉得分" localSheetId="28">'[2]Database-分值计算'!$B$355:$C$359</definedName>
    <definedName name="OR07_D1.1_领导能力" localSheetId="25">'[2]Database-分值计算'!$B$360:$C$362</definedName>
    <definedName name="OR07_D1.1_领导能力" localSheetId="28">'[2]Database-分值计算'!$B$360:$C$362</definedName>
    <definedName name="OR07_D1.2_招聘、解雇" localSheetId="25">'[2]Database-分值计算'!$B$363:$C$365</definedName>
    <definedName name="OR07_D1.2_招聘、解雇" localSheetId="28">'[2]Database-分值计算'!$B$363:$C$365</definedName>
    <definedName name="OR07_D1.4_业绩管理、薪酬" localSheetId="25">'[2]Database-分值计算'!$B$369:$C$370</definedName>
    <definedName name="OR07_D1.4_业绩管理、薪酬" localSheetId="28">'[2]Database-分值计算'!$B$369:$C$370</definedName>
    <definedName name="OR07_D2.1_理赔权限管理" localSheetId="25">'[2]Database-分值计算'!$B$371:$C$372</definedName>
    <definedName name="OR07_D2.1_理赔权限管理" localSheetId="28">'[2]Database-分值计算'!$B$371:$C$372</definedName>
    <definedName name="OR07_D2.2_报案立案率" localSheetId="25">'[2]Database-分值计算'!$B$373:$C$374</definedName>
    <definedName name="OR07_D2.2_报案立案率" localSheetId="28">'[2]Database-分值计算'!$B$373:$C$374</definedName>
    <definedName name="OR07_D2.3_部门负责人培训" localSheetId="25">'[2]Database-分值计算'!$B$375:$C$377</definedName>
    <definedName name="OR07_D2.3_部门负责人培训" localSheetId="28">'[2]Database-分值计算'!$B$375:$C$377</definedName>
    <definedName name="OR07_D2.4_案均核赔支付时效" localSheetId="25">'[2]Database-分值计算'!$B$378:$C$380</definedName>
    <definedName name="OR07_D2.4_案均核赔支付时效" localSheetId="28">'[2]Database-分值计算'!$B$378:$C$380</definedName>
    <definedName name="OR07_D2.5_赔款转账直付比例" localSheetId="25">'[2]Database-分值计算'!$B$381:$C$383</definedName>
    <definedName name="OR07_D2.5_赔款转账直付比例" localSheetId="28">'[2]Database-分值计算'!$B$381:$C$383</definedName>
    <definedName name="OR07_D2.6_已发生已报告未决赔款准备金发展偏差率" localSheetId="25">'[2]Database-分值计算'!$B$384:$C$386</definedName>
    <definedName name="OR07_D2.6_已发生已报告未决赔款准备金发展偏差率" localSheetId="28">'[2]Database-分值计算'!$B$384:$C$386</definedName>
    <definedName name="OR07_D2.7_千张保单投诉量" localSheetId="25">'[2]Database-分值计算'!$B$387:$C$389</definedName>
    <definedName name="OR07_D2.7_千张保单投诉量" localSheetId="28">'[2]Database-分值计算'!$B$387:$C$389</definedName>
    <definedName name="OR07_D3.2_反欺诈识别" localSheetId="25">'[2]Database-分值计算'!$B$390:$C$391</definedName>
    <definedName name="OR07_D3.2_反欺诈识别" localSheetId="28">'[2]Database-分值计算'!$B$390:$C$391</definedName>
    <definedName name="OR07_D3.3_系统对接" localSheetId="25">'[2]Database-分值计算'!$B$392:$C$393</definedName>
    <definedName name="OR07_D3.3_系统对接" localSheetId="28">'[2]Database-分值计算'!$B$392:$C$393</definedName>
    <definedName name="OR07_D5_基于行业总体水平的调整" localSheetId="25">'[2]Database-分值计算'!$B$394:$C$397</definedName>
    <definedName name="OR07_D5_基于行业总体水平的调整" localSheetId="28">'[2]Database-分值计算'!$B$394:$C$397</definedName>
    <definedName name="OR07_X1.3_部门负责人培训" localSheetId="25">'[2]Database-下拉框'!#REF!</definedName>
    <definedName name="OR07_X1.3_部门负责人培训" localSheetId="28">'[2]Database-下拉框'!#REF!</definedName>
    <definedName name="OR07_X1.4_业绩管理、薪酬" localSheetId="25">'[2]Database-下拉框'!$B$100:$B$101</definedName>
    <definedName name="OR07_X1.4_业绩管理、薪酬" localSheetId="28">'[2]Database-下拉框'!$B$100:$B$101</definedName>
    <definedName name="OR07_X2.1_理赔权限管理" localSheetId="25">'[2]Database-下拉框'!$B$102:$B$103</definedName>
    <definedName name="OR07_X2.1_理赔权限管理" localSheetId="28">'[2]Database-下拉框'!$B$102:$B$103</definedName>
    <definedName name="OR07_X3.2_反欺诈识别" localSheetId="25">'[2]Database-下拉框'!$B$104:$B$105</definedName>
    <definedName name="OR07_X3.2_反欺诈识别" localSheetId="28">'[2]Database-下拉框'!$B$104:$B$105</definedName>
    <definedName name="OR07_X3.3_系统对接" localSheetId="25">'[2]Database-下拉框'!$B$106:$B$107</definedName>
    <definedName name="OR07_X3.3_系统对接" localSheetId="28">'[2]Database-下拉框'!$B$106:$B$107</definedName>
    <definedName name="OR08_D1.1_领导能力" localSheetId="25">'[2]Database-分值计算'!$B$398:$C$400</definedName>
    <definedName name="OR08_D1.1_领导能力" localSheetId="28">'[2]Database-分值计算'!$B$398:$C$400</definedName>
    <definedName name="OR08_D1.2_招聘、解雇" localSheetId="25">'[2]Database-分值计算'!$B$401:$C$403</definedName>
    <definedName name="OR08_D1.2_招聘、解雇" localSheetId="28">'[2]Database-分值计算'!$B$401:$C$403</definedName>
    <definedName name="OR08_D1.4_业绩管理、薪酬" localSheetId="25">'[2]Database-分值计算'!$B$407:$C$408</definedName>
    <definedName name="OR08_D1.4_业绩管理、薪酬" localSheetId="28">'[2]Database-分值计算'!$B$407:$C$408</definedName>
    <definedName name="OR08_D2.1_案均核赔支付时效" localSheetId="25">'[2]Database-分值计算'!$B$409:$C$411</definedName>
    <definedName name="OR08_D2.1_案均核赔支付时效" localSheetId="28">'[2]Database-分值计算'!$B$409:$C$411</definedName>
    <definedName name="OR08_D2.2_理赔服务时效得分" localSheetId="25">'[2]Database-分值计算'!$B$412:$C$415</definedName>
    <definedName name="OR08_D2.2_理赔服务时效得分" localSheetId="28">'[2]Database-分值计算'!$B$412:$C$415</definedName>
    <definedName name="OR08_D2.3_赔款转账直付比例" localSheetId="25">'[2]Database-分值计算'!$B$416:$C$418</definedName>
    <definedName name="OR08_D2.3_赔款转账直付比例" localSheetId="28">'[2]Database-分值计算'!$B$416:$C$418</definedName>
    <definedName name="OR08_D2.4_非寿险业务估损代数偏差率" localSheetId="25">'[2]Database-分值计算'!$B$419:$C$420</definedName>
    <definedName name="OR08_D2.4_非寿险业务估损代数偏差率" localSheetId="28">'[2]Database-分值计算'!$B$419:$C$420</definedName>
    <definedName name="OR08_D3.2_反欺诈识别" localSheetId="25">'[2]Database-分值计算'!$B$421:$C$422</definedName>
    <definedName name="OR08_D3.2_反欺诈识别" localSheetId="28">'[2]Database-分值计算'!$B$421:$C$422</definedName>
    <definedName name="OR08_D3.3_系统对接" localSheetId="25">'[2]Database-分值计算'!$B$423:$C$424</definedName>
    <definedName name="OR08_D3.3_系统对接" localSheetId="28">'[2]Database-分值计算'!$B$423:$C$424</definedName>
    <definedName name="OR08_D5_基于行业总体水平的调整" localSheetId="25">'[2]Database-分值计算'!$B$425:$C$428</definedName>
    <definedName name="OR08_D5_基于行业总体水平的调整" localSheetId="28">'[2]Database-分值计算'!$B$425:$C$428</definedName>
    <definedName name="OR08_X1.3_部门负责人培训" localSheetId="25">'[2]Database-下拉框'!#REF!</definedName>
    <definedName name="OR08_X1.3_部门负责人培训" localSheetId="28">'[2]Database-下拉框'!#REF!</definedName>
    <definedName name="OR08_X1.4_业绩管理、薪酬" localSheetId="25">'[2]Database-下拉框'!$B$108:$B$109</definedName>
    <definedName name="OR08_X1.4_业绩管理、薪酬" localSheetId="28">'[2]Database-下拉框'!$B$108:$B$109</definedName>
    <definedName name="OR08_X3.2_反欺诈识别" localSheetId="25">'[2]Database-下拉框'!$B$110:$B$111</definedName>
    <definedName name="OR08_X3.2_反欺诈识别" localSheetId="28">'[2]Database-下拉框'!$B$110:$B$111</definedName>
    <definedName name="OR08_X3.3_系统对接" localSheetId="25">'[2]Database-下拉框'!$B$112:$B$113</definedName>
    <definedName name="OR08_X3.3_系统对接" localSheetId="28">'[2]Database-下拉框'!$B$112:$B$113</definedName>
    <definedName name="OR09_D1.1_再保险业务管理情况" localSheetId="25">'[2]Database-分值计算'!$B$429:$C$431</definedName>
    <definedName name="OR09_D1.1_再保险业务管理情况" localSheetId="28">'[2]Database-分值计算'!$B$429:$C$431</definedName>
    <definedName name="OR09_D1.2_再保险分入业务分工情况" localSheetId="25">'[2]Database-分值计算'!$B$432:$C$433</definedName>
    <definedName name="OR09_D1.2_再保险分入业务分工情况" localSheetId="28">'[2]Database-分值计算'!$B$432:$C$433</definedName>
    <definedName name="OR09_D2.2.1_再保险接受人及经纪人资信管理情况" localSheetId="25">'[2]Database-分值计算'!$B$434:$C$435</definedName>
    <definedName name="OR09_D2.2.1_再保险接受人及经纪人资信管理情况" localSheetId="28">'[2]Database-分值计算'!$B$434:$C$435</definedName>
    <definedName name="OR09_D2.2.3_再保险接受人信用风险突发应急预案管理情况" localSheetId="25">'[2]Database-分值计算'!$B$436:$C$437</definedName>
    <definedName name="OR09_D2.2.3_再保险接受人信用风险突发应急预案管理情况" localSheetId="28">'[2]Database-分值计算'!$B$436:$C$437</definedName>
    <definedName name="OR09_D2.3.2_需续保的再保合约业务及时性得分" localSheetId="25">'[2]Database-分值计算'!$B$438:$C$439</definedName>
    <definedName name="OR09_D2.3.2_需续保的再保合约业务及时性得分" localSheetId="28">'[2]Database-分值计算'!$B$438:$C$439</definedName>
    <definedName name="OR09_D2.5.1_再保险应收应付款项管理情况" localSheetId="25">'[2]Database-分值计算'!$B$440:$C$441</definedName>
    <definedName name="OR09_D2.5.1_再保险应收应付款项管理情况" localSheetId="28">'[2]Database-分值计算'!$B$440:$C$441</definedName>
    <definedName name="OR09_D2.6.1_每一危险单位划分符合相关法律法规情况得分" localSheetId="25">'[2]Database-分值计算'!$B$442:$C$443</definedName>
    <definedName name="OR09_D2.6.1_每一危险单位划分符合相关法律法规情况得分" localSheetId="28">'[2]Database-分值计算'!$B$442:$C$443</definedName>
    <definedName name="OR09_D2.6.2_每一危险单位划分符合公司内部规定情况得分" localSheetId="25">'[2]Database-分值计算'!$B$444:$C$445</definedName>
    <definedName name="OR09_D2.6.2_每一危险单位划分符合公司内部规定情况得分" localSheetId="28">'[2]Database-分值计算'!$B$444:$C$445</definedName>
    <definedName name="OR09_D2.8.1_完成外部审计" localSheetId="25">'[2]Database-分值计算'!$B$446:$C$447</definedName>
    <definedName name="OR09_D2.8.1_完成外部审计" localSheetId="28">'[2]Database-分值计算'!$B$446:$C$447</definedName>
    <definedName name="OR09_D2.8.2_完成内部审计" localSheetId="25">'[2]Database-分值计算'!$B$448:$C$449</definedName>
    <definedName name="OR09_D2.8.2_完成内部审计" localSheetId="28">'[2]Database-分值计算'!$B$448:$C$449</definedName>
    <definedName name="OR09_D3.1_再保系统与其他系统链接" localSheetId="25">'[2]Database-分值计算'!$B$450:$C$451</definedName>
    <definedName name="OR09_D3.1_再保系统与其他系统链接" localSheetId="28">'[2]Database-分值计算'!$B$450:$C$451</definedName>
    <definedName name="OR09_D3.2_IT系统模块功能" localSheetId="25">'[2]Database-分值计算'!$B$452:$C$453</definedName>
    <definedName name="OR09_D3.2_IT系统模块功能" localSheetId="28">'[2]Database-分值计算'!$B$452:$C$453</definedName>
    <definedName name="OR09_D3.3_IT系统统计保监会要求上报的各类再保险数据报表" localSheetId="25">'[2]Database-分值计算'!$B$454:$C$455</definedName>
    <definedName name="OR09_D3.3_IT系统统计保监会要求上报的各类再保险数据报表" localSheetId="28">'[2]Database-分值计算'!$B$454:$C$455</definedName>
    <definedName name="OR09_D3.4_再保险IT系统权限管理情况" localSheetId="25">'[2]Database-分值计算'!$B$456:$C$457</definedName>
    <definedName name="OR09_D3.4_再保险IT系统权限管理情况" localSheetId="28">'[2]Database-分值计算'!$B$456:$C$457</definedName>
    <definedName name="OR09_D3.5_再保系统记录修改痕迹功能" localSheetId="25">'[2]Database-分值计算'!$B$458:$C$459</definedName>
    <definedName name="OR09_D3.5_再保系统记录修改痕迹功能" localSheetId="28">'[2]Database-分值计算'!$B$458:$C$459</definedName>
    <definedName name="OR09_D4.1_再保险管理组织架构" localSheetId="25">'[2]Database-分值计算'!$B$460:$C$462</definedName>
    <definedName name="OR09_D4.1_再保险管理组织架构" localSheetId="28">'[2]Database-分值计算'!$B$460:$C$462</definedName>
    <definedName name="OR09_D4.2_分保安排及确认的及时性" localSheetId="25">'[2]Database-分值计算'!$B$463:$C$465</definedName>
    <definedName name="OR09_D4.2_分保安排及确认的及时性" localSheetId="28">'[2]Database-分值计算'!$B$463:$C$465</definedName>
    <definedName name="OR09_D4.3_再保系统独立性和完整性" localSheetId="25">'[2]Database-分值计算'!$B$466:$C$468</definedName>
    <definedName name="OR09_D4.3_再保系统独立性和完整性" localSheetId="28">'[2]Database-分值计算'!$B$466:$C$468</definedName>
    <definedName name="OR09_X1.1_再保险业务管理情况" localSheetId="25">'[2]Database-下拉框'!$B$114:$B$116</definedName>
    <definedName name="OR09_X1.1_再保险业务管理情况" localSheetId="28">'[2]Database-下拉框'!$B$114:$B$116</definedName>
    <definedName name="OR09_X1.2_再保险分入业务管理情况" localSheetId="25">'[2]Database-下拉框'!$B$117:$B$118</definedName>
    <definedName name="OR09_X1.2_再保险分入业务管理情况" localSheetId="28">'[2]Database-下拉框'!$B$117:$B$118</definedName>
    <definedName name="OR09_X2.2.1_再保险接受人及经纪人资信管理情况" localSheetId="25">'[2]Database-下拉框'!$B$119:$B$120</definedName>
    <definedName name="OR09_X2.2.1_再保险接受人及经纪人资信管理情况" localSheetId="28">'[2]Database-下拉框'!$B$119:$B$120</definedName>
    <definedName name="OR09_X2.2.3_再保险接受人信用风险突发应急预案管理情况" localSheetId="25">'[2]Database-下拉框'!$B$121:$B$122</definedName>
    <definedName name="OR09_X2.2.3_再保险接受人信用风险突发应急预案管理情况" localSheetId="28">'[2]Database-下拉框'!$B$121:$B$122</definedName>
    <definedName name="OR09_X2.3.2_需续保的再保合约业务完成情况" localSheetId="25">'[2]Database-下拉框'!$B$123:$B$124</definedName>
    <definedName name="OR09_X2.3.2_需续保的再保合约业务完成情况" localSheetId="28">'[2]Database-下拉框'!$B$123:$B$124</definedName>
    <definedName name="OR09_X2.5.1_再保险应收应付款项管理情况" localSheetId="25">'[2]Database-下拉框'!$B$125:$B$126</definedName>
    <definedName name="OR09_X2.5.1_再保险应收应付款项管理情况" localSheetId="28">'[2]Database-下拉框'!$B$125:$B$126</definedName>
    <definedName name="OR09_X2.6.1_每一危险单位划分是否符合相关法律法规" localSheetId="25">'[2]Database-下拉框'!$B$127:$B$128</definedName>
    <definedName name="OR09_X2.6.1_每一危险单位划分是否符合相关法律法规" localSheetId="28">'[2]Database-下拉框'!$B$127:$B$128</definedName>
    <definedName name="OR09_X2.6.2_每一危险单位自留额管理" localSheetId="25">'[2]Database-下拉框'!$B$129:$B$130</definedName>
    <definedName name="OR09_X2.6.2_每一危险单位自留额管理" localSheetId="28">'[2]Database-下拉框'!$B$129:$B$130</definedName>
    <definedName name="OR09_X3.1_再保系统与其他系统链接" localSheetId="25">'[2]Database-下拉框'!$B$131:$B$132</definedName>
    <definedName name="OR09_X3.1_再保系统与其他系统链接" localSheetId="28">'[2]Database-下拉框'!$B$131:$B$132</definedName>
    <definedName name="OR09_X3.2_IT系统模块功能" localSheetId="25">'[2]Database-下拉框'!$B$133:$B$134</definedName>
    <definedName name="OR09_X3.2_IT系统模块功能" localSheetId="28">'[2]Database-下拉框'!$B$133:$B$134</definedName>
    <definedName name="OR09_X3.3_IT系统统计再保险数据报表" localSheetId="25">'[2]Database-下拉框'!$B$135:$B$136</definedName>
    <definedName name="OR09_X3.3_IT系统统计再保险数据报表" localSheetId="28">'[2]Database-下拉框'!$B$135:$B$136</definedName>
    <definedName name="OR09_X3.4_再保险IT系统权限管理情况" localSheetId="25">'[2]Database-下拉框'!$B$137:$B$138</definedName>
    <definedName name="OR09_X3.4_再保险IT系统权限管理情况" localSheetId="28">'[2]Database-下拉框'!$B$137:$B$138</definedName>
    <definedName name="OR09_X3.5_再保系统记录修改痕迹功能" localSheetId="25">'[2]Database-下拉框'!$B$139:$B$140</definedName>
    <definedName name="OR09_X3.5_再保系统记录修改痕迹功能" localSheetId="28">'[2]Database-下拉框'!$B$139:$B$140</definedName>
    <definedName name="OR10_D1.1.1_资产管理部门负责人从业经验" localSheetId="25">'[2]Database-分值计算'!$B$534:$C$536</definedName>
    <definedName name="OR10_D1.1.1_资产管理部门负责人从业经验" localSheetId="28">'[2]Database-分值计算'!$B$534:$C$536</definedName>
    <definedName name="OR10_D1.1.2_资产管理部门负责人违法违规及处罚" localSheetId="25">'[2]Database-分值计算'!$B$537:$C$538</definedName>
    <definedName name="OR10_D1.1.2_资产管理部门负责人违法违规及处罚" localSheetId="28">'[2]Database-分值计算'!$B$537:$C$538</definedName>
    <definedName name="OR10_D1.1.3_资产管理部门人员平均从业年限" localSheetId="25">'[2]Database-分值计算'!$B$539:$C$541</definedName>
    <definedName name="OR10_D1.1.3_资产管理部门人员平均从业年限" localSheetId="28">'[2]Database-分值计算'!$B$539:$C$541</definedName>
    <definedName name="OR10_D1.2.1.1_委托投资人员岗位" localSheetId="25">'[2]Database-分值计算'!$B$542:$C$544</definedName>
    <definedName name="OR10_D1.2.1.1_委托投资人员岗位" localSheetId="28">'[2]Database-分值计算'!$B$542:$C$544</definedName>
    <definedName name="OR10_D1.2.1.2_自行投资人员岗位" localSheetId="25">'[2]Database-分值计算'!$B$545:$C$547</definedName>
    <definedName name="OR10_D1.2.1.2_自行投资人员岗位" localSheetId="28">'[2]Database-分值计算'!$B$545:$C$547</definedName>
    <definedName name="OR10_D1.2.2_人员结构" localSheetId="25">'[2]Database-分值计算'!$B$548:$C$549</definedName>
    <definedName name="OR10_D1.2.2_人员结构" localSheetId="28">'[2]Database-分值计算'!$B$548:$C$549</definedName>
    <definedName name="OR10_D1.2.3_资产管理部门人员流失率" localSheetId="25">'[2]Database-分值计算'!$B$550:$C$552</definedName>
    <definedName name="OR10_D1.2.3_资产管理部门人员流失率" localSheetId="28">'[2]Database-分值计算'!$B$550:$C$552</definedName>
    <definedName name="OR10_D1.3.2_员工培训频率" localSheetId="25">'[2]Database-分值计算'!$B$557:$C$558</definedName>
    <definedName name="OR10_D1.3.2_员工培训频率" localSheetId="28">'[2]Database-分值计算'!$B$557:$C$558</definedName>
    <definedName name="OR10_D1.4.1.1_自行投资投研人员激励机制" localSheetId="25">'[2]Database-分值计算'!$B$559:$C$561</definedName>
    <definedName name="OR10_D1.4.1.1_自行投资投研人员激励机制" localSheetId="28">'[2]Database-分值计算'!$B$559:$C$561</definedName>
    <definedName name="OR10_D1.4.1.2_委托投资投研人员激励机制" localSheetId="25">'[2]Database-分值计算'!$B$562:$C$564</definedName>
    <definedName name="OR10_D1.4.1.2_委托投资投研人员激励机制" localSheetId="28">'[2]Database-分值计算'!$B$562:$C$564</definedName>
    <definedName name="OR10_D1.4.2.1_自行投资风险管理人员激励机制" localSheetId="25">'[2]Database-分值计算'!$B$565:$C$567</definedName>
    <definedName name="OR10_D1.4.2.1_自行投资风险管理人员激励机制" localSheetId="28">'[2]Database-分值计算'!$B$565:$C$567</definedName>
    <definedName name="OR10_D1.4.2.2_委托投资风险管理人员激励机制" localSheetId="25">'[2]Database-分值计算'!$B$568:$C$570</definedName>
    <definedName name="OR10_D1.4.2.2_委托投资风险管理人员激励机制" localSheetId="28">'[2]Database-分值计算'!$B$568:$C$570</definedName>
    <definedName name="OR10_D1.4.3.1_自行投资业绩考核" localSheetId="25">'[2]Database-分值计算'!$B$571:$C$573</definedName>
    <definedName name="OR10_D1.4.3.1_自行投资业绩考核" localSheetId="28">'[2]Database-分值计算'!$B$571:$C$573</definedName>
    <definedName name="OR10_D1.4.3.2_委托投资业绩考核" localSheetId="25">'[2]Database-分值计算'!$B$574:$C$576</definedName>
    <definedName name="OR10_D1.4.3.2_委托投资业绩考核" localSheetId="28">'[2]Database-分值计算'!$B$574:$C$576</definedName>
    <definedName name="OR10_D2.1_操作风险数据库" localSheetId="25">'[2]Database-分值计算'!$B$577:$C$578</definedName>
    <definedName name="OR10_D2.1_操作风险数据库" localSheetId="28">'[2]Database-分值计算'!$B$577:$C$578</definedName>
    <definedName name="OR10_D2.2.1_委托投资管理制度" localSheetId="25">'[2]Database-分值计算'!$B$579:$C$581</definedName>
    <definedName name="OR10_D2.2.1_委托投资管理制度" localSheetId="28">'[2]Database-分值计算'!$B$579:$C$581</definedName>
    <definedName name="OR10_D2.2.2_委托投资指引" localSheetId="25">'[2]Database-分值计算'!$B$582:$C$584</definedName>
    <definedName name="OR10_D2.2.2_委托投资指引" localSheetId="28">'[2]Database-分值计算'!$B$582:$C$584</definedName>
    <definedName name="OR10_D2.2.3_定期评估" localSheetId="25">'[2]Database-分值计算'!$B$585:$C$588</definedName>
    <definedName name="OR10_D2.2.3_定期评估" localSheetId="28">'[2]Database-分值计算'!$B$585:$C$588</definedName>
    <definedName name="OR10_D2.3.1_压力测试" localSheetId="25">'[2]Database-分值计算'!$B$589:$C$590</definedName>
    <definedName name="OR10_D2.3.1_压力测试" localSheetId="28">'[2]Database-分值计算'!$B$589:$C$590</definedName>
    <definedName name="OR10_D2.3.2.1_自行投资分账户" localSheetId="25">'[2]Database-分值计算'!$B$591:$C$593</definedName>
    <definedName name="OR10_D2.3.2.1_自行投资分账户" localSheetId="28">'[2]Database-分值计算'!$B$591:$C$593</definedName>
    <definedName name="OR10_D2.3.2.2_委托投资分账户" localSheetId="25">'[2]Database-分值计算'!$B$594:$C$596</definedName>
    <definedName name="OR10_D2.3.2.2_委托投资分账户" localSheetId="28">'[2]Database-分值计算'!$B$594:$C$596</definedName>
    <definedName name="OR10_D2.4_托管" localSheetId="25">'[2]Database-分值计算'!$B$597:$C$599</definedName>
    <definedName name="OR10_D2.4_托管" localSheetId="28">'[2]Database-分值计算'!$B$597:$C$599</definedName>
    <definedName name="OR10_D2.5.1_投资授权制度" localSheetId="25">'[2]Database-分值计算'!$B$600:$C$601</definedName>
    <definedName name="OR10_D2.5.1_投资授权制度" localSheetId="28">'[2]Database-分值计算'!$B$600:$C$601</definedName>
    <definedName name="OR10_D2.5.2.1.1_自行投资决策流程信息化和自动化" localSheetId="25">'[2]Database-分值计算'!$B$602:$C$604</definedName>
    <definedName name="OR10_D2.5.2.1.1_自行投资决策流程信息化和自动化" localSheetId="28">'[2]Database-分值计算'!$B$602:$C$604</definedName>
    <definedName name="OR10_D2.5.2.1.2_委托投资决策流程信息化和自动化" localSheetId="25">'[2]Database-分值计算'!$B$605:$C$607</definedName>
    <definedName name="OR10_D2.5.2.1.2_委托投资决策流程信息化和自动化" localSheetId="28">'[2]Database-分值计算'!$B$605:$C$607</definedName>
    <definedName name="OR10_D2.5.2.2.1_自行投资决策书面记录" localSheetId="25">'[2]Database-分值计算'!$B$608:$C$610</definedName>
    <definedName name="OR10_D2.5.2.2.1_自行投资决策书面记录" localSheetId="28">'[2]Database-分值计算'!$B$608:$C$610</definedName>
    <definedName name="OR10_D2.5.2.2.2_委托投资决策书面记录" localSheetId="25">'[2]Database-分值计算'!$B$611:$C$613</definedName>
    <definedName name="OR10_D2.5.2.2.2_委托投资决策书面记录" localSheetId="28">'[2]Database-分值计算'!$B$611:$C$613</definedName>
    <definedName name="OR10_D2.5.3.1_自行投资投资池、备选池和禁投池体系" localSheetId="25">'[2]Database-分值计算'!$B$614:$C$616</definedName>
    <definedName name="OR10_D2.5.3.1_自行投资投资池、备选池和禁投池体系" localSheetId="28">'[2]Database-分值计算'!$B$614:$C$616</definedName>
    <definedName name="OR10_D2.5.3.2_委托投资投资池、备选池和禁投池体系" localSheetId="25">'[2]Database-分值计算'!$B$617:$C$619</definedName>
    <definedName name="OR10_D2.5.3.2_委托投资投资池、备选池和禁投池体系" localSheetId="28">'[2]Database-分值计算'!$B$617:$C$619</definedName>
    <definedName name="OR10_D2.5.4_投资决策操作风险" localSheetId="25">'[2]Database-分值计算'!$B$620:$C$622</definedName>
    <definedName name="OR10_D2.5.4_投资决策操作风险" localSheetId="28">'[2]Database-分值计算'!$B$620:$C$622</definedName>
    <definedName name="OR10_D2.6.1.1_自行投资集中交易" localSheetId="25">'[2]Database-分值计算'!$B$623:$C$625</definedName>
    <definedName name="OR10_D2.6.1.1_自行投资集中交易" localSheetId="28">'[2]Database-分值计算'!$B$623:$C$625</definedName>
    <definedName name="OR10_D2.6.1.2_委托投资集中交易" localSheetId="25">'[2]Database-分值计算'!$B$626:$C$628</definedName>
    <definedName name="OR10_D2.6.1.2_委托投资集中交易" localSheetId="28">'[2]Database-分值计算'!$B$626:$C$628</definedName>
    <definedName name="OR10_D2.6.2.1_自行投资交易记录" localSheetId="25">'[2]Database-分值计算'!$B$629:$C$631</definedName>
    <definedName name="OR10_D2.6.2.1_自行投资交易记录" localSheetId="28">'[2]Database-分值计算'!$B$629:$C$631</definedName>
    <definedName name="OR10_D2.6.2.2_委托投资交易记录" localSheetId="25">'[2]Database-分值计算'!$B$632:$C$634</definedName>
    <definedName name="OR10_D2.6.2.2_委托投资交易记录" localSheetId="28">'[2]Database-分值计算'!$B$632:$C$634</definedName>
    <definedName name="OR10_D2.6.3_交易行为操作风险" localSheetId="25">'[2]Database-分值计算'!$B$635:$C$637</definedName>
    <definedName name="OR10_D2.6.3_交易行为操作风险" localSheetId="28">'[2]Database-分值计算'!$B$635:$C$637</definedName>
    <definedName name="OR10_D2.7.1.1_自行投资会计估值政策与制度规范" localSheetId="25">'[2]Database-分值计算'!$B$638:$C$640</definedName>
    <definedName name="OR10_D2.7.1.1_自行投资会计估值政策与制度规范" localSheetId="28">'[2]Database-分值计算'!$B$638:$C$640</definedName>
    <definedName name="OR10_D2.7.1.2_委托投资会计估值政策与制度规范" localSheetId="25">'[2]Database-分值计算'!$B$641:$C$643</definedName>
    <definedName name="OR10_D2.7.1.2_委托投资会计估值政策与制度规范" localSheetId="28">'[2]Database-分值计算'!$B$641:$C$643</definedName>
    <definedName name="OR10_D2.7.2.1_自行投资清算和交易信息核对频率" localSheetId="25">'[2]Database-分值计算'!$B$644:$C$646</definedName>
    <definedName name="OR10_D2.7.2.1_自行投资清算和交易信息核对频率" localSheetId="28">'[2]Database-分值计算'!$B$644:$C$646</definedName>
    <definedName name="OR10_D2.7.2.2_委托投资清算和交易信息核对频率" localSheetId="25">'[2]Database-分值计算'!$B$647:$C$649</definedName>
    <definedName name="OR10_D2.7.2.2_委托投资清算和交易信息核对频率" localSheetId="28">'[2]Database-分值计算'!$B$647:$C$649</definedName>
    <definedName name="OR10_D2.7.3_估值核算操作风险事件" localSheetId="25">'[2]Database-分值计算'!$B$650:$C$652</definedName>
    <definedName name="OR10_D2.7.3_估值核算操作风险事件" localSheetId="28">'[2]Database-分值计算'!$B$650:$C$652</definedName>
    <definedName name="OR10_D2.8_信息披露风险事件" localSheetId="25">'[2]Database-分值计算'!$B$653:$C$655</definedName>
    <definedName name="OR10_D2.8_信息披露风险事件" localSheetId="28">'[2]Database-分值计算'!$B$653:$C$655</definedName>
    <definedName name="OR10_D3.1.1.1_自行投资系统自动化" localSheetId="25">'[2]Database-分值计算'!$B$656:$C$659</definedName>
    <definedName name="OR10_D3.1.1.1_自行投资系统自动化" localSheetId="28">'[2]Database-分值计算'!$B$656:$C$659</definedName>
    <definedName name="OR10_D3.1.1.2_委托投资系统自动化" localSheetId="25">'[2]Database-分值计算'!$B$660:$C$662</definedName>
    <definedName name="OR10_D3.1.1.2_委托投资系统自动化" localSheetId="28">'[2]Database-分值计算'!$B$660:$C$662</definedName>
    <definedName name="OR10_D3.1.2_系统设计差错量" localSheetId="25">'[2]Database-分值计算'!$B$663:$C$664</definedName>
    <definedName name="OR10_D3.1.2_系统设计差错量" localSheetId="28">'[2]Database-分值计算'!$B$663:$C$664</definedName>
    <definedName name="OR10_D3.2.1_系统中断次数" localSheetId="25">'[2]Database-分值计算'!$B$665:$C$666</definedName>
    <definedName name="OR10_D3.2.1_系统中断次数" localSheetId="28">'[2]Database-分值计算'!$B$665:$C$666</definedName>
    <definedName name="OR10_D3.2.2_系统异常事件数量" localSheetId="25">'[2]Database-分值计算'!$B$667:$C$668</definedName>
    <definedName name="OR10_D3.2.2_系统异常事件数量" localSheetId="28">'[2]Database-分值计算'!$B$667:$C$668</definedName>
    <definedName name="OR10_D3.3_信息安全事件数量" localSheetId="25">'[2]Database-分值计算'!$B$669:$C$671</definedName>
    <definedName name="OR10_D3.3_信息安全事件数量" localSheetId="28">'[2]Database-分值计算'!$B$669:$C$671</definedName>
    <definedName name="OR10_D3.4_数据差错量" localSheetId="25">'[2]Database-分值计算'!$B$672:$C$673</definedName>
    <definedName name="OR10_D3.4_数据差错量" localSheetId="28">'[2]Database-分值计算'!$B$672:$C$673</definedName>
    <definedName name="OR10_D4.1_对新政策的参与和反应速度" localSheetId="25">'[2]Database-分值计算'!$B$674:$C$675</definedName>
    <definedName name="OR10_D4.1_对新政策的参与和反应速度" localSheetId="28">'[2]Database-分值计算'!$B$674:$C$675</definedName>
    <definedName name="OR10_D4.2_新政策培训" localSheetId="25">'[2]Database-分值计算'!$B$676:$C$677</definedName>
    <definedName name="OR10_D4.2_新政策培训" localSheetId="28">'[2]Database-分值计算'!$B$676:$C$677</definedName>
    <definedName name="OR10_D6.1_投资决策操作风险事件" localSheetId="25">'[2]Database-分值计算'!$B$678:$C$680</definedName>
    <definedName name="OR10_D6.1_投资决策操作风险事件" localSheetId="28">'[2]Database-分值计算'!$B$678:$C$680</definedName>
    <definedName name="OR10_D6.2_交易行为操作风险事件" localSheetId="25">'[2]Database-分值计算'!$B$681:$C$683</definedName>
    <definedName name="OR10_D6.2_交易行为操作风险事件" localSheetId="28">'[2]Database-分值计算'!$B$681:$C$683</definedName>
    <definedName name="OR10_D6.3_估值核算操作风险事件" localSheetId="25">'[2]Database-分值计算'!$B$684:$C$686</definedName>
    <definedName name="OR10_D6.3_估值核算操作风险事件" localSheetId="28">'[2]Database-分值计算'!$B$684:$C$686</definedName>
    <definedName name="OR10_D6.4_信息披露操作风险事件" localSheetId="25">'[2]Database-分值计算'!$B$687:$C$689</definedName>
    <definedName name="OR10_D6.4_信息披露操作风险事件" localSheetId="28">'[2]Database-分值计算'!$B$687:$C$689</definedName>
    <definedName name="OR10_X1.1.2_资产管理部门负责人违法违规及处罚" localSheetId="25">'[2]Database-下拉框'!$B$164:$B$165</definedName>
    <definedName name="OR10_X1.1.2_资产管理部门负责人违法违规及处罚" localSheetId="28">'[2]Database-下拉框'!$B$164:$B$165</definedName>
    <definedName name="OR10_X1.2.1.1_委托投资人员岗位" localSheetId="25">'[2]Database-下拉框'!$B$166:$B$168</definedName>
    <definedName name="OR10_X1.2.1.1_委托投资人员岗位" localSheetId="28">'[2]Database-下拉框'!$B$166:$B$168</definedName>
    <definedName name="OR10_X1.2.1.2_自行投资人员岗位" localSheetId="25">'[2]Database-下拉框'!$B$169:$B$171</definedName>
    <definedName name="OR10_X1.2.1.2_自行投资人员岗位" localSheetId="28">'[2]Database-下拉框'!$B$169:$B$171</definedName>
    <definedName name="OR10_X1.4.1.1_自行投资投研人员激励机制" localSheetId="25">'[2]Database-下拉框'!$B$172:$B$174</definedName>
    <definedName name="OR10_X1.4.1.1_自行投资投研人员激励机制" localSheetId="28">'[2]Database-下拉框'!$B$172:$B$174</definedName>
    <definedName name="OR10_X1.4.1.2_委托投资投研人员激励机制" localSheetId="25">'[2]Database-下拉框'!$B$175:$B$177</definedName>
    <definedName name="OR10_X1.4.1.2_委托投资投研人员激励机制" localSheetId="28">'[2]Database-下拉框'!$B$175:$B$177</definedName>
    <definedName name="OR10_X1.4.2.1_自行投资风险管理人员激励机制" localSheetId="25">'[2]Database-下拉框'!$B$178:$B$180</definedName>
    <definedName name="OR10_X1.4.2.1_自行投资风险管理人员激励机制" localSheetId="28">'[2]Database-下拉框'!$B$178:$B$180</definedName>
    <definedName name="OR10_X1.4.2.2_委托投资风险管理人员激励机制" localSheetId="25">'[2]Database-下拉框'!$B$181:$B$183</definedName>
    <definedName name="OR10_X1.4.2.2_委托投资风险管理人员激励机制" localSheetId="28">'[2]Database-下拉框'!$B$181:$B$183</definedName>
    <definedName name="OR10_X1.4.3.1_自行投资业绩考核" localSheetId="25">'[2]Database-下拉框'!$B$184:$B$186</definedName>
    <definedName name="OR10_X1.4.3.1_自行投资业绩考核" localSheetId="28">'[2]Database-下拉框'!$B$184:$B$186</definedName>
    <definedName name="OR10_X1.4.3.2_委托投资业绩考核" localSheetId="25">'[2]Database-下拉框'!$B$187:$B$189</definedName>
    <definedName name="OR10_X1.4.3.2_委托投资业绩考核" localSheetId="28">'[2]Database-下拉框'!$B$187:$B$189</definedName>
    <definedName name="OR10_X2.1_操作风险数据库" localSheetId="25">'[2]Database-下拉框'!$B$190:$B$191</definedName>
    <definedName name="OR10_X2.1_操作风险数据库" localSheetId="28">'[2]Database-下拉框'!$B$190:$B$191</definedName>
    <definedName name="OR10_X2.2.1_委托投资管理制度" localSheetId="25">'[2]Database-下拉框'!$B$192:$B$194</definedName>
    <definedName name="OR10_X2.2.1_委托投资管理制度" localSheetId="28">'[2]Database-下拉框'!$B$192:$B$194</definedName>
    <definedName name="OR10_X2.2.2_委托投资指引" localSheetId="25">'[2]Database-下拉框'!$B$195:$B$197</definedName>
    <definedName name="OR10_X2.2.2_委托投资指引" localSheetId="28">'[2]Database-下拉框'!$B$195:$B$197</definedName>
    <definedName name="OR10_X2.2.3_定期评估" localSheetId="25">'[2]Database-下拉框'!$B$198:$B$201</definedName>
    <definedName name="OR10_X2.2.3_定期评估" localSheetId="28">'[2]Database-下拉框'!$B$198:$B$201</definedName>
    <definedName name="OR10_X2.3.1_压力测试" localSheetId="25">'[2]Database-下拉框'!$B$202:$B$203</definedName>
    <definedName name="OR10_X2.3.1_压力测试" localSheetId="28">'[2]Database-下拉框'!$B$202:$B$203</definedName>
    <definedName name="OR10_X2.3.2.1_自行投资分账户" localSheetId="25">'[2]Database-下拉框'!$B$204:$B$206</definedName>
    <definedName name="OR10_X2.3.2.1_自行投资分账户" localSheetId="28">'[2]Database-下拉框'!$B$204:$B$206</definedName>
    <definedName name="OR10_X2.3.2.2_委托投资分账户" localSheetId="25">'[2]Database-下拉框'!$B$207:$B$209</definedName>
    <definedName name="OR10_X2.3.2.2_委托投资分账户" localSheetId="28">'[2]Database-下拉框'!$B$207:$B$209</definedName>
    <definedName name="OR10_X2.4_托管" localSheetId="25">'[2]Database-下拉框'!$B$210:$B$212</definedName>
    <definedName name="OR10_X2.4_托管" localSheetId="28">'[2]Database-下拉框'!$B$210:$B$212</definedName>
    <definedName name="OR10_X2.5.1_投资授权制度" localSheetId="25">'[2]Database-下拉框'!$B$213:$B$214</definedName>
    <definedName name="OR10_X2.5.1_投资授权制度" localSheetId="28">'[2]Database-下拉框'!$B$213:$B$214</definedName>
    <definedName name="OR10_X2.5.2.1.1_自行投资决策流程信息化和自动化" localSheetId="25">'[2]Database-下拉框'!$B$215:$B$217</definedName>
    <definedName name="OR10_X2.5.2.1.1_自行投资决策流程信息化和自动化" localSheetId="28">'[2]Database-下拉框'!$B$215:$B$217</definedName>
    <definedName name="OR10_X2.5.2.1.2_委托投资决策流程信息化和自动化" localSheetId="25">'[2]Database-下拉框'!$B$218:$B$220</definedName>
    <definedName name="OR10_X2.5.2.1.2_委托投资决策流程信息化和自动化" localSheetId="28">'[2]Database-下拉框'!$B$218:$B$220</definedName>
    <definedName name="OR10_X2.5.2.2.1_自行投资决策书面记录" localSheetId="25">'[2]Database-下拉框'!$B$221:$B$223</definedName>
    <definedName name="OR10_X2.5.2.2.1_自行投资决策书面记录" localSheetId="28">'[2]Database-下拉框'!$B$221:$B$223</definedName>
    <definedName name="OR10_X2.5.2.2.2_委托投资决策书面记录" localSheetId="25">'[2]Database-下拉框'!$B$224:$B$226</definedName>
    <definedName name="OR10_X2.5.2.2.2_委托投资决策书面记录" localSheetId="28">'[2]Database-下拉框'!$B$224:$B$226</definedName>
    <definedName name="OR10_X2.5.3.1_自行投资投资池、备选池和禁投池体系" localSheetId="25">'[2]Database-下拉框'!$B$227:$B$229</definedName>
    <definedName name="OR10_X2.5.3.1_自行投资投资池、备选池和禁投池体系" localSheetId="28">'[2]Database-下拉框'!$B$227:$B$229</definedName>
    <definedName name="OR10_X2.5.3.2_委托投资投资池、备选池和禁投池体系" localSheetId="25">'[2]Database-下拉框'!$B$230:$B$232</definedName>
    <definedName name="OR10_X2.5.3.2_委托投资投资池、备选池和禁投池体系" localSheetId="28">'[2]Database-下拉框'!$B$230:$B$232</definedName>
    <definedName name="OR10_X2.6.1.1_自行投资集中交易" localSheetId="25">'[2]Database-下拉框'!$B$233:$B$235</definedName>
    <definedName name="OR10_X2.6.1.1_自行投资集中交易" localSheetId="28">'[2]Database-下拉框'!$B$233:$B$235</definedName>
    <definedName name="OR10_X2.6.1.2_委托投资集中交易" localSheetId="25">'[2]Database-下拉框'!$B$236:$B$238</definedName>
    <definedName name="OR10_X2.6.1.2_委托投资集中交易" localSheetId="28">'[2]Database-下拉框'!$B$236:$B$238</definedName>
    <definedName name="OR10_X2.6.2.1_自行投资交易记录" localSheetId="25">'[2]Database-下拉框'!$B$239:$B$241</definedName>
    <definedName name="OR10_X2.6.2.1_自行投资交易记录" localSheetId="28">'[2]Database-下拉框'!$B$239:$B$241</definedName>
    <definedName name="OR10_X2.6.2.2_委托投资交易记录" localSheetId="25">'[2]Database-下拉框'!$B$242:$B$244</definedName>
    <definedName name="OR10_X2.6.2.2_委托投资交易记录" localSheetId="28">'[2]Database-下拉框'!$B$242:$B$244</definedName>
    <definedName name="OR10_X2.7.1.1_自行投资会计估值政策与制度规范" localSheetId="25">'[2]Database-下拉框'!$B$245:$B$247</definedName>
    <definedName name="OR10_X2.7.1.1_自行投资会计估值政策与制度规范" localSheetId="28">'[2]Database-下拉框'!$B$245:$B$247</definedName>
    <definedName name="OR10_X2.7.1.2_委托投资会计估值政策与制度规范" localSheetId="25">'[2]Database-下拉框'!$B$248:$B$250</definedName>
    <definedName name="OR10_X2.7.1.2_委托投资会计估值政策与制度规范" localSheetId="28">'[2]Database-下拉框'!$B$248:$B$250</definedName>
    <definedName name="OR10_X2.7.2.1_自行投资清算和交易信息核对频率" localSheetId="25">'[2]Database-下拉框'!$B$251:$B$253</definedName>
    <definedName name="OR10_X2.7.2.1_自行投资清算和交易信息核对频率" localSheetId="28">'[2]Database-下拉框'!$B$251:$B$253</definedName>
    <definedName name="OR10_X2.7.2.2_委托投资清算和交易信息核对频率" localSheetId="25">'[2]Database-下拉框'!$B$254:$B$256</definedName>
    <definedName name="OR10_X2.7.2.2_委托投资清算和交易信息核对频率" localSheetId="28">'[2]Database-下拉框'!$B$254:$B$256</definedName>
    <definedName name="OR10_X3.1.1.1_自行投资系统自动化" localSheetId="25">'[2]Database-下拉框'!$B$257:$B$260</definedName>
    <definedName name="OR10_X3.1.1.1_自行投资系统自动化" localSheetId="28">'[2]Database-下拉框'!$B$257:$B$260</definedName>
    <definedName name="OR10_X3.1.1.2_委托投资系统自动化" localSheetId="25">'[2]Database-下拉框'!$B$261:$B$263</definedName>
    <definedName name="OR10_X3.1.1.2_委托投资系统自动化" localSheetId="28">'[2]Database-下拉框'!$B$261:$B$263</definedName>
    <definedName name="OR10_X4.1_对新政策的参与和反应速度" localSheetId="25">'[2]Database-下拉框'!$B$264:$B$265</definedName>
    <definedName name="OR10_X4.1_对新政策的参与和反应速度" localSheetId="28">'[2]Database-下拉框'!$B$264:$B$265</definedName>
    <definedName name="OR10_X4.2_新政策培训" localSheetId="25">'[2]Database-下拉框'!$B$266:$B$267</definedName>
    <definedName name="OR10_X4.2_新政策培训" localSheetId="28">'[2]Database-下拉框'!$B$266:$B$267</definedName>
    <definedName name="OR12_D1.1_财会部门主要负责人专业性" localSheetId="25">'[2]Database-分值计算'!$B$690:$C$692</definedName>
    <definedName name="OR12_D1.1_财会部门主要负责人专业性" localSheetId="28">'[2]Database-分值计算'!$B$690:$C$692</definedName>
    <definedName name="OR12_D1.2.1.1_财会部门人数_否_I类公司" localSheetId="25">'[2]Database-分值计算'!$B$699:$C$700</definedName>
    <definedName name="OR12_D1.2.1.1_财会部门人数_否_I类公司" localSheetId="28">'[2]Database-分值计算'!$B$699:$C$700</definedName>
    <definedName name="OR12_D1.2.1.1_财会部门人数_是_II类公司" localSheetId="25">'[2]Database-分值计算'!$B$701:$C$702</definedName>
    <definedName name="OR12_D1.2.1.1_财会部门人数_是_II类公司" localSheetId="28">'[2]Database-分值计算'!$B$701:$C$702</definedName>
    <definedName name="OR12_D1.2.1.1_财会部门人数_是_I类公司" localSheetId="25">'[2]Database-分值计算'!$B$697:$C$698</definedName>
    <definedName name="OR12_D1.2.1.1_财会部门人数_是_I类公司" localSheetId="28">'[2]Database-分值计算'!$B$697:$C$698</definedName>
    <definedName name="OR12_D1.2.1.1_财务处理情况" localSheetId="25">'[2]Database-分值计算'!$B$693:$C$696</definedName>
    <definedName name="OR12_D1.2.1.1_财务处理情况" localSheetId="28">'[2]Database-分值计算'!$B$693:$C$696</definedName>
    <definedName name="OR12_D1.2.2_财会部门人员流失率" localSheetId="25">'[2]Database-分值计算'!$B$705:$C$706</definedName>
    <definedName name="OR12_D1.2.2_财会部门人员流失率" localSheetId="28">'[2]Database-分值计算'!$B$705:$C$706</definedName>
    <definedName name="OR12_D1.3_员工培训率" localSheetId="25">'[2]Database-分值计算'!$B$707:$C$708</definedName>
    <definedName name="OR12_D1.3_员工培训率" localSheetId="28">'[2]Database-分值计算'!$B$707:$C$708</definedName>
    <definedName name="OR12_D1.4_业绩考核" localSheetId="25">'[2]Database-分值计算'!$B$709:$C$710</definedName>
    <definedName name="OR12_D1.4_业绩考核" localSheetId="28">'[2]Database-分值计算'!$B$709:$C$710</definedName>
    <definedName name="OR12_D2.1_操作风险数据库" localSheetId="25">'[2]Database-分值计算'!$B$711:$C$712</definedName>
    <definedName name="OR12_D2.1_操作风险数据库" localSheetId="28">'[2]Database-分值计算'!$B$711:$C$712</definedName>
    <definedName name="OR12_D2.2.1_核算集中度" localSheetId="25">'[2]Database-分值计算'!$B$713:$C$714</definedName>
    <definedName name="OR12_D2.2.1_核算集中度" localSheetId="28">'[2]Database-分值计算'!$B$713:$C$714</definedName>
    <definedName name="OR12_D2.2.2_会计差错量" localSheetId="25">'[2]Database-分值计算'!$B$715:$C$716</definedName>
    <definedName name="OR12_D2.2.2_会计差错量" localSheetId="28">'[2]Database-分值计算'!$B$715:$C$716</definedName>
    <definedName name="OR12_D2.2.3_委托投资资产数据核对" localSheetId="25">'[2]Database-分值计算'!$B$717:$C$718</definedName>
    <definedName name="OR12_D2.2.3_委托投资资产数据核对" localSheetId="28">'[2]Database-分值计算'!$B$717:$C$718</definedName>
    <definedName name="OR12_D2.3.1_偿付能力报告差错量" localSheetId="25">'[2]Database-分值计算'!$B$719:$C$721</definedName>
    <definedName name="OR12_D2.3.1_偿付能力报告差错量" localSheetId="28">'[2]Database-分值计算'!$B$719:$C$721</definedName>
    <definedName name="OR12_D2.3.2_偿付能力报告出现重大错报或漏报" localSheetId="25">'[2]Database-分值计算'!$B$722:$C$723</definedName>
    <definedName name="OR12_D2.3.2_偿付能力报告出现重大错报或漏报" localSheetId="28">'[2]Database-分值计算'!$B$722:$C$723</definedName>
    <definedName name="OR12_D2.4.1_财务报告差错量" localSheetId="25">'[2]Database-分值计算'!$B$724:$C$726</definedName>
    <definedName name="OR12_D2.4.1_财务报告差错量" localSheetId="28">'[2]Database-分值计算'!$B$724:$C$726</definedName>
    <definedName name="OR12_D2.4.2_财务报告出现重大错报或漏报" localSheetId="25">'[2]Database-分值计算'!$B$727:$C$728</definedName>
    <definedName name="OR12_D2.4.2_财务报告出现重大错报或漏报" localSheetId="28">'[2]Database-分值计算'!$B$727:$C$728</definedName>
    <definedName name="OR12_D2.5.1_收支两条线" localSheetId="25">'[2]Database-分值计算'!$B$729:$C$730</definedName>
    <definedName name="OR12_D2.5.1_收支两条线" localSheetId="28">'[2]Database-分值计算'!$B$729:$C$730</definedName>
    <definedName name="OR12_D2.5.2_银行账户集中管理" localSheetId="25">'[2]Database-分值计算'!$B$731:$C$732</definedName>
    <definedName name="OR12_D2.5.2_银行账户集中管理" localSheetId="28">'[2]Database-分值计算'!$B$731:$C$732</definedName>
    <definedName name="OR12_D2.5.3_资金管理操作风险事件" localSheetId="25">'[2]Database-分值计算'!$B$733:$C$735</definedName>
    <definedName name="OR12_D2.5.3_资金管理操作风险事件" localSheetId="28">'[2]Database-分值计算'!$B$733:$C$735</definedName>
    <definedName name="OR12_D2.6.1_单证管理" localSheetId="25">'[2]Database-分值计算'!$B$736:$C$737</definedName>
    <definedName name="OR12_D2.6.1_单证管理" localSheetId="28">'[2]Database-分值计算'!$B$736:$C$737</definedName>
    <definedName name="OR12_D2.6.2_空白单证缺失率" localSheetId="25">'[2]Database-分值计算'!$B$738:$C$739</definedName>
    <definedName name="OR12_D2.6.2_空白单证缺失率" localSheetId="28">'[2]Database-分值计算'!$B$738:$C$739</definedName>
    <definedName name="OR12_D2.7.1_印章管理" localSheetId="25">'[2]Database-分值计算'!$B$740:$C$741</definedName>
    <definedName name="OR12_D2.7.1_印章管理" localSheetId="28">'[2]Database-分值计算'!$B$740:$C$741</definedName>
    <definedName name="OR12_D2.7.2_印章管理操作风险事件" localSheetId="25">'[2]Database-分值计算'!$B$742:$C$744</definedName>
    <definedName name="OR12_D2.7.2_印章管理操作风险事件" localSheetId="28">'[2]Database-分值计算'!$B$742:$C$744</definedName>
    <definedName name="OR12_D2.8.1_税收管理" localSheetId="25">'[2]Database-分值计算'!$B$745:$C$746</definedName>
    <definedName name="OR12_D2.8.1_税收管理" localSheetId="28">'[2]Database-分值计算'!$B$745:$C$746</definedName>
    <definedName name="OR12_D2.8.1_税收管理_II类公司" localSheetId="25">'[2]Database-分值计算'!$B$750:$C$752</definedName>
    <definedName name="OR12_D2.8.1_税收管理_II类公司" localSheetId="28">'[2]Database-分值计算'!$B$750:$C$752</definedName>
    <definedName name="OR12_D2.8.1_税收管理_I类公司" localSheetId="25">'[2]Database-分值计算'!$B$747:$C$749</definedName>
    <definedName name="OR12_D2.8.1_税收管理_I类公司" localSheetId="28">'[2]Database-分值计算'!$B$747:$C$749</definedName>
    <definedName name="OR12_D2.8.2_税收操作风险事件" localSheetId="25">'[2]Database-分值计算'!$B$753:$C$755</definedName>
    <definedName name="OR12_D2.8.2_税收操作风险事件" localSheetId="28">'[2]Database-分值计算'!$B$753:$C$755</definedName>
    <definedName name="OR12_D3.1_系统自动化" localSheetId="25">'[2]Database-分值计算'!$B$756:$C$757</definedName>
    <definedName name="OR12_D3.1_系统自动化" localSheetId="28">'[2]Database-分值计算'!$B$756:$C$757</definedName>
    <definedName name="OR12_D3.2_系统异常事件数量" localSheetId="25">'[2]Database-分值计算'!$B$758:$C$760</definedName>
    <definedName name="OR12_D3.2_系统异常事件数量" localSheetId="28">'[2]Database-分值计算'!$B$758:$C$760</definedName>
    <definedName name="OR12_D3.3_系统管理集中度" localSheetId="25">'[2]Database-分值计算'!$B$761:$C$762</definedName>
    <definedName name="OR12_D3.3_系统管理集中度" localSheetId="28">'[2]Database-分值计算'!$B$761:$C$762</definedName>
    <definedName name="OR12_D3.4.1_数据核对频率" localSheetId="25">'[2]Database-分值计算'!$B$763:$C$765</definedName>
    <definedName name="OR12_D3.4.1_数据核对频率" localSheetId="28">'[2]Database-分值计算'!$B$763:$C$765</definedName>
    <definedName name="OR12_D3.4.2_数据差错率" localSheetId="25">'[2]Database-分值计算'!$B$766:$C$767</definedName>
    <definedName name="OR12_D3.4.2_数据差错率" localSheetId="28">'[2]Database-分值计算'!$B$766:$C$767</definedName>
    <definedName name="OR12_D4.1_对新政策的参与和反应" localSheetId="25">'[2]Database-分值计算'!$B$768:$C$769</definedName>
    <definedName name="OR12_D4.1_对新政策的参与和反应" localSheetId="28">'[2]Database-分值计算'!$B$768:$C$769</definedName>
    <definedName name="OR12_D4.2_新政策培训" localSheetId="25">'[2]Database-分值计算'!$B$770:$C$771</definedName>
    <definedName name="OR12_D4.2_新政策培训" localSheetId="28">'[2]Database-分值计算'!$B$770:$C$771</definedName>
    <definedName name="OR12_X1.1_财会部门主要负责人专业性" localSheetId="25">'[2]Database-下拉框'!$B$268:$B$270</definedName>
    <definedName name="OR12_X1.1_财会部门主要负责人专业性" localSheetId="28">'[2]Database-下拉框'!$B$268:$B$270</definedName>
    <definedName name="OR12_X1.4_业绩考核" localSheetId="25">'[2]Database-下拉框'!$B$271:$B$272</definedName>
    <definedName name="OR12_X1.4_业绩考核" localSheetId="28">'[2]Database-下拉框'!$B$271:$B$272</definedName>
    <definedName name="OR12_X2.1_操作风险数据库" localSheetId="25">'[2]Database-下拉框'!$B$273:$B$274</definedName>
    <definedName name="OR12_X2.1_操作风险数据库" localSheetId="28">'[2]Database-下拉框'!$B$273:$B$274</definedName>
    <definedName name="OR12_X2.2.1_核算集中度" localSheetId="25">'[2]Database-下拉框'!$B$275:$B$276</definedName>
    <definedName name="OR12_X2.2.1_核算集中度" localSheetId="28">'[2]Database-下拉框'!$B$275:$B$276</definedName>
    <definedName name="OR12_X2.2.3_委托投资资产数据核对" localSheetId="25">'[2]Database-下拉框'!$B$277:$B$278</definedName>
    <definedName name="OR12_X2.2.3_委托投资资产数据核对" localSheetId="28">'[2]Database-下拉框'!$B$277:$B$278</definedName>
    <definedName name="OR12_X2.5.1_收支两条线" localSheetId="25">'[2]Database-下拉框'!$B$279:$B$280</definedName>
    <definedName name="OR12_X2.5.1_收支两条线" localSheetId="28">'[2]Database-下拉框'!$B$279:$B$280</definedName>
    <definedName name="OR12_X2.5.2_银行账户集中管理" localSheetId="25">'[2]Database-下拉框'!$B$281:$B$282</definedName>
    <definedName name="OR12_X2.5.2_银行账户集中管理" localSheetId="28">'[2]Database-下拉框'!$B$281:$B$282</definedName>
    <definedName name="OR12_X2.6.1_单证管理" localSheetId="25">'[2]Database-下拉框'!$B$283:$B$284</definedName>
    <definedName name="OR12_X2.6.1_单证管理" localSheetId="28">'[2]Database-下拉框'!$B$283:$B$284</definedName>
    <definedName name="OR12_X2.7.1_印章管理" localSheetId="25">'[2]Database-下拉框'!$B$285:$B$286</definedName>
    <definedName name="OR12_X2.7.1_印章管理" localSheetId="28">'[2]Database-下拉框'!$B$285:$B$286</definedName>
    <definedName name="OR12_X2.8.1_税收管理" localSheetId="25">'[2]Database-下拉框'!$B$287:$B$289</definedName>
    <definedName name="OR12_X2.8.1_税收管理" localSheetId="28">'[2]Database-下拉框'!$B$287:$B$289</definedName>
    <definedName name="OR12_X3.1_系统自动化" localSheetId="25">'[2]Database-下拉框'!$B$290:$B$291</definedName>
    <definedName name="OR12_X3.1_系统自动化" localSheetId="28">'[2]Database-下拉框'!$B$290:$B$291</definedName>
    <definedName name="OR12_X3.3_系统管理集中度" localSheetId="25">'[2]Database-下拉框'!$B$292:$B$293</definedName>
    <definedName name="OR12_X3.3_系统管理集中度" localSheetId="28">'[2]Database-下拉框'!$B$292:$B$293</definedName>
    <definedName name="OR12_X3.4.1_数据核对频率" localSheetId="25">'[2]Database-下拉框'!$B$294:$B$296</definedName>
    <definedName name="OR12_X3.4.1_数据核对频率" localSheetId="28">'[2]Database-下拉框'!$B$294:$B$296</definedName>
    <definedName name="OR12_X4.1_对新政策的参与和反应" localSheetId="25">'[2]Database-下拉框'!$B$297:$B$298</definedName>
    <definedName name="OR12_X4.1_对新政策的参与和反应" localSheetId="28">'[2]Database-下拉框'!$B$297:$B$298</definedName>
    <definedName name="OR12_X4.2_新政策培训" localSheetId="25">'[2]Database-下拉框'!$B$299:$B$300</definedName>
    <definedName name="OR12_X4.2_新政策培训" localSheetId="28">'[2]Database-下拉框'!$B$299:$B$300</definedName>
    <definedName name="OR13_D1.1_领导能力" localSheetId="25">'[2]Database-分值计算'!$B$772:$C$773</definedName>
    <definedName name="OR13_D1.1_领导能力" localSheetId="28">'[2]Database-分值计算'!$B$772:$C$773</definedName>
    <definedName name="OR13_D1.2.1_财会人员流失率" localSheetId="25">'[2]Database-分值计算'!$B$774:$C$775</definedName>
    <definedName name="OR13_D1.2.1_财会人员流失率" localSheetId="28">'[2]Database-分值计算'!$B$774:$C$775</definedName>
    <definedName name="OR13_D1.2.2_会计证持证率" localSheetId="25">'[2]Database-分值计算'!$B$776:$C$777</definedName>
    <definedName name="OR13_D1.2.2_会计证持证率" localSheetId="28">'[2]Database-分值计算'!$B$776:$C$777</definedName>
    <definedName name="OR13_D1.3_员工培训人次" localSheetId="25">'[2]Database-分值计算'!$B$778:$C$779</definedName>
    <definedName name="OR13_D1.3_员工培训人次" localSheetId="28">'[2]Database-分值计算'!$B$778:$C$779</definedName>
    <definedName name="OR13_D1.4.1_管理方式" localSheetId="25">'[2]Database-分值计算'!$B$780:$C$781</definedName>
    <definedName name="OR13_D1.4.1_管理方式" localSheetId="28">'[2]Database-分值计算'!$B$780:$C$781</definedName>
    <definedName name="OR13_D1.4.2_业绩考核" localSheetId="25">'[2]Database-分值计算'!$B$782:$C$783</definedName>
    <definedName name="OR13_D1.4.2_业绩考核" localSheetId="28">'[2]Database-分值计算'!$B$782:$C$783</definedName>
    <definedName name="OR13_D2.1.1.1_财务报告差错量" localSheetId="25">'[2]Database-分值计算'!$B$784:$C$786</definedName>
    <definedName name="OR13_D2.1.1.1_财务报告差错量" localSheetId="28">'[2]Database-分值计算'!$B$784:$C$786</definedName>
    <definedName name="OR13_D2.1.1.2_财务报告出现重大错报或漏报" localSheetId="25">'[2]Database-分值计算'!$B$787:$C$788</definedName>
    <definedName name="OR13_D2.1.1.2_财务报告出现重大错报或漏报" localSheetId="28">'[2]Database-分值计算'!$B$787:$C$788</definedName>
    <definedName name="OR13_D2.2.1_银行账户集中管理" localSheetId="25">'[2]Database-分值计算'!$B$789:$C$790</definedName>
    <definedName name="OR13_D2.2.1_银行账户集中管理" localSheetId="28">'[2]Database-分值计算'!$B$789:$C$790</definedName>
    <definedName name="OR13_D2.2.2_非现金收款比率" localSheetId="25">'[2]Database-分值计算'!$B$791:$C$793</definedName>
    <definedName name="OR13_D2.2.2_非现金收款比率" localSheetId="28">'[2]Database-分值计算'!$B$791:$C$793</definedName>
    <definedName name="OR13_D2.2.3_非现金付款比率" localSheetId="25">'[2]Database-分值计算'!$B$794:$C$796</definedName>
    <definedName name="OR13_D2.2.3_非现金付款比率" localSheetId="28">'[2]Database-分值计算'!$B$794:$C$796</definedName>
    <definedName name="OR13_D2.2.4_非寿险业务非正常应收保费比例" localSheetId="25">'[2]Database-分值计算'!$B$797:$C$799</definedName>
    <definedName name="OR13_D2.2.4_非寿险业务非正常应收保费比例" localSheetId="28">'[2]Database-分值计算'!$B$797:$C$799</definedName>
    <definedName name="OR13_D2.3.1_费用预算执行情况" localSheetId="25">'[2]Database-分值计算'!$B$800:$C$801</definedName>
    <definedName name="OR13_D2.3.1_费用预算执行情况" localSheetId="28">'[2]Database-分值计算'!$B$800:$C$801</definedName>
    <definedName name="OR13_D2.4.2_单证回销率" localSheetId="25">'[2]Database-分值计算'!$B$804:$C$806</definedName>
    <definedName name="OR13_D2.4.2_单证回销率" localSheetId="28">'[2]Database-分值计算'!$B$804:$C$806</definedName>
    <definedName name="OR13_D2.5_税收操作风险事件" localSheetId="25">'[2]Database-分值计算'!$B$807:$C$809</definedName>
    <definedName name="OR13_D2.5_税收操作风险事件" localSheetId="28">'[2]Database-分值计算'!$B$807:$C$809</definedName>
    <definedName name="OR13_D3.2_系统对接" localSheetId="25">'[2]Database-分值计算'!$B$810:$C$811</definedName>
    <definedName name="OR13_D3.2_系统对接" localSheetId="28">'[2]Database-分值计算'!$B$810:$C$811</definedName>
    <definedName name="OR13_D5_亿元保费财务操作风险事件数" localSheetId="25">'[2]Database-分值计算'!$B$812:$C$815</definedName>
    <definedName name="OR13_D5_亿元保费财务操作风险事件数" localSheetId="28">'[2]Database-分值计算'!$B$812:$C$815</definedName>
    <definedName name="OR13_X1.4.1_管理方式" localSheetId="25">'[2]Database-下拉框'!$B$301:$B$302</definedName>
    <definedName name="OR13_X1.4.1_管理方式" localSheetId="28">'[2]Database-下拉框'!$B$301:$B$302</definedName>
    <definedName name="OR13_X1.4.2_业绩考核" localSheetId="25">'[2]Database-下拉框'!$B$303:$B$304</definedName>
    <definedName name="OR13_X1.4.2_业绩考核" localSheetId="28">'[2]Database-下拉框'!$B$303:$B$304</definedName>
    <definedName name="OR13_X2.2.1_银行账户管理集中度" localSheetId="25">'[2]Database-下拉框'!$B$305:$B$306</definedName>
    <definedName name="OR13_X2.2.1_银行账户管理集中度" localSheetId="28">'[2]Database-下拉框'!$B$305:$B$306</definedName>
    <definedName name="OR13_X2.3.1_费用预算执行情况" localSheetId="25">'[2]Database-下拉框'!$B$307:$B$308</definedName>
    <definedName name="OR13_X2.3.1_费用预算执行情况" localSheetId="28">'[2]Database-下拉框'!$B$307:$B$308</definedName>
    <definedName name="OR13_X3.2_系统对接" localSheetId="25">'[2]Database-下拉框'!$B$309:$B$310</definedName>
    <definedName name="OR13_X3.2_系统对接" localSheetId="28">'[2]Database-下拉框'!$B$309:$B$310</definedName>
    <definedName name="OR14_D1_II类公司" localSheetId="25">'[2]Database-分值计算'!$B$474:$C$476</definedName>
    <definedName name="OR14_D1_II类公司" localSheetId="28">'[2]Database-分值计算'!$B$474:$C$476</definedName>
    <definedName name="OR14_D1_I类公司" localSheetId="25">'[2]Database-分值计算'!$B$471:$C$473</definedName>
    <definedName name="OR14_D1_I类公司" localSheetId="28">'[2]Database-分值计算'!$B$471:$C$473</definedName>
    <definedName name="OR14_D1_精算人员数量" localSheetId="25">'[2]Database-分值计算'!$B$469:$C$470</definedName>
    <definedName name="OR14_D1_精算人员数量" localSheetId="28">'[2]Database-分值计算'!$B$469:$C$470</definedName>
    <definedName name="OR14_D2.1_未到期责任准备金评估" localSheetId="25">'[2]Database-分值计算'!$B$477:$C$479</definedName>
    <definedName name="OR14_D2.1_未到期责任准备金评估" localSheetId="28">'[2]Database-分值计算'!$B$477:$C$479</definedName>
    <definedName name="OR14_D2.2_已发生未报案未决赔款准备金评估" localSheetId="25">'[2]Database-分值计算'!$B$480:$C$482</definedName>
    <definedName name="OR14_D2.2_已发生未报案未决赔款准备金评估" localSheetId="28">'[2]Database-分值计算'!$B$480:$C$482</definedName>
    <definedName name="OR14_D2.3_分保未决赔款准备金管理" localSheetId="25">'[2]Database-分值计算'!$B$483:$C$484</definedName>
    <definedName name="OR14_D2.3_分保未决赔款准备金管理" localSheetId="28">'[2]Database-分值计算'!$B$483:$C$484</definedName>
    <definedName name="OR14_D2.4_准备金核算完整性和及时性" localSheetId="25">'[2]Database-分值计算'!$B$485:$C$486</definedName>
    <definedName name="OR14_D2.4_准备金核算完整性和及时性" localSheetId="28">'[2]Database-分值计算'!$B$485:$C$486</definedName>
    <definedName name="OR14_D2.5_准备金总部是否有冗余" localSheetId="25">'[2]Database-分值计算'!$B$487:$C$488</definedName>
    <definedName name="OR14_D2.5_准备金总部是否有冗余" localSheetId="28">'[2]Database-分值计算'!$B$487:$C$488</definedName>
    <definedName name="OR14_D2.6_再保后未决赔款准备金回溯偏差率得分_II类公司" localSheetId="25">'[2]Database-分值计算'!$B$494:$C$496</definedName>
    <definedName name="OR14_D2.6_再保后未决赔款准备金回溯偏差率得分_II类公司" localSheetId="28">'[2]Database-分值计算'!$B$494:$C$496</definedName>
    <definedName name="OR14_D2.6_再保后未决赔款准备金回溯偏差率得分_I类公司" localSheetId="25">'[2]Database-分值计算'!$B$491:$C$493</definedName>
    <definedName name="OR14_D2.6_再保后未决赔款准备金回溯偏差率得分_I类公司" localSheetId="28">'[2]Database-分值计算'!$B$491:$C$493</definedName>
    <definedName name="OR14_D2.7_准备金管理制度" localSheetId="25">'[2]Database-分值计算'!$B$497:$C$499</definedName>
    <definedName name="OR14_D2.7_准备金管理制度" localSheetId="28">'[2]Database-分值计算'!$B$497:$C$499</definedName>
    <definedName name="OR14_D2.8.1_底稿完善性得分" localSheetId="25">'[2]Database-分值计算'!$B$500:$C$501</definedName>
    <definedName name="OR14_D2.8.1_底稿完善性得分" localSheetId="28">'[2]Database-分值计算'!$B$500:$C$501</definedName>
    <definedName name="OR14_D2.8.2_编制频率得分" localSheetId="25">'[2]Database-分值计算'!$B$502:$C$503</definedName>
    <definedName name="OR14_D2.8.2_编制频率得分" localSheetId="28">'[2]Database-分值计算'!$B$502:$C$503</definedName>
    <definedName name="OR14_D2.8.3_有效复核得分" localSheetId="25">'[2]Database-分值计算'!$B$504:$C$505</definedName>
    <definedName name="OR14_D2.8.3_有效复核得分" localSheetId="28">'[2]Database-分值计算'!$B$504:$C$505</definedName>
    <definedName name="OR14_D2.8.4_有效留存或备份得分" localSheetId="25">'[2]Database-分值计算'!$B$506:$C$507</definedName>
    <definedName name="OR14_D2.8.4_有效留存或备份得分" localSheetId="28">'[2]Database-分值计算'!$B$506:$C$507</definedName>
    <definedName name="OR14_D4.2_未决赔款准备金回溯偏差率" localSheetId="25">'[2]Database-分值计算'!$B$511:$C$513</definedName>
    <definedName name="OR14_D4.2_未决赔款准备金回溯偏差率" localSheetId="28">'[2]Database-分值计算'!$B$511:$C$513</definedName>
    <definedName name="OR14_D4.3_准备金系统数据一致性" localSheetId="25">'[2]Database-分值计算'!$B$514:$C$516</definedName>
    <definedName name="OR14_D4.3_准备金系统数据一致性" localSheetId="28">'[2]Database-分值计算'!$B$514:$C$516</definedName>
    <definedName name="OR14_X2.1_未到期责任准备金评估" localSheetId="25">'[2]Database-下拉框'!$B$141:$B$143</definedName>
    <definedName name="OR14_X2.1_未到期责任准备金评估" localSheetId="28">'[2]Database-下拉框'!$B$141:$B$143</definedName>
    <definedName name="OR14_X2.2_已发生未报案未决赔款准备金评估" localSheetId="25">'[2]Database-下拉框'!$B$144:$B$146</definedName>
    <definedName name="OR14_X2.2_已发生未报案未决赔款准备金评估" localSheetId="28">'[2]Database-下拉框'!$B$144:$B$146</definedName>
    <definedName name="OR14_X2.3_分保未决赔款准备金管理" localSheetId="25">'[2]Database-下拉框'!$B$147:$B$148</definedName>
    <definedName name="OR14_X2.3_分保未决赔款准备金管理" localSheetId="28">'[2]Database-下拉框'!$B$147:$B$148</definedName>
    <definedName name="OR14_X2.4_准备金核算完整性和及时性" localSheetId="25">'[2]Database-下拉框'!$B$149:$B$150</definedName>
    <definedName name="OR14_X2.4_准备金核算完整性和及时性" localSheetId="28">'[2]Database-下拉框'!$B$149:$B$150</definedName>
    <definedName name="OR14_X2.5_准备金总部是否有冗余" localSheetId="25">'[2]Database-下拉框'!$B$151:$B$152</definedName>
    <definedName name="OR14_X2.5_准备金总部是否有冗余" localSheetId="28">'[2]Database-下拉框'!$B$151:$B$152</definedName>
    <definedName name="OR14_X2.7_准备金管理制度" localSheetId="25">'[2]Database-下拉框'!$B$161:$B$163</definedName>
    <definedName name="OR14_X2.7_准备金管理制度" localSheetId="28">'[2]Database-下拉框'!$B$161:$B$163</definedName>
    <definedName name="OR14_X2.8.1_底稿完善性" localSheetId="25">'[2]Database-下拉框'!$B$153:$B$154</definedName>
    <definedName name="OR14_X2.8.1_底稿完善性" localSheetId="28">'[2]Database-下拉框'!$B$153:$B$154</definedName>
    <definedName name="OR14_X2.8.2_编制频率" localSheetId="25">'[2]Database-下拉框'!$B$155:$B$156</definedName>
    <definedName name="OR14_X2.8.2_编制频率" localSheetId="28">'[2]Database-下拉框'!$B$155:$B$156</definedName>
    <definedName name="OR14_X2.8.3_有效复核" localSheetId="25">'[2]Database-下拉框'!$B$157:$B$158</definedName>
    <definedName name="OR14_X2.8.3_有效复核" localSheetId="28">'[2]Database-下拉框'!$B$157:$B$158</definedName>
    <definedName name="OR14_X2.8.4_有效留存或备份" localSheetId="25">'[2]Database-下拉框'!$B$159:$B$160</definedName>
    <definedName name="OR14_X2.8.4_有效留存或备份" localSheetId="28">'[2]Database-下拉框'!$B$159:$B$160</definedName>
    <definedName name="OR15_D1.1_准备金评估工作人员的工作经验" localSheetId="25">'[2]Database-分值计算'!$B$517:$C$520</definedName>
    <definedName name="OR15_D1.1_准备金评估工作人员的工作经验" localSheetId="28">'[2]Database-分值计算'!$B$517:$C$520</definedName>
    <definedName name="OR15_D1.2_总精算师在公司连续工作年限" localSheetId="25">'[2]Database-分值计算'!$B$521:$C$525</definedName>
    <definedName name="OR15_D1.2_总精算师在公司连续工作年限" localSheetId="28">'[2]Database-分值计算'!$B$521:$C$525</definedName>
    <definedName name="OR15_D1.3_总精算师变换情况" localSheetId="25">'[2]Database-分值计算'!$B$526:$C$529</definedName>
    <definedName name="OR15_D1.3_总精算师变换情况" localSheetId="28">'[2]Database-分值计算'!$B$526:$C$529</definedName>
    <definedName name="OR15_D1.4_再保险管理人员的工作经验" localSheetId="25">'[2]Database-分值计算'!$B$530:$C$533</definedName>
    <definedName name="OR15_D1.4_再保险管理人员的工作经验" localSheetId="28">'[2]Database-分值计算'!$B$530:$C$533</definedName>
    <definedName name="OR17_D3.1_百亿元保费案件数" localSheetId="25">'[2]Database-分值计算'!$B$816:$C$820</definedName>
    <definedName name="OR17_D3.1_百亿元保费案件数" localSheetId="28">'[2]Database-分值计算'!$B$816:$C$820</definedName>
    <definedName name="OR17_D3.2_案件增长率" localSheetId="25">'[2]Database-分值计算'!$B$821:$C$825</definedName>
    <definedName name="OR17_D3.2_案件增长率" localSheetId="28">'[2]Database-分值计算'!$B$821:$C$825</definedName>
    <definedName name="OR17_D3.3_案发机构占比" localSheetId="25">'[2]Database-分值计算'!$B$826:$C$830</definedName>
    <definedName name="OR17_D3.3_案发机构占比" localSheetId="28">'[2]Database-分值计算'!$B$826:$C$830</definedName>
    <definedName name="OR17_D3.4_案件报送不及时率" localSheetId="25">'[2]Database-分值计算'!$B$831:$C$835</definedName>
    <definedName name="OR17_D3.4_案件报送不及时率" localSheetId="28">'[2]Database-分值计算'!$B$831:$C$835</definedName>
    <definedName name="OR17_D3.5_案件报送差错率" localSheetId="25">'[2]Database-分值计算'!$B$836:$C$840</definedName>
    <definedName name="OR17_D3.5_案件报送差错率" localSheetId="28">'[2]Database-分值计算'!$B$836:$C$840</definedName>
    <definedName name="OR17_D3.6_重大案件调查完成率" localSheetId="25">'[2]Database-分值计算'!$B$843:$C$846</definedName>
    <definedName name="OR17_D3.6_重大案件调查完成率" localSheetId="28">'[2]Database-分值计算'!$B$843:$C$846</definedName>
    <definedName name="OR17_D3.6_重大案件调查完成率情况" localSheetId="25">'[2]Database-分值计算'!$B$841:$C$842</definedName>
    <definedName name="OR17_D3.6_重大案件调查完成率情况" localSheetId="28">'[2]Database-分值计算'!$B$841:$C$842</definedName>
    <definedName name="OR17_D3.7_问责完成率" localSheetId="25">'[2]Database-分值计算'!$B$849:$C$852</definedName>
    <definedName name="OR17_D3.7_问责完成率" localSheetId="28">'[2]Database-分值计算'!$B$849:$C$852</definedName>
    <definedName name="OR17_D3.7_问责完成率情况" localSheetId="25">'[2]Database-分值计算'!$B$847:$C$848</definedName>
    <definedName name="OR17_D3.7_问责完成率情况" localSheetId="28">'[2]Database-分值计算'!$B$847:$C$848</definedName>
    <definedName name="OR17_D3.8_问责通报完成率" localSheetId="25">'[2]Database-分值计算'!$B$855:$C$858</definedName>
    <definedName name="OR17_D3.8_问责通报完成率" localSheetId="28">'[2]Database-分值计算'!$B$855:$C$858</definedName>
    <definedName name="OR17_D3.8_问责通报完成率情况" localSheetId="25">'[2]Database-分值计算'!$B$853:$C$854</definedName>
    <definedName name="OR17_D3.8_问责通报完成率情况" localSheetId="28">'[2]Database-分值计算'!$B$853:$C$854</definedName>
    <definedName name="OR18_D1.1.1.3_罚款和没收违法所得累计金额" localSheetId="25">'[2]Database-分值计算'!$B$859:$C$862</definedName>
    <definedName name="OR18_D1.1.1.3_罚款和没收违法所得累计金额" localSheetId="28">'[2]Database-分值计算'!$B$859:$C$862</definedName>
    <definedName name="OR18_D1.1.1.4_管理人员受处罚情况" localSheetId="25">'[2]Database-分值计算'!$B$863:$C$865</definedName>
    <definedName name="OR18_D1.1.1.4_管理人员受处罚情况" localSheetId="28">'[2]Database-分值计算'!$B$863:$C$865</definedName>
    <definedName name="OR18_D1.1.2既往行政处罚" localSheetId="25">'[2]Database-分值计算'!$B$866:$C$867</definedName>
    <definedName name="OR18_D1.1.2既往行政处罚" localSheetId="28">'[2]Database-分值计算'!$B$866:$C$867</definedName>
    <definedName name="OR18_D1.2_非保险类行政处罚" localSheetId="25">'[2]Database-分值计算'!$B$868:$C$869</definedName>
    <definedName name="OR18_D1.2_非保险类行政处罚" localSheetId="28">'[2]Database-分值计算'!$B$868:$C$869</definedName>
    <definedName name="OR18_D2.1.1_产险业每家分支机构受罚款金额" localSheetId="25">'[2]Database-分值计算'!$B$873:$C$876</definedName>
    <definedName name="OR18_D2.1.1_产险业每家分支机构受罚款金额" localSheetId="28">'[2]Database-分值计算'!$B$873:$C$876</definedName>
    <definedName name="OR18_D2.1.2_寿险业每家分支机构受罚款金额" localSheetId="25">'[2]Database-分值计算'!$B$877:$C$880</definedName>
    <definedName name="OR18_D2.1.2_寿险业每家分支机构受罚款金额" localSheetId="28">'[2]Database-分值计算'!$B$877:$C$880</definedName>
    <definedName name="OR18_D2.1.3_再保险公司每家分支机构受罚款金额" localSheetId="25">'[2]Database-分值计算'!$B$881:$C$884</definedName>
    <definedName name="OR18_D2.1.3_再保险公司每家分支机构受罚款金额" localSheetId="28">'[2]Database-分值计算'!$B$881:$C$884</definedName>
    <definedName name="OR18_D2.1_每家分支机构受罚款金额_公司类型" localSheetId="25">'[2]Database-分值计算'!$B$870:$C$872</definedName>
    <definedName name="OR18_D2.1_每家分支机构受罚款金额_公司类型" localSheetId="28">'[2]Database-分值计算'!$B$870:$C$872</definedName>
    <definedName name="OR18_D2.2.1_产险业受严重处罚分支机构占比" localSheetId="25">'[2]Database-分值计算'!$B$888:$C$891</definedName>
    <definedName name="OR18_D2.2.1_产险业受严重处罚分支机构占比" localSheetId="28">'[2]Database-分值计算'!$B$888:$C$891</definedName>
    <definedName name="OR18_D2.2.2_寿险业受严重处罚分支机构占比" localSheetId="25">'[2]Database-分值计算'!$B$892:$C$895</definedName>
    <definedName name="OR18_D2.2.2_寿险业受严重处罚分支机构占比" localSheetId="28">'[2]Database-分值计算'!$B$892:$C$895</definedName>
    <definedName name="OR18_D2.2.3_再保险公司受严重处罚分支机构占比" localSheetId="25">'[2]Database-分值计算'!$B$896:$C$899</definedName>
    <definedName name="OR18_D2.2.3_再保险公司受严重处罚分支机构占比" localSheetId="28">'[2]Database-分值计算'!$B$896:$C$899</definedName>
    <definedName name="OR18_D2.2_受严重处罚分支机构占比_公司类型" localSheetId="25">'[2]Database-分值计算'!$B$885:$C$887</definedName>
    <definedName name="OR18_D2.2_受严重处罚分支机构占比_公司类型" localSheetId="28">'[2]Database-分值计算'!$B$885:$C$887</definedName>
    <definedName name="OR18_D3.1_设置合规管理部门" localSheetId="25">'[2]Database-分值计算'!$B$900:$C$901</definedName>
    <definedName name="OR18_D3.1_设置合规管理部门" localSheetId="28">'[2]Database-分值计算'!$B$900:$C$901</definedName>
    <definedName name="OR18_D3.2_合规管理政策" localSheetId="25">'[2]Database-分值计算'!$B$902:$C$903</definedName>
    <definedName name="OR18_D3.2_合规管理政策" localSheetId="28">'[2]Database-分值计算'!$B$902:$C$903</definedName>
    <definedName name="OR18_D3.3_落实合规政策的文件" localSheetId="25">'[2]Database-分值计算'!$B$904:$C$905</definedName>
    <definedName name="OR18_D3.3_落实合规政策的文件" localSheetId="28">'[2]Database-分值计算'!$B$904:$C$905</definedName>
    <definedName name="OR18_D3.4_开展合规培训" localSheetId="25">'[2]Database-分值计算'!$B$906:$C$907</definedName>
    <definedName name="OR18_D3.4_开展合规培训" localSheetId="28">'[2]Database-分值计算'!$B$906:$C$907</definedName>
    <definedName name="OR18_D3.5_提交年度合规报告" localSheetId="25">'[2]Database-分值计算'!$B$908:$C$909</definedName>
    <definedName name="OR18_D3.5_提交年度合规报告" localSheetId="28">'[2]Database-分值计算'!$B$908:$C$909</definedName>
    <definedName name="OR18_D5_特殊评价" localSheetId="25">'[2]Database-分值计算'!$B$910:$C$912</definedName>
    <definedName name="OR18_D5_特殊评价" localSheetId="28">'[2]Database-分值计算'!$B$910:$C$912</definedName>
    <definedName name="OR18_X1.1.1.4_管理人员受处罚情况" localSheetId="25">'[2]Database-下拉框'!$B$311:$B$313</definedName>
    <definedName name="OR18_X1.1.1.4_管理人员受处罚情况" localSheetId="28">'[2]Database-下拉框'!$B$311:$B$313</definedName>
    <definedName name="OR18_X1.2_非保险类行政处罚" localSheetId="25">'[2]Database-下拉框'!$B$316:$B$317</definedName>
    <definedName name="OR18_X1.2_非保险类行政处罚" localSheetId="28">'[2]Database-下拉框'!$B$316:$B$317</definedName>
    <definedName name="OR18_X3.1_设置合规管理部门" localSheetId="25">'[2]Database-下拉框'!$B$318:$B$319</definedName>
    <definedName name="OR18_X3.1_设置合规管理部门" localSheetId="28">'[2]Database-下拉框'!$B$318:$B$319</definedName>
    <definedName name="OR18_X3.2_合规管理政策" localSheetId="25">'[2]Database-下拉框'!$B$320:$B$321</definedName>
    <definedName name="OR18_X3.2_合规管理政策" localSheetId="28">'[2]Database-下拉框'!$B$320:$B$321</definedName>
    <definedName name="OR18_X3.3_落实合规政策的文件" localSheetId="25">'[2]Database-下拉框'!$B$322:$B$323</definedName>
    <definedName name="OR18_X3.3_落实合规政策的文件" localSheetId="28">'[2]Database-下拉框'!$B$322:$B$323</definedName>
    <definedName name="OR18_X3.4_开展合规培训" localSheetId="25">'[2]Database-下拉框'!$B$324:$B$325</definedName>
    <definedName name="OR18_X3.4_开展合规培训" localSheetId="28">'[2]Database-下拉框'!$B$324:$B$325</definedName>
    <definedName name="OR18_X3.5_提交年度合规报告" localSheetId="25">'[2]Database-下拉框'!$B$326:$B$327</definedName>
    <definedName name="OR18_X3.5_提交年度合规报告" localSheetId="28">'[2]Database-下拉框'!$B$326:$B$327</definedName>
    <definedName name="OR18_X5_特殊评价" localSheetId="25">'[2]Database-下拉框'!$B$328:$B$330</definedName>
    <definedName name="OR18_X5_特殊评价" localSheetId="28">'[2]Database-下拉框'!$B$328:$B$330</definedName>
    <definedName name="_xlnm.Print_Area" localSheetId="25">案件管理!$F$1:$G$20</definedName>
    <definedName name="_xlnm.Print_Titles" localSheetId="25">案件管理!$2:$2</definedName>
    <definedName name="RR01_X1.3_外部因素" localSheetId="25">'[2]Database-下拉框'!#REF!</definedName>
    <definedName name="RR01_X1.3_外部因素" localSheetId="28">'[2]Database-下拉框'!#REF!</definedName>
    <definedName name="公司类别" localSheetId="25">[2]封面!#REF!</definedName>
    <definedName name="公司类别" localSheetId="28">[2]封面!#REF!</definedName>
    <definedName name="公司类型" localSheetId="25">[2]封面!$B$4</definedName>
    <definedName name="公司类型" localSheetId="28">[2]封面!$B$4</definedName>
    <definedName name="隶属保监局" localSheetId="10">[3]分支机构封面页!$H$1:$H$36</definedName>
    <definedName name="是否经营农险" localSheetId="25">[2]封面!$B$25</definedName>
    <definedName name="是否经营农险" localSheetId="28">[2]封面!$B$25</definedName>
  </definedNames>
  <calcPr calcId="144525"/>
  <pivotCaches>
    <pivotCache cacheId="10" r:id="rId34"/>
    <pivotCache cacheId="11" r:id="rId35"/>
    <pivotCache cacheId="12" r:id="rId36"/>
    <pivotCache cacheId="13" r:id="rId37"/>
    <pivotCache cacheId="14" r:id="rId38"/>
  </pivotCaches>
</workbook>
</file>

<file path=xl/calcChain.xml><?xml version="1.0" encoding="utf-8"?>
<calcChain xmlns="http://schemas.openxmlformats.org/spreadsheetml/2006/main">
  <c r="P19" i="2" l="1"/>
  <c r="Y23" i="18" l="1"/>
  <c r="R23" i="18"/>
  <c r="BZ14" i="19"/>
  <c r="BZ15" i="19"/>
  <c r="BX16" i="19"/>
  <c r="BZ17" i="19"/>
  <c r="BZ18" i="19"/>
  <c r="BX19" i="19"/>
  <c r="BY19" i="19" s="1"/>
  <c r="BZ20" i="19"/>
  <c r="BZ21" i="19"/>
  <c r="BX22" i="19"/>
  <c r="BY22" i="19" s="1"/>
  <c r="BZ23" i="19"/>
  <c r="BZ24" i="19"/>
  <c r="BV16" i="19"/>
  <c r="BV19" i="19"/>
  <c r="BZ19" i="19" s="1"/>
  <c r="BV22" i="19"/>
  <c r="BZ22" i="19" s="1"/>
  <c r="AV14" i="19"/>
  <c r="AV15" i="19"/>
  <c r="AV16" i="19"/>
  <c r="AV17" i="19"/>
  <c r="AV18" i="19"/>
  <c r="AV19" i="19"/>
  <c r="AV20" i="19"/>
  <c r="AV21" i="19"/>
  <c r="AV22" i="19"/>
  <c r="AV23" i="19"/>
  <c r="AV24" i="19"/>
  <c r="X17" i="2"/>
  <c r="AA17" i="2"/>
  <c r="AB17" i="2"/>
  <c r="AC17" i="2" s="1"/>
  <c r="AD17" i="2" s="1"/>
  <c r="AE17" i="2" s="1"/>
  <c r="X18" i="2"/>
  <c r="AA18" i="2"/>
  <c r="AB18" i="2"/>
  <c r="X36" i="2"/>
  <c r="Y36" i="2"/>
  <c r="Z36" i="2"/>
  <c r="X37" i="2"/>
  <c r="J4" i="2"/>
  <c r="L4" i="2"/>
  <c r="X4" i="2" s="1"/>
  <c r="N4" i="2"/>
  <c r="P4" i="2"/>
  <c r="R4" i="2"/>
  <c r="T4" i="2"/>
  <c r="V4" i="2"/>
  <c r="Y4" i="2"/>
  <c r="Z4" i="2"/>
  <c r="AA4" i="2"/>
  <c r="AB4" i="2"/>
  <c r="AC4" i="2" s="1"/>
  <c r="AD4" i="2" s="1"/>
  <c r="AE4" i="2" s="1"/>
  <c r="AK4" i="2"/>
  <c r="BA4" i="2"/>
  <c r="X5" i="2"/>
  <c r="AA5" i="2"/>
  <c r="AB5" i="2"/>
  <c r="AC5" i="2" s="1"/>
  <c r="AD5" i="2" s="1"/>
  <c r="AE5" i="2" s="1"/>
  <c r="AK5" i="2"/>
  <c r="BA5" i="2"/>
  <c r="X6" i="2"/>
  <c r="AA6" i="2"/>
  <c r="AB6" i="2"/>
  <c r="AC6" i="2" s="1"/>
  <c r="AD6" i="2" s="1"/>
  <c r="AE6" i="2" s="1"/>
  <c r="AK6" i="2"/>
  <c r="BA6" i="2"/>
  <c r="X7" i="2"/>
  <c r="AA7" i="2"/>
  <c r="AB7" i="2"/>
  <c r="AC7" i="2" s="1"/>
  <c r="AD7" i="2" s="1"/>
  <c r="AE7" i="2" s="1"/>
  <c r="AK7" i="2"/>
  <c r="BA7" i="2"/>
  <c r="J8" i="2"/>
  <c r="Z8" i="2" s="1"/>
  <c r="AK8" i="2" s="1"/>
  <c r="L8" i="2"/>
  <c r="Y8" i="2" s="1"/>
  <c r="AN8" i="2" s="1"/>
  <c r="BA8" i="2" s="1"/>
  <c r="P8" i="2"/>
  <c r="X9" i="2"/>
  <c r="AA9" i="2"/>
  <c r="AB9" i="2"/>
  <c r="AC9" i="2" s="1"/>
  <c r="AD9" i="2" s="1"/>
  <c r="AE9" i="2" s="1"/>
  <c r="AK9" i="2"/>
  <c r="BA9" i="2"/>
  <c r="X10" i="2"/>
  <c r="AA10" i="2"/>
  <c r="AB10" i="2"/>
  <c r="AC10" i="2" s="1"/>
  <c r="AD10" i="2" s="1"/>
  <c r="AE10" i="2" s="1"/>
  <c r="AK10" i="2"/>
  <c r="BA10" i="2"/>
  <c r="J11" i="2"/>
  <c r="X11" i="2" s="1"/>
  <c r="L11" i="2"/>
  <c r="N11" i="2"/>
  <c r="P11" i="2"/>
  <c r="R11" i="2"/>
  <c r="T11" i="2"/>
  <c r="V11" i="2"/>
  <c r="Y11" i="2"/>
  <c r="Z11" i="2"/>
  <c r="AA11" i="2"/>
  <c r="AB11" i="2"/>
  <c r="AC11" i="2" s="1"/>
  <c r="AD11" i="2" s="1"/>
  <c r="AE11" i="2" s="1"/>
  <c r="BA11" i="2"/>
  <c r="X12" i="2"/>
  <c r="AA12" i="2"/>
  <c r="AB12" i="2"/>
  <c r="AC12" i="2"/>
  <c r="AD12" i="2" s="1"/>
  <c r="AE12" i="2" s="1"/>
  <c r="AK12" i="2"/>
  <c r="BA12" i="2"/>
  <c r="X13" i="2"/>
  <c r="AA13" i="2"/>
  <c r="AB13" i="2"/>
  <c r="AC13" i="2"/>
  <c r="AD13" i="2" s="1"/>
  <c r="AE13" i="2" s="1"/>
  <c r="AK13" i="2"/>
  <c r="BA13" i="2"/>
  <c r="X14" i="2"/>
  <c r="Y14" i="2"/>
  <c r="AV14" i="2" s="1"/>
  <c r="Z14" i="2"/>
  <c r="AA14" i="2"/>
  <c r="AC14" i="2"/>
  <c r="AD14" i="2"/>
  <c r="AE14" i="2" s="1"/>
  <c r="AK14" i="2"/>
  <c r="AR14" i="2"/>
  <c r="X15" i="2"/>
  <c r="AK15" i="2"/>
  <c r="BA15" i="2"/>
  <c r="J16" i="2"/>
  <c r="Z16" i="2" s="1"/>
  <c r="L16" i="2"/>
  <c r="Y16" i="2" s="1"/>
  <c r="AN16" i="2" s="1"/>
  <c r="BA16" i="2" s="1"/>
  <c r="N16" i="2"/>
  <c r="P16" i="2"/>
  <c r="R16" i="2"/>
  <c r="T16" i="2"/>
  <c r="V16" i="2"/>
  <c r="AK17" i="2"/>
  <c r="BA17" i="2"/>
  <c r="AC18" i="2"/>
  <c r="AD18" i="2" s="1"/>
  <c r="AE18" i="2" s="1"/>
  <c r="AK18" i="2"/>
  <c r="BA18" i="2"/>
  <c r="J19" i="2"/>
  <c r="L19" i="2"/>
  <c r="N19" i="2"/>
  <c r="R19" i="2"/>
  <c r="T19" i="2"/>
  <c r="V19" i="2"/>
  <c r="Y19" i="2"/>
  <c r="Z19" i="2"/>
  <c r="AA19" i="2"/>
  <c r="AC19" i="2"/>
  <c r="AD19" i="2" s="1"/>
  <c r="AE19" i="2" s="1"/>
  <c r="AK19" i="2"/>
  <c r="BA19" i="2"/>
  <c r="X20" i="2"/>
  <c r="AA20" i="2"/>
  <c r="AB20" i="2"/>
  <c r="AC20" i="2" s="1"/>
  <c r="AD20" i="2" s="1"/>
  <c r="AE20" i="2" s="1"/>
  <c r="AK20" i="2"/>
  <c r="BA20" i="2"/>
  <c r="X21" i="2"/>
  <c r="AA21" i="2"/>
  <c r="AB21" i="2"/>
  <c r="AC21" i="2" s="1"/>
  <c r="AD21" i="2" s="1"/>
  <c r="AE21" i="2" s="1"/>
  <c r="AK21" i="2"/>
  <c r="BA21" i="2"/>
  <c r="X22" i="2"/>
  <c r="Y22" i="2"/>
  <c r="AB22" i="2" s="1"/>
  <c r="AC22" i="2" s="1"/>
  <c r="AD22" i="2" s="1"/>
  <c r="AE22" i="2" s="1"/>
  <c r="Z22" i="2"/>
  <c r="AK22" i="2" s="1"/>
  <c r="BA22" i="2"/>
  <c r="X23" i="2"/>
  <c r="Y23" i="2"/>
  <c r="AA23" i="2" s="1"/>
  <c r="Z23" i="2"/>
  <c r="AB23" i="2"/>
  <c r="AC23" i="2" s="1"/>
  <c r="AD23" i="2" s="1"/>
  <c r="AE23" i="2" s="1"/>
  <c r="AK23" i="2"/>
  <c r="AP23" i="2"/>
  <c r="AV23" i="2"/>
  <c r="AX23" i="2"/>
  <c r="AC24" i="2"/>
  <c r="AD24" i="2" s="1"/>
  <c r="AE24" i="2" s="1"/>
  <c r="AK24" i="2"/>
  <c r="BA24" i="2"/>
  <c r="AA25" i="2"/>
  <c r="AB25" i="2"/>
  <c r="AC25" i="2"/>
  <c r="AD25" i="2" s="1"/>
  <c r="AE25" i="2" s="1"/>
  <c r="AK25" i="2"/>
  <c r="BA25" i="2"/>
  <c r="AA26" i="2"/>
  <c r="AB26" i="2"/>
  <c r="AC26" i="2" s="1"/>
  <c r="AD26" i="2" s="1"/>
  <c r="AE26" i="2" s="1"/>
  <c r="AK26" i="2"/>
  <c r="BA26" i="2"/>
  <c r="X27" i="2"/>
  <c r="Y27" i="2"/>
  <c r="AT27" i="2" s="1"/>
  <c r="Z27" i="2"/>
  <c r="AK27" i="2" s="1"/>
  <c r="AR27" i="2"/>
  <c r="X28" i="2"/>
  <c r="Y28" i="2"/>
  <c r="AB28" i="2" s="1"/>
  <c r="AC28" i="2" s="1"/>
  <c r="AD28" i="2" s="1"/>
  <c r="AE28" i="2" s="1"/>
  <c r="Z28" i="2"/>
  <c r="AA28" i="2"/>
  <c r="AK28" i="2"/>
  <c r="AP28" i="2"/>
  <c r="AT28" i="2"/>
  <c r="AX28" i="2"/>
  <c r="X29" i="2"/>
  <c r="Y29" i="2"/>
  <c r="AA29" i="2" s="1"/>
  <c r="Z29" i="2"/>
  <c r="AB29" i="2"/>
  <c r="AC29" i="2" s="1"/>
  <c r="AD29" i="2" s="1"/>
  <c r="AE29" i="2" s="1"/>
  <c r="AK29" i="2"/>
  <c r="AP29" i="2"/>
  <c r="AV29" i="2"/>
  <c r="AX29" i="2"/>
  <c r="X30" i="2"/>
  <c r="Y30" i="2"/>
  <c r="Z30" i="2"/>
  <c r="AK30" i="2" s="1"/>
  <c r="AX30" i="2"/>
  <c r="AA31" i="2"/>
  <c r="AB31" i="2"/>
  <c r="AC31" i="2"/>
  <c r="AD31" i="2" s="1"/>
  <c r="AE31" i="2" s="1"/>
  <c r="AK31" i="2"/>
  <c r="AP31" i="2"/>
  <c r="AR31" i="2"/>
  <c r="AT31" i="2"/>
  <c r="AV31" i="2"/>
  <c r="AX31" i="2"/>
  <c r="AZ31" i="2"/>
  <c r="AC32" i="2"/>
  <c r="AD32" i="2" s="1"/>
  <c r="AE32" i="2" s="1"/>
  <c r="AK32" i="2"/>
  <c r="AP32" i="2"/>
  <c r="AR32" i="2"/>
  <c r="BA32" i="2" s="1"/>
  <c r="AT32" i="2"/>
  <c r="AV32" i="2"/>
  <c r="AX32" i="2"/>
  <c r="AZ32" i="2"/>
  <c r="AZ46" i="2" s="1"/>
  <c r="AA33" i="2"/>
  <c r="AB33" i="2"/>
  <c r="AC33" i="2" s="1"/>
  <c r="AD33" i="2" s="1"/>
  <c r="AE33" i="2" s="1"/>
  <c r="AK33" i="2"/>
  <c r="AP33" i="2"/>
  <c r="AR33" i="2"/>
  <c r="AT33" i="2"/>
  <c r="AV33" i="2"/>
  <c r="AX33" i="2"/>
  <c r="AZ33" i="2"/>
  <c r="AC34" i="2"/>
  <c r="AD34" i="2"/>
  <c r="AE34" i="2" s="1"/>
  <c r="AK34" i="2"/>
  <c r="AP34" i="2"/>
  <c r="AR34" i="2"/>
  <c r="AT34" i="2"/>
  <c r="AV34" i="2"/>
  <c r="AX34" i="2"/>
  <c r="AZ34" i="2"/>
  <c r="X35" i="2"/>
  <c r="Y35" i="2"/>
  <c r="AB35" i="2" s="1"/>
  <c r="AC35" i="2" s="1"/>
  <c r="AD35" i="2" s="1"/>
  <c r="AE35" i="2" s="1"/>
  <c r="Z35" i="2"/>
  <c r="AK35" i="2" s="1"/>
  <c r="AP35" i="2"/>
  <c r="AR35" i="2"/>
  <c r="AT35" i="2"/>
  <c r="AX35" i="2"/>
  <c r="AZ35" i="2"/>
  <c r="AK36" i="2"/>
  <c r="AC36" i="2"/>
  <c r="AD36" i="2" s="1"/>
  <c r="AE36" i="2" s="1"/>
  <c r="AN36" i="2"/>
  <c r="BA36" i="2" s="1"/>
  <c r="AK37" i="2"/>
  <c r="Y42" i="2"/>
  <c r="Y43" i="2" s="1"/>
  <c r="Z42" i="2"/>
  <c r="Z43" i="2" s="1"/>
  <c r="AN47" i="2"/>
  <c r="AP47" i="2"/>
  <c r="AR47" i="2"/>
  <c r="AT47" i="2"/>
  <c r="AV47" i="2"/>
  <c r="AX47" i="2"/>
  <c r="AZ47" i="2"/>
  <c r="AB45" i="18"/>
  <c r="AV35" i="2" l="1"/>
  <c r="BA34" i="2"/>
  <c r="AA30" i="2"/>
  <c r="AR29" i="2"/>
  <c r="AX27" i="2"/>
  <c r="AP27" i="2"/>
  <c r="BA27" i="2" s="1"/>
  <c r="AR23" i="2"/>
  <c r="BA31" i="2"/>
  <c r="AV27" i="2"/>
  <c r="AB27" i="2"/>
  <c r="AC27" i="2" s="1"/>
  <c r="AD27" i="2" s="1"/>
  <c r="AE27" i="2" s="1"/>
  <c r="BZ16" i="19"/>
  <c r="BA35" i="2"/>
  <c r="BA33" i="2"/>
  <c r="X19" i="2"/>
  <c r="Z38" i="2"/>
  <c r="AA16" i="2"/>
  <c r="Z39" i="2"/>
  <c r="Z45" i="2" s="1"/>
  <c r="AK16" i="2"/>
  <c r="AA8" i="2"/>
  <c r="AN46" i="2"/>
  <c r="AV30" i="2"/>
  <c r="AB30" i="2"/>
  <c r="AC30" i="2" s="1"/>
  <c r="AD30" i="2" s="1"/>
  <c r="AE30" i="2" s="1"/>
  <c r="AT29" i="2"/>
  <c r="BA29" i="2" s="1"/>
  <c r="AR28" i="2"/>
  <c r="AT23" i="2"/>
  <c r="BA23" i="2" s="1"/>
  <c r="AB16" i="2"/>
  <c r="X16" i="2"/>
  <c r="AX14" i="2"/>
  <c r="AX46" i="2" s="1"/>
  <c r="AP14" i="2"/>
  <c r="AB8" i="2"/>
  <c r="X8" i="2"/>
  <c r="Y39" i="2"/>
  <c r="Y38" i="2"/>
  <c r="AA35" i="2"/>
  <c r="AR30" i="2"/>
  <c r="AV28" i="2"/>
  <c r="AV46" i="2" s="1"/>
  <c r="AA27" i="2"/>
  <c r="AA22" i="2"/>
  <c r="AT14" i="2"/>
  <c r="AK11" i="2"/>
  <c r="AP30" i="2"/>
  <c r="AT30" i="2"/>
  <c r="E3" i="27"/>
  <c r="G57" i="33"/>
  <c r="H57" i="33" s="1"/>
  <c r="H13" i="33"/>
  <c r="H21" i="33"/>
  <c r="H29" i="33"/>
  <c r="H37" i="33"/>
  <c r="H45" i="33"/>
  <c r="H53" i="33"/>
  <c r="H58" i="33"/>
  <c r="H3" i="33"/>
  <c r="G6" i="33"/>
  <c r="H6" i="33" s="1"/>
  <c r="G7" i="33"/>
  <c r="H7" i="33" s="1"/>
  <c r="G8" i="33"/>
  <c r="H8" i="33" s="1"/>
  <c r="G9" i="33"/>
  <c r="H9" i="33" s="1"/>
  <c r="G10" i="33"/>
  <c r="H10" i="33" s="1"/>
  <c r="G11" i="33"/>
  <c r="H11" i="33" s="1"/>
  <c r="G12" i="33"/>
  <c r="H12" i="33" s="1"/>
  <c r="G13" i="33"/>
  <c r="G14" i="33"/>
  <c r="H14" i="33" s="1"/>
  <c r="G15" i="33"/>
  <c r="H15" i="33" s="1"/>
  <c r="G16" i="33"/>
  <c r="H16" i="33" s="1"/>
  <c r="G17" i="33"/>
  <c r="H17" i="33" s="1"/>
  <c r="G18" i="33"/>
  <c r="H18" i="33" s="1"/>
  <c r="G19" i="33"/>
  <c r="H19" i="33" s="1"/>
  <c r="G20" i="33"/>
  <c r="H20" i="33" s="1"/>
  <c r="G21" i="33"/>
  <c r="G22" i="33"/>
  <c r="H22" i="33" s="1"/>
  <c r="G23" i="33"/>
  <c r="H23" i="33" s="1"/>
  <c r="G24" i="33"/>
  <c r="H24" i="33" s="1"/>
  <c r="G25" i="33"/>
  <c r="H25" i="33" s="1"/>
  <c r="G26" i="33"/>
  <c r="H26" i="33" s="1"/>
  <c r="G27" i="33"/>
  <c r="H27" i="33" s="1"/>
  <c r="G28" i="33"/>
  <c r="H28" i="33" s="1"/>
  <c r="G29" i="33"/>
  <c r="G30" i="33"/>
  <c r="H30" i="33" s="1"/>
  <c r="G31" i="33"/>
  <c r="H31" i="33" s="1"/>
  <c r="G32" i="33"/>
  <c r="H32" i="33" s="1"/>
  <c r="G33" i="33"/>
  <c r="H33" i="33" s="1"/>
  <c r="G34" i="33"/>
  <c r="H34" i="33" s="1"/>
  <c r="G35" i="33"/>
  <c r="H35" i="33" s="1"/>
  <c r="G36" i="33"/>
  <c r="H36" i="33" s="1"/>
  <c r="G37" i="33"/>
  <c r="G38" i="33"/>
  <c r="H38" i="33" s="1"/>
  <c r="G39" i="33"/>
  <c r="H39" i="33" s="1"/>
  <c r="G40" i="33"/>
  <c r="H40" i="33" s="1"/>
  <c r="G41" i="33"/>
  <c r="H41" i="33" s="1"/>
  <c r="G42" i="33"/>
  <c r="H42" i="33" s="1"/>
  <c r="G43" i="33"/>
  <c r="H43" i="33" s="1"/>
  <c r="G44" i="33"/>
  <c r="H44" i="33" s="1"/>
  <c r="G45" i="33"/>
  <c r="G46" i="33"/>
  <c r="H46" i="33" s="1"/>
  <c r="G47" i="33"/>
  <c r="H47" i="33" s="1"/>
  <c r="G48" i="33"/>
  <c r="H48" i="33" s="1"/>
  <c r="G49" i="33"/>
  <c r="H49" i="33" s="1"/>
  <c r="G50" i="33"/>
  <c r="H50" i="33" s="1"/>
  <c r="G51" i="33"/>
  <c r="H51" i="33" s="1"/>
  <c r="G52" i="33"/>
  <c r="H52" i="33" s="1"/>
  <c r="G53" i="33"/>
  <c r="G54" i="33"/>
  <c r="H54" i="33" s="1"/>
  <c r="G55" i="33"/>
  <c r="H55" i="33" s="1"/>
  <c r="G56" i="33"/>
  <c r="H56" i="33" s="1"/>
  <c r="G58" i="33"/>
  <c r="G59" i="33"/>
  <c r="H59" i="33" s="1"/>
  <c r="G60" i="33"/>
  <c r="H60" i="33" s="1"/>
  <c r="G61" i="33"/>
  <c r="H61" i="33" s="1"/>
  <c r="G3" i="33"/>
  <c r="G4" i="33"/>
  <c r="H4" i="33" s="1"/>
  <c r="G5" i="33"/>
  <c r="H5" i="33" s="1"/>
  <c r="G2" i="33"/>
  <c r="H91" i="32"/>
  <c r="H92" i="32"/>
  <c r="H93" i="32"/>
  <c r="H94" i="32"/>
  <c r="H95" i="32"/>
  <c r="H96" i="32"/>
  <c r="H97" i="32"/>
  <c r="H98" i="32"/>
  <c r="H99" i="32"/>
  <c r="H100" i="32"/>
  <c r="H101" i="32"/>
  <c r="H102" i="32"/>
  <c r="H103" i="32"/>
  <c r="H104" i="32"/>
  <c r="H105" i="32"/>
  <c r="H106" i="32"/>
  <c r="H107" i="32"/>
  <c r="H108" i="32"/>
  <c r="H109" i="32"/>
  <c r="H110" i="32"/>
  <c r="H111" i="32"/>
  <c r="H112" i="32"/>
  <c r="H113" i="32"/>
  <c r="H114" i="32"/>
  <c r="H115" i="32"/>
  <c r="H116" i="32"/>
  <c r="H117" i="32"/>
  <c r="H118" i="32"/>
  <c r="H119" i="32"/>
  <c r="H120" i="32"/>
  <c r="H82" i="32"/>
  <c r="H83" i="32"/>
  <c r="H84" i="32"/>
  <c r="H85" i="32"/>
  <c r="H86" i="32"/>
  <c r="H87" i="32"/>
  <c r="H88" i="32"/>
  <c r="H89" i="32"/>
  <c r="H90" i="32"/>
  <c r="H52" i="32"/>
  <c r="H53" i="32"/>
  <c r="H54" i="32"/>
  <c r="H55" i="32"/>
  <c r="H56" i="32"/>
  <c r="H57" i="32"/>
  <c r="H58" i="32"/>
  <c r="H59" i="32"/>
  <c r="H60" i="32"/>
  <c r="H61" i="32"/>
  <c r="H62" i="32"/>
  <c r="H63" i="32"/>
  <c r="H64" i="32"/>
  <c r="H65" i="32"/>
  <c r="H66" i="32"/>
  <c r="H67" i="32"/>
  <c r="H68" i="32"/>
  <c r="H69" i="32"/>
  <c r="H70" i="32"/>
  <c r="H71" i="32"/>
  <c r="H72" i="32"/>
  <c r="H73" i="32"/>
  <c r="H74" i="32"/>
  <c r="H76" i="32"/>
  <c r="H77" i="32"/>
  <c r="H78" i="32"/>
  <c r="H79" i="32"/>
  <c r="H80" i="32"/>
  <c r="H81" i="32"/>
  <c r="H42" i="32"/>
  <c r="H43" i="32"/>
  <c r="H44" i="32"/>
  <c r="H45" i="32"/>
  <c r="H46" i="32"/>
  <c r="H47" i="32"/>
  <c r="H48" i="32"/>
  <c r="H49" i="32"/>
  <c r="H50" i="32"/>
  <c r="H12" i="32"/>
  <c r="H13" i="32"/>
  <c r="H14" i="32"/>
  <c r="H15" i="32"/>
  <c r="H16" i="32"/>
  <c r="H17" i="32"/>
  <c r="H18" i="32"/>
  <c r="H19" i="32"/>
  <c r="H20" i="32"/>
  <c r="H21" i="32"/>
  <c r="H22" i="32"/>
  <c r="H23" i="32"/>
  <c r="H24" i="32"/>
  <c r="H25" i="32"/>
  <c r="H26" i="32"/>
  <c r="H27" i="32"/>
  <c r="H28" i="32"/>
  <c r="H29" i="32"/>
  <c r="H30" i="32"/>
  <c r="H31" i="32"/>
  <c r="H32" i="32"/>
  <c r="H33" i="32"/>
  <c r="H34" i="32"/>
  <c r="H36" i="32"/>
  <c r="H37" i="32"/>
  <c r="H38" i="32"/>
  <c r="H39" i="32"/>
  <c r="H40" i="32"/>
  <c r="H41" i="32"/>
  <c r="H3" i="32"/>
  <c r="H4" i="32"/>
  <c r="H5" i="32"/>
  <c r="H6" i="32"/>
  <c r="H7" i="32"/>
  <c r="H8" i="32"/>
  <c r="H9" i="32"/>
  <c r="H10" i="32"/>
  <c r="H2" i="32"/>
  <c r="I32" i="27"/>
  <c r="J32" i="27"/>
  <c r="G32" i="27"/>
  <c r="H32" i="27"/>
  <c r="F32" i="27"/>
  <c r="AR46" i="2" l="1"/>
  <c r="BA14" i="2"/>
  <c r="AP46" i="2"/>
  <c r="BA28" i="2"/>
  <c r="BA30" i="2"/>
  <c r="Y45" i="2"/>
  <c r="AB41" i="2"/>
  <c r="AB38" i="2"/>
  <c r="AC38" i="2" s="1"/>
  <c r="AD38" i="2" s="1"/>
  <c r="AE38" i="2" s="1"/>
  <c r="AC8" i="2"/>
  <c r="AD8" i="2" s="1"/>
  <c r="AE8" i="2" s="1"/>
  <c r="AB40" i="2"/>
  <c r="AC16" i="2"/>
  <c r="AD16" i="2" s="1"/>
  <c r="AE16" i="2" s="1"/>
  <c r="AB39" i="2"/>
  <c r="AC39" i="2" s="1"/>
  <c r="AD39" i="2" s="1"/>
  <c r="AE39" i="2" s="1"/>
  <c r="AT46" i="2"/>
  <c r="AA38" i="2"/>
  <c r="C3" i="27"/>
  <c r="C2" i="27"/>
  <c r="X39" i="2" l="1"/>
  <c r="AC40" i="2"/>
  <c r="AD40" i="2" s="1"/>
  <c r="AE40" i="2" s="1"/>
  <c r="X40" i="2"/>
  <c r="AC41" i="2"/>
  <c r="AD41" i="2" s="1"/>
  <c r="AE41" i="2" s="1"/>
  <c r="X41" i="2"/>
  <c r="G77" i="27"/>
  <c r="H77" i="27"/>
  <c r="I77" i="27"/>
  <c r="J77" i="27"/>
  <c r="F77" i="27"/>
  <c r="G80" i="27" l="1"/>
  <c r="H80" i="27"/>
  <c r="I80" i="27"/>
  <c r="J80" i="27"/>
  <c r="F80" i="27"/>
  <c r="E47" i="30" l="1"/>
  <c r="F47" i="30" s="1"/>
  <c r="F22" i="28" l="1"/>
  <c r="G22" i="28" s="1"/>
  <c r="E2" i="30" l="1"/>
  <c r="F2" i="30" s="1"/>
  <c r="G3" i="27" l="1"/>
  <c r="F5" i="27"/>
  <c r="F56" i="28"/>
  <c r="G56" i="28" s="1"/>
  <c r="F57" i="28"/>
  <c r="G57" i="28" s="1"/>
  <c r="F58" i="28"/>
  <c r="G58" i="28" s="1"/>
  <c r="F59" i="28"/>
  <c r="G59" i="28" s="1"/>
  <c r="F60" i="28"/>
  <c r="G60" i="28" s="1"/>
  <c r="F61" i="28"/>
  <c r="G61" i="28" s="1"/>
  <c r="G27" i="27"/>
  <c r="G28" i="27"/>
  <c r="F2" i="28" l="1"/>
  <c r="G2" i="28" s="1"/>
  <c r="F3" i="28"/>
  <c r="G3" i="28" s="1"/>
  <c r="F4" i="28"/>
  <c r="G4" i="28" s="1"/>
  <c r="F5" i="28"/>
  <c r="G5" i="28" s="1"/>
  <c r="F6" i="28"/>
  <c r="G6" i="28" s="1"/>
  <c r="F7" i="28"/>
  <c r="G7" i="28" s="1"/>
  <c r="F95" i="25" l="1"/>
  <c r="G95" i="25"/>
  <c r="H95" i="25"/>
  <c r="I95" i="25"/>
  <c r="J95" i="25"/>
  <c r="K95" i="25"/>
  <c r="L95" i="25"/>
  <c r="M95" i="25"/>
  <c r="N95" i="25"/>
  <c r="F97" i="25"/>
  <c r="G97" i="25"/>
  <c r="H97" i="25"/>
  <c r="I97" i="25"/>
  <c r="J97" i="25"/>
  <c r="K97" i="25"/>
  <c r="L97" i="25"/>
  <c r="M97" i="25"/>
  <c r="N97" i="25"/>
  <c r="E97" i="25" l="1"/>
  <c r="N86" i="25"/>
  <c r="M86" i="25"/>
  <c r="L86" i="25"/>
  <c r="K86" i="25"/>
  <c r="J86" i="25"/>
  <c r="I86" i="25"/>
  <c r="H86" i="25"/>
  <c r="G86" i="25"/>
  <c r="F86" i="25"/>
  <c r="E86" i="25"/>
  <c r="N81" i="25"/>
  <c r="N80" i="25"/>
  <c r="M80" i="25"/>
  <c r="L80" i="25"/>
  <c r="K80" i="25"/>
  <c r="J80" i="25"/>
  <c r="I80" i="25"/>
  <c r="H80" i="25"/>
  <c r="G80" i="25"/>
  <c r="F80" i="25"/>
  <c r="E80" i="25"/>
  <c r="N76" i="25"/>
  <c r="M76" i="25"/>
  <c r="L76" i="25"/>
  <c r="K76" i="25"/>
  <c r="J76" i="25"/>
  <c r="I76" i="25"/>
  <c r="H76" i="25"/>
  <c r="G76" i="25"/>
  <c r="F76" i="25"/>
  <c r="E76" i="25"/>
  <c r="N70" i="25"/>
  <c r="M70" i="25"/>
  <c r="L70" i="25"/>
  <c r="K70" i="25"/>
  <c r="J70" i="25"/>
  <c r="I70" i="25"/>
  <c r="H70" i="25"/>
  <c r="G70" i="25"/>
  <c r="F70" i="25"/>
  <c r="E70" i="25"/>
  <c r="N55" i="25"/>
  <c r="M55" i="25"/>
  <c r="L55" i="25"/>
  <c r="K55" i="25"/>
  <c r="J55" i="25"/>
  <c r="I55" i="25"/>
  <c r="H55" i="25"/>
  <c r="G55" i="25"/>
  <c r="F55" i="25"/>
  <c r="E55" i="25"/>
  <c r="C56" i="25"/>
  <c r="N52" i="25"/>
  <c r="M52" i="25"/>
  <c r="L52" i="25"/>
  <c r="K52" i="25"/>
  <c r="J52" i="25"/>
  <c r="I52" i="25"/>
  <c r="H52" i="25"/>
  <c r="G52" i="25"/>
  <c r="F52" i="25"/>
  <c r="E52" i="25"/>
  <c r="N36" i="25"/>
  <c r="M36" i="25"/>
  <c r="L36" i="25"/>
  <c r="K36" i="25"/>
  <c r="J36" i="25"/>
  <c r="I36" i="25"/>
  <c r="H36" i="25"/>
  <c r="G36" i="25"/>
  <c r="F36" i="25"/>
  <c r="E36" i="25"/>
  <c r="N27" i="25"/>
  <c r="M27" i="25"/>
  <c r="L27" i="25"/>
  <c r="K27" i="25"/>
  <c r="J27" i="25"/>
  <c r="I27" i="25"/>
  <c r="H27" i="25"/>
  <c r="G27" i="25"/>
  <c r="F27" i="25"/>
  <c r="E27" i="25"/>
  <c r="N23" i="25"/>
  <c r="M23" i="25"/>
  <c r="L23" i="25"/>
  <c r="K23" i="25"/>
  <c r="J23" i="25"/>
  <c r="I23" i="25"/>
  <c r="H23" i="25"/>
  <c r="G23" i="25"/>
  <c r="F23" i="25"/>
  <c r="E23" i="25"/>
  <c r="N18" i="25"/>
  <c r="M18" i="25"/>
  <c r="L18" i="25"/>
  <c r="K18" i="25"/>
  <c r="J18" i="25"/>
  <c r="I18" i="25"/>
  <c r="H18" i="25"/>
  <c r="G18" i="25"/>
  <c r="F18" i="25"/>
  <c r="E18" i="25"/>
  <c r="N15" i="25"/>
  <c r="M15" i="25"/>
  <c r="L15" i="25"/>
  <c r="K15" i="25"/>
  <c r="J15" i="25"/>
  <c r="I15" i="25"/>
  <c r="H15" i="25"/>
  <c r="G15" i="25"/>
  <c r="F15" i="25"/>
  <c r="E15" i="25"/>
  <c r="N12" i="25"/>
  <c r="M12" i="25"/>
  <c r="L12" i="25"/>
  <c r="K12" i="25"/>
  <c r="J12" i="25"/>
  <c r="I12" i="25"/>
  <c r="H12" i="25"/>
  <c r="G12" i="25"/>
  <c r="F12" i="25"/>
  <c r="E12" i="25"/>
  <c r="AZ22" i="18" l="1"/>
  <c r="AM22" i="18"/>
  <c r="L7" i="3" l="1"/>
  <c r="N36" i="5" l="1"/>
  <c r="I3" i="10"/>
  <c r="D29" i="24" l="1"/>
  <c r="W43" i="20" l="1"/>
  <c r="O4" i="24"/>
  <c r="K131" i="12" l="1"/>
  <c r="L131" i="12"/>
  <c r="L9" i="4" l="1"/>
  <c r="L12" i="4"/>
  <c r="L18" i="4"/>
  <c r="J9" i="6" l="1"/>
  <c r="J4" i="6"/>
  <c r="K18" i="4"/>
  <c r="K12" i="4"/>
  <c r="K9" i="4"/>
  <c r="M41" i="5"/>
  <c r="M36" i="5"/>
  <c r="M25" i="5"/>
  <c r="M11" i="5"/>
  <c r="M7" i="5"/>
  <c r="J7" i="3"/>
  <c r="J4" i="3"/>
  <c r="CN43" i="20"/>
  <c r="CN40" i="20"/>
  <c r="CN32" i="20"/>
  <c r="CN28" i="20"/>
  <c r="CN23" i="20"/>
  <c r="CN12" i="20"/>
  <c r="CN9" i="20"/>
  <c r="CN5" i="20"/>
  <c r="CF43" i="20"/>
  <c r="CF40" i="20"/>
  <c r="CF32" i="20"/>
  <c r="CF28" i="20"/>
  <c r="CF23" i="20"/>
  <c r="CF12" i="20"/>
  <c r="CF9" i="20"/>
  <c r="CF5" i="20"/>
  <c r="BX43" i="20"/>
  <c r="BX40" i="20"/>
  <c r="BX32" i="20"/>
  <c r="BX28" i="20"/>
  <c r="BX23" i="20"/>
  <c r="BX12" i="20"/>
  <c r="BX9" i="20"/>
  <c r="BX5" i="20"/>
  <c r="BP43" i="20"/>
  <c r="BP40" i="20"/>
  <c r="BP32" i="20"/>
  <c r="BP28" i="20"/>
  <c r="BP23" i="20"/>
  <c r="BP12" i="20"/>
  <c r="BP9" i="20"/>
  <c r="BP5" i="20"/>
  <c r="BH43" i="20"/>
  <c r="BH40" i="20"/>
  <c r="BH32" i="20"/>
  <c r="BH28" i="20"/>
  <c r="BH23" i="20"/>
  <c r="BH12" i="20"/>
  <c r="BH9" i="20"/>
  <c r="BH5" i="20"/>
  <c r="AZ43" i="20"/>
  <c r="AZ40" i="20"/>
  <c r="AZ32" i="20"/>
  <c r="AZ28" i="20"/>
  <c r="AZ23" i="20"/>
  <c r="AZ12" i="20"/>
  <c r="AZ9" i="20"/>
  <c r="AZ5" i="20"/>
  <c r="AR43" i="20"/>
  <c r="AR40" i="20"/>
  <c r="AR32" i="20"/>
  <c r="AR28" i="20"/>
  <c r="AR23" i="20"/>
  <c r="AR12" i="20"/>
  <c r="AR9" i="20"/>
  <c r="AR5" i="20"/>
  <c r="AJ43" i="20"/>
  <c r="AJ40" i="20"/>
  <c r="AJ32" i="20"/>
  <c r="AJ28" i="20"/>
  <c r="AJ23" i="20"/>
  <c r="AJ12" i="20"/>
  <c r="AJ9" i="20"/>
  <c r="AJ5" i="20"/>
  <c r="AB43" i="20"/>
  <c r="AB40" i="20"/>
  <c r="AB32" i="20"/>
  <c r="AB28" i="20"/>
  <c r="AB23" i="20"/>
  <c r="AB12" i="20"/>
  <c r="AB9" i="20"/>
  <c r="AB5" i="20"/>
  <c r="T43" i="20"/>
  <c r="T40" i="20"/>
  <c r="T32" i="20"/>
  <c r="T28" i="20"/>
  <c r="T23" i="20"/>
  <c r="T12" i="20"/>
  <c r="T9" i="20"/>
  <c r="T5" i="20"/>
  <c r="BV13" i="19"/>
  <c r="BV7" i="19"/>
  <c r="BV4" i="19"/>
  <c r="BP13" i="19"/>
  <c r="BP7" i="19"/>
  <c r="BP4" i="19"/>
  <c r="BJ13" i="19"/>
  <c r="BJ7" i="19"/>
  <c r="BJ4" i="19"/>
  <c r="BD13" i="19"/>
  <c r="BD7" i="19"/>
  <c r="BD4" i="19"/>
  <c r="AX13" i="19"/>
  <c r="AX7" i="19"/>
  <c r="AX4" i="19"/>
  <c r="AR13" i="19"/>
  <c r="AR7" i="19"/>
  <c r="AR4" i="19"/>
  <c r="AL13" i="19"/>
  <c r="AL7" i="19"/>
  <c r="AL4" i="19"/>
  <c r="Z13" i="19"/>
  <c r="Z7" i="19"/>
  <c r="Z4" i="19"/>
  <c r="T13" i="19"/>
  <c r="T7" i="19"/>
  <c r="T4" i="19"/>
  <c r="CN63" i="18"/>
  <c r="CN57" i="18"/>
  <c r="CN52" i="18"/>
  <c r="CN48" i="18"/>
  <c r="CN45" i="18"/>
  <c r="CN38" i="18"/>
  <c r="CN35" i="18"/>
  <c r="CN25" i="18"/>
  <c r="CN22" i="18"/>
  <c r="CN19" i="18"/>
  <c r="CN16" i="18"/>
  <c r="CN10" i="18"/>
  <c r="CN7" i="18"/>
  <c r="CN4" i="18"/>
  <c r="CF63" i="18"/>
  <c r="CF57" i="18"/>
  <c r="CF52" i="18"/>
  <c r="CF48" i="18"/>
  <c r="CF45" i="18"/>
  <c r="CF38" i="18"/>
  <c r="CF35" i="18"/>
  <c r="CF25" i="18"/>
  <c r="CF22" i="18"/>
  <c r="CF19" i="18"/>
  <c r="CF16" i="18"/>
  <c r="CF10" i="18"/>
  <c r="CF7" i="18"/>
  <c r="CF4" i="18"/>
  <c r="BX63" i="18"/>
  <c r="BX57" i="18"/>
  <c r="BX52" i="18"/>
  <c r="BX48" i="18"/>
  <c r="BX45" i="18"/>
  <c r="BX38" i="18"/>
  <c r="BX35" i="18"/>
  <c r="BX25" i="18"/>
  <c r="BX22" i="18"/>
  <c r="BX19" i="18"/>
  <c r="BX16" i="18"/>
  <c r="BX10" i="18"/>
  <c r="BX7" i="18"/>
  <c r="BX4" i="18"/>
  <c r="BP63" i="18"/>
  <c r="BP57" i="18"/>
  <c r="BP52" i="18"/>
  <c r="BP48" i="18"/>
  <c r="BP45" i="18"/>
  <c r="BP38" i="18"/>
  <c r="BP35" i="18"/>
  <c r="BP25" i="18"/>
  <c r="BP22" i="18"/>
  <c r="BP19" i="18"/>
  <c r="BP16" i="18"/>
  <c r="BP10" i="18"/>
  <c r="BP7" i="18"/>
  <c r="BP4" i="18"/>
  <c r="BH63" i="18"/>
  <c r="BH57" i="18"/>
  <c r="BH52" i="18"/>
  <c r="BH48" i="18"/>
  <c r="BH45" i="18"/>
  <c r="BH38" i="18"/>
  <c r="BH35" i="18"/>
  <c r="BH25" i="18"/>
  <c r="BH22" i="18"/>
  <c r="BH19" i="18"/>
  <c r="BH16" i="18"/>
  <c r="BH10" i="18"/>
  <c r="BH7" i="18"/>
  <c r="BH4" i="18"/>
  <c r="AZ63" i="18"/>
  <c r="AZ57" i="18"/>
  <c r="AZ52" i="18"/>
  <c r="AZ48" i="18"/>
  <c r="AZ45" i="18"/>
  <c r="AZ38" i="18"/>
  <c r="AZ35" i="18"/>
  <c r="AZ25" i="18"/>
  <c r="AZ19" i="18"/>
  <c r="AZ16" i="18"/>
  <c r="AZ10" i="18"/>
  <c r="AZ7" i="18"/>
  <c r="AZ4" i="18"/>
  <c r="AR63" i="18"/>
  <c r="AR57" i="18"/>
  <c r="AR52" i="18"/>
  <c r="AR48" i="18"/>
  <c r="AR45" i="18"/>
  <c r="AR38" i="18"/>
  <c r="AR35" i="18"/>
  <c r="AR25" i="18"/>
  <c r="AR22" i="18"/>
  <c r="AR19" i="18"/>
  <c r="AR16" i="18"/>
  <c r="AR10" i="18"/>
  <c r="AR7" i="18"/>
  <c r="AR4" i="18"/>
  <c r="AJ63" i="18"/>
  <c r="AJ57" i="18"/>
  <c r="AJ52" i="18"/>
  <c r="AJ48" i="18"/>
  <c r="AJ45" i="18"/>
  <c r="AJ38" i="18"/>
  <c r="AJ35" i="18"/>
  <c r="AJ25" i="18"/>
  <c r="AJ22" i="18"/>
  <c r="AJ19" i="18"/>
  <c r="AJ16" i="18"/>
  <c r="AJ10" i="18"/>
  <c r="AJ7" i="18"/>
  <c r="AJ4" i="18"/>
  <c r="AB63" i="18"/>
  <c r="AB57" i="18"/>
  <c r="AB52" i="18"/>
  <c r="AB48" i="18"/>
  <c r="AB38" i="18"/>
  <c r="AB35" i="18"/>
  <c r="AB25" i="18"/>
  <c r="AB22" i="18"/>
  <c r="AB19" i="18"/>
  <c r="AB16" i="18"/>
  <c r="AB10" i="18"/>
  <c r="AB7" i="18"/>
  <c r="AB4" i="18"/>
  <c r="T63" i="18"/>
  <c r="T57" i="18"/>
  <c r="T52" i="18"/>
  <c r="T48" i="18"/>
  <c r="T45" i="18"/>
  <c r="T38" i="18"/>
  <c r="T35" i="18"/>
  <c r="T25" i="18"/>
  <c r="T22" i="18"/>
  <c r="T19" i="18"/>
  <c r="T16" i="18"/>
  <c r="T10" i="18"/>
  <c r="T7" i="18"/>
  <c r="T4" i="18"/>
  <c r="A3" i="34"/>
  <c r="A4" i="34"/>
  <c r="A5" i="34"/>
  <c r="A8" i="34"/>
  <c r="A11" i="34"/>
  <c r="A12" i="34"/>
  <c r="A6" i="34"/>
  <c r="A7" i="34"/>
  <c r="A9" i="34"/>
  <c r="A10" i="34"/>
  <c r="A2" i="34"/>
  <c r="H2" i="33" l="1"/>
  <c r="E51" i="30" l="1"/>
  <c r="F51" i="30" s="1"/>
  <c r="E50" i="30"/>
  <c r="F50" i="30" s="1"/>
  <c r="E49" i="30"/>
  <c r="F49" i="30" s="1"/>
  <c r="E48" i="30"/>
  <c r="F48" i="30" s="1"/>
  <c r="E46" i="30"/>
  <c r="F46" i="30" s="1"/>
  <c r="E45" i="30"/>
  <c r="F45" i="30" s="1"/>
  <c r="E42" i="30"/>
  <c r="F42" i="30" s="1"/>
  <c r="E41" i="30"/>
  <c r="F41" i="30" s="1"/>
  <c r="E40" i="30"/>
  <c r="F40" i="30" s="1"/>
  <c r="E39" i="30"/>
  <c r="F39" i="30" s="1"/>
  <c r="E38" i="30"/>
  <c r="F38" i="30" s="1"/>
  <c r="E37" i="30"/>
  <c r="F37" i="30" s="1"/>
  <c r="E36" i="30"/>
  <c r="F36" i="30" s="1"/>
  <c r="E32" i="30"/>
  <c r="F32" i="30" s="1"/>
  <c r="E31" i="30"/>
  <c r="F31" i="30" s="1"/>
  <c r="E30" i="30"/>
  <c r="F30" i="30" s="1"/>
  <c r="E29" i="30"/>
  <c r="F29" i="30" s="1"/>
  <c r="E28" i="30"/>
  <c r="F28" i="30" s="1"/>
  <c r="E27" i="30"/>
  <c r="F27" i="30" s="1"/>
  <c r="E26" i="30"/>
  <c r="F26" i="30" s="1"/>
  <c r="E25" i="30"/>
  <c r="F25" i="30" s="1"/>
  <c r="E24" i="30"/>
  <c r="F24" i="30" s="1"/>
  <c r="E22" i="30"/>
  <c r="F22" i="30" s="1"/>
  <c r="E21" i="30"/>
  <c r="F21" i="30" s="1"/>
  <c r="E19" i="30"/>
  <c r="F19" i="30" s="1"/>
  <c r="E17" i="30"/>
  <c r="F17" i="30" s="1"/>
  <c r="E16" i="30"/>
  <c r="F16" i="30" s="1"/>
  <c r="E15" i="30"/>
  <c r="F15" i="30" s="1"/>
  <c r="E12" i="30"/>
  <c r="F12" i="30" s="1"/>
  <c r="E11" i="30"/>
  <c r="F11" i="30" s="1"/>
  <c r="E9" i="30"/>
  <c r="F9" i="30" s="1"/>
  <c r="E8" i="30"/>
  <c r="F8" i="30" s="1"/>
  <c r="E7" i="30"/>
  <c r="F7" i="30" s="1"/>
  <c r="E6" i="30"/>
  <c r="F6" i="30" s="1"/>
  <c r="E5" i="30"/>
  <c r="F5" i="30" s="1"/>
  <c r="E4" i="30"/>
  <c r="F4" i="30" s="1"/>
  <c r="E3" i="30"/>
  <c r="F3" i="30" s="1"/>
  <c r="E51" i="29"/>
  <c r="F51" i="29" s="1"/>
  <c r="E50" i="29"/>
  <c r="F50" i="29" s="1"/>
  <c r="E49" i="29"/>
  <c r="F49" i="29" s="1"/>
  <c r="E48" i="29"/>
  <c r="F48" i="29" s="1"/>
  <c r="E47" i="29"/>
  <c r="F47" i="29" s="1"/>
  <c r="E46" i="29"/>
  <c r="F46" i="29" s="1"/>
  <c r="E45" i="29"/>
  <c r="F45" i="29" s="1"/>
  <c r="E42" i="29"/>
  <c r="F42" i="29" s="1"/>
  <c r="E41" i="29"/>
  <c r="F41" i="29" s="1"/>
  <c r="E40" i="29"/>
  <c r="F40" i="29" s="1"/>
  <c r="E39" i="29"/>
  <c r="F39" i="29" s="1"/>
  <c r="E38" i="29"/>
  <c r="F38" i="29" s="1"/>
  <c r="E37" i="29"/>
  <c r="F37" i="29" s="1"/>
  <c r="E36" i="29"/>
  <c r="F36" i="29" s="1"/>
  <c r="E32" i="29"/>
  <c r="F32" i="29" s="1"/>
  <c r="E31" i="29"/>
  <c r="F31" i="29" s="1"/>
  <c r="E30" i="29"/>
  <c r="F30" i="29" s="1"/>
  <c r="E29" i="29"/>
  <c r="F29" i="29" s="1"/>
  <c r="E28" i="29"/>
  <c r="F28" i="29" s="1"/>
  <c r="E27" i="29"/>
  <c r="F27" i="29" s="1"/>
  <c r="E26" i="29"/>
  <c r="F26" i="29" s="1"/>
  <c r="E25" i="29"/>
  <c r="F25" i="29" s="1"/>
  <c r="E24" i="29"/>
  <c r="F24" i="29" s="1"/>
  <c r="E22" i="29"/>
  <c r="F22" i="29" s="1"/>
  <c r="E21" i="29"/>
  <c r="F21" i="29" s="1"/>
  <c r="E19" i="29"/>
  <c r="F19" i="29" s="1"/>
  <c r="E17" i="29"/>
  <c r="F17" i="29" s="1"/>
  <c r="E16" i="29"/>
  <c r="F16" i="29" s="1"/>
  <c r="E15" i="29"/>
  <c r="F15" i="29" s="1"/>
  <c r="E12" i="29"/>
  <c r="F12" i="29" s="1"/>
  <c r="E11" i="29"/>
  <c r="F11" i="29" s="1"/>
  <c r="E9" i="29"/>
  <c r="F9" i="29" s="1"/>
  <c r="E8" i="29"/>
  <c r="F8" i="29" s="1"/>
  <c r="E7" i="29"/>
  <c r="F7" i="29" s="1"/>
  <c r="E6" i="29"/>
  <c r="F6" i="29" s="1"/>
  <c r="E5" i="29"/>
  <c r="F5" i="29" s="1"/>
  <c r="E4" i="29"/>
  <c r="F4" i="29" s="1"/>
  <c r="E3" i="29"/>
  <c r="F3" i="29" s="1"/>
  <c r="E2" i="29"/>
  <c r="F2" i="29" s="1"/>
  <c r="F55" i="28"/>
  <c r="G55" i="28" s="1"/>
  <c r="F54" i="28"/>
  <c r="G54" i="28" s="1"/>
  <c r="F53" i="28"/>
  <c r="G53" i="28" s="1"/>
  <c r="F51" i="28"/>
  <c r="G51" i="28" s="1"/>
  <c r="F50" i="28"/>
  <c r="G50" i="28" s="1"/>
  <c r="F49" i="28"/>
  <c r="G49" i="28" s="1"/>
  <c r="F48" i="28"/>
  <c r="G48" i="28" s="1"/>
  <c r="F47" i="28"/>
  <c r="G47" i="28" s="1"/>
  <c r="F46" i="28"/>
  <c r="G46" i="28" s="1"/>
  <c r="F45" i="28"/>
  <c r="G45" i="28" s="1"/>
  <c r="F44" i="28"/>
  <c r="G44" i="28" s="1"/>
  <c r="F43" i="28"/>
  <c r="G43" i="28" s="1"/>
  <c r="F41" i="28"/>
  <c r="G41" i="28" s="1"/>
  <c r="F40" i="28"/>
  <c r="G40" i="28" s="1"/>
  <c r="F39" i="28"/>
  <c r="G39" i="28" s="1"/>
  <c r="F38" i="28"/>
  <c r="G38" i="28" s="1"/>
  <c r="F37" i="28"/>
  <c r="G37" i="28" s="1"/>
  <c r="F36" i="28"/>
  <c r="G36" i="28" s="1"/>
  <c r="F35" i="28"/>
  <c r="G35" i="28" s="1"/>
  <c r="F34" i="28"/>
  <c r="G34" i="28" s="1"/>
  <c r="F33" i="28"/>
  <c r="G33" i="28" s="1"/>
  <c r="F32" i="28"/>
  <c r="G32" i="28" s="1"/>
  <c r="F31" i="28"/>
  <c r="G31" i="28" s="1"/>
  <c r="F30" i="28"/>
  <c r="G30" i="28" s="1"/>
  <c r="F29" i="28"/>
  <c r="G29" i="28" s="1"/>
  <c r="F28" i="28"/>
  <c r="G28" i="28" s="1"/>
  <c r="F27" i="28"/>
  <c r="G27" i="28" s="1"/>
  <c r="F26" i="28"/>
  <c r="G26" i="28" s="1"/>
  <c r="F25" i="28"/>
  <c r="G25" i="28" s="1"/>
  <c r="F23" i="28"/>
  <c r="G23" i="28" s="1"/>
  <c r="F21" i="28"/>
  <c r="G21" i="28" s="1"/>
  <c r="F20" i="28"/>
  <c r="G20" i="28" s="1"/>
  <c r="F19" i="28"/>
  <c r="G19" i="28" s="1"/>
  <c r="F18" i="28"/>
  <c r="G18" i="28" s="1"/>
  <c r="F17" i="28"/>
  <c r="G17" i="28" s="1"/>
  <c r="F15" i="28"/>
  <c r="G15" i="28" s="1"/>
  <c r="F14" i="28"/>
  <c r="G14" i="28" s="1"/>
  <c r="F13" i="28"/>
  <c r="G13" i="28" s="1"/>
  <c r="F11" i="28"/>
  <c r="G11" i="28" s="1"/>
  <c r="F10" i="28"/>
  <c r="G10" i="28" s="1"/>
  <c r="F9" i="28"/>
  <c r="G9" i="28" s="1"/>
  <c r="F8" i="28"/>
  <c r="G8" i="28" s="1"/>
  <c r="G17" i="27"/>
  <c r="F17" i="27"/>
  <c r="E17" i="27"/>
  <c r="I17" i="27"/>
  <c r="J17" i="27"/>
  <c r="H17" i="27"/>
  <c r="H27" i="27"/>
  <c r="H30" i="27"/>
  <c r="H28" i="27"/>
  <c r="J27" i="27"/>
  <c r="I30" i="27"/>
  <c r="J28" i="27"/>
  <c r="F28" i="27"/>
  <c r="I28" i="27"/>
  <c r="F30" i="27"/>
  <c r="J30" i="27"/>
  <c r="F27" i="27"/>
  <c r="I27" i="27"/>
  <c r="C74" i="27" l="1"/>
  <c r="J71" i="27"/>
  <c r="I71" i="27"/>
  <c r="H71" i="27"/>
  <c r="F71" i="27"/>
  <c r="E52" i="27" l="1"/>
  <c r="E45" i="27"/>
  <c r="E46" i="27"/>
  <c r="E47" i="27"/>
  <c r="E44" i="27"/>
  <c r="C31" i="27"/>
  <c r="J25" i="27"/>
  <c r="I25" i="27"/>
  <c r="H25" i="27"/>
  <c r="G25" i="27"/>
  <c r="J23" i="27"/>
  <c r="I23" i="27"/>
  <c r="H23" i="27"/>
  <c r="G23" i="27"/>
  <c r="E16" i="27" l="1"/>
  <c r="G15" i="27"/>
  <c r="H15" i="27"/>
  <c r="I15" i="27"/>
  <c r="J15" i="27"/>
  <c r="F15" i="27"/>
  <c r="G14" i="27"/>
  <c r="H14" i="27"/>
  <c r="I14" i="27"/>
  <c r="J14" i="27"/>
  <c r="F14" i="27"/>
  <c r="G13" i="27"/>
  <c r="H13" i="27"/>
  <c r="I13" i="27"/>
  <c r="J13" i="27"/>
  <c r="F13" i="27"/>
  <c r="G12" i="27"/>
  <c r="H12" i="27"/>
  <c r="I12" i="27"/>
  <c r="J12" i="27"/>
  <c r="F12" i="27"/>
  <c r="G11" i="27"/>
  <c r="H11" i="27"/>
  <c r="I11" i="27"/>
  <c r="J11" i="27"/>
  <c r="F11" i="27"/>
  <c r="G10" i="27"/>
  <c r="H10" i="27"/>
  <c r="I10" i="27"/>
  <c r="J10" i="27"/>
  <c r="F10" i="27"/>
  <c r="G9" i="27"/>
  <c r="J5" i="27" l="1"/>
  <c r="J6" i="27" s="1"/>
  <c r="I5" i="27"/>
  <c r="I6" i="27" s="1"/>
  <c r="H5" i="27"/>
  <c r="H6" i="27" s="1"/>
  <c r="G5" i="27"/>
  <c r="G6" i="27" s="1"/>
  <c r="F6" i="27"/>
  <c r="C81" i="27" l="1"/>
  <c r="C80" i="27"/>
  <c r="C79" i="27"/>
  <c r="C78" i="27"/>
  <c r="C77" i="27"/>
  <c r="C73" i="27"/>
  <c r="C72" i="27"/>
  <c r="C71" i="27"/>
  <c r="C70" i="27"/>
  <c r="C69" i="27"/>
  <c r="C68" i="27"/>
  <c r="C67" i="27"/>
  <c r="C66" i="27"/>
  <c r="C65" i="27"/>
  <c r="C64" i="27"/>
  <c r="C63" i="27"/>
  <c r="C62" i="27"/>
  <c r="C61" i="27"/>
  <c r="C60" i="27"/>
  <c r="C59" i="27"/>
  <c r="C58" i="27"/>
  <c r="C57" i="27"/>
  <c r="C56" i="27"/>
  <c r="C55" i="27"/>
  <c r="C54" i="27"/>
  <c r="C53" i="27"/>
  <c r="C52" i="27"/>
  <c r="C16" i="27"/>
  <c r="C15" i="27"/>
  <c r="C14" i="27"/>
  <c r="C13" i="27"/>
  <c r="C12" i="27"/>
  <c r="C11" i="27"/>
  <c r="C10" i="27"/>
  <c r="C9" i="27"/>
  <c r="C8" i="27"/>
  <c r="E82" i="27" s="1"/>
  <c r="C6" i="27"/>
  <c r="C4" i="27"/>
  <c r="C51" i="27"/>
  <c r="C50" i="27"/>
  <c r="C49" i="27"/>
  <c r="C48" i="27"/>
  <c r="C47" i="27"/>
  <c r="C46" i="27"/>
  <c r="C45" i="27"/>
  <c r="C44" i="27"/>
  <c r="C43" i="27"/>
  <c r="C42" i="27"/>
  <c r="C40" i="27"/>
  <c r="C20" i="27"/>
  <c r="C21" i="27"/>
  <c r="C22" i="27"/>
  <c r="C23" i="27"/>
  <c r="C24" i="27"/>
  <c r="C25" i="27"/>
  <c r="C26" i="27"/>
  <c r="C30" i="27"/>
  <c r="C32" i="27"/>
  <c r="C33" i="27"/>
  <c r="C27" i="27"/>
  <c r="C28" i="27"/>
  <c r="C29" i="27"/>
  <c r="C34" i="27"/>
  <c r="C35" i="27"/>
  <c r="C36" i="27"/>
  <c r="C37" i="27"/>
  <c r="C39" i="27"/>
  <c r="C41" i="27"/>
  <c r="C18" i="27"/>
  <c r="C17" i="27"/>
  <c r="H82" i="27" l="1"/>
  <c r="G82" i="27"/>
  <c r="F82" i="27"/>
  <c r="I82" i="27"/>
  <c r="J82" i="27"/>
  <c r="C125" i="26"/>
  <c r="G123" i="26"/>
  <c r="H123" i="26" s="1"/>
  <c r="G122" i="26"/>
  <c r="H122" i="26" s="1"/>
  <c r="H120" i="26"/>
  <c r="H119" i="26"/>
  <c r="H117" i="26"/>
  <c r="H115" i="26"/>
  <c r="H113" i="26"/>
  <c r="G111" i="26"/>
  <c r="G109" i="26"/>
  <c r="G108" i="26"/>
  <c r="H107" i="26"/>
  <c r="G106" i="26"/>
  <c r="G105" i="26"/>
  <c r="H103" i="26"/>
  <c r="G102" i="26"/>
  <c r="H102" i="26" s="1"/>
  <c r="G101" i="26"/>
  <c r="H101" i="26" s="1"/>
  <c r="H98" i="26"/>
  <c r="G98" i="26"/>
  <c r="C112" i="26"/>
  <c r="C113" i="26"/>
  <c r="C114" i="26"/>
  <c r="C115" i="26"/>
  <c r="C116" i="26"/>
  <c r="C117" i="26"/>
  <c r="C118" i="26"/>
  <c r="C119" i="26"/>
  <c r="C120" i="26"/>
  <c r="C121" i="26"/>
  <c r="C122" i="26"/>
  <c r="C123" i="26"/>
  <c r="C124" i="26"/>
  <c r="C111" i="26"/>
  <c r="C110" i="26"/>
  <c r="C109" i="26"/>
  <c r="C108" i="26"/>
  <c r="C107" i="26"/>
  <c r="C106" i="26"/>
  <c r="C105" i="26"/>
  <c r="C104" i="26"/>
  <c r="C103" i="26"/>
  <c r="C102" i="26"/>
  <c r="C101" i="26"/>
  <c r="C100" i="26"/>
  <c r="C99" i="26"/>
  <c r="C98" i="26"/>
  <c r="C97" i="26"/>
  <c r="E95" i="25"/>
  <c r="I6" i="26"/>
  <c r="I4" i="26"/>
  <c r="I2" i="26"/>
  <c r="C10" i="26"/>
  <c r="C9" i="26"/>
  <c r="C8" i="26"/>
  <c r="C7" i="26"/>
  <c r="F65" i="26"/>
  <c r="F64" i="26"/>
  <c r="C64" i="26"/>
  <c r="C65" i="26"/>
  <c r="C66" i="26"/>
  <c r="C67" i="26"/>
  <c r="C68" i="26"/>
  <c r="C69" i="26"/>
  <c r="C70" i="26"/>
  <c r="C71" i="26"/>
  <c r="C72" i="26"/>
  <c r="C73" i="26"/>
  <c r="C63" i="26"/>
  <c r="C12" i="26"/>
  <c r="E62" i="26"/>
  <c r="E61" i="26"/>
  <c r="E54" i="26"/>
  <c r="E50" i="26"/>
  <c r="G48" i="26"/>
  <c r="E48" i="26"/>
  <c r="E45" i="26"/>
  <c r="E43" i="26"/>
  <c r="E40" i="26"/>
  <c r="E38" i="26"/>
  <c r="E36" i="26"/>
  <c r="E35" i="26"/>
  <c r="E34" i="26"/>
  <c r="H126" i="26" l="1"/>
  <c r="F126" i="26"/>
  <c r="E32" i="26" l="1"/>
  <c r="E28" i="26"/>
  <c r="E29" i="26"/>
  <c r="E30" i="26"/>
  <c r="E31" i="26"/>
  <c r="E27" i="26"/>
  <c r="E25" i="26"/>
  <c r="E21" i="26"/>
  <c r="E23" i="26"/>
  <c r="C62" i="26"/>
  <c r="E12" i="26"/>
  <c r="E14" i="26"/>
  <c r="C59" i="26"/>
  <c r="C60" i="26"/>
  <c r="C61" i="26"/>
  <c r="C58" i="26"/>
  <c r="C57" i="26"/>
  <c r="C56" i="26"/>
  <c r="C54" i="26"/>
  <c r="C53" i="26"/>
  <c r="C52" i="26"/>
  <c r="C50" i="26"/>
  <c r="C48" i="26"/>
  <c r="G126" i="26" s="1"/>
  <c r="C47" i="26"/>
  <c r="C45" i="26"/>
  <c r="C43" i="26"/>
  <c r="C42" i="26"/>
  <c r="C40" i="26"/>
  <c r="C38" i="26"/>
  <c r="C36" i="26"/>
  <c r="C35" i="26"/>
  <c r="C34" i="26"/>
  <c r="C32" i="26"/>
  <c r="C31" i="26"/>
  <c r="C30" i="26"/>
  <c r="C29" i="26"/>
  <c r="C28" i="26"/>
  <c r="C27" i="26"/>
  <c r="C25" i="26"/>
  <c r="C23" i="26"/>
  <c r="C21" i="26"/>
  <c r="C20" i="26"/>
  <c r="C18" i="26"/>
  <c r="C17" i="26"/>
  <c r="C16" i="26"/>
  <c r="C14" i="26"/>
  <c r="C13" i="26"/>
  <c r="C11" i="26"/>
  <c r="I126" i="26" l="1"/>
  <c r="E126" i="26"/>
  <c r="N107" i="25"/>
  <c r="M107" i="25"/>
  <c r="L107" i="25"/>
  <c r="K107" i="25"/>
  <c r="J107" i="25"/>
  <c r="I107" i="25"/>
  <c r="H107" i="25"/>
  <c r="G107" i="25"/>
  <c r="F107" i="25"/>
  <c r="E107" i="25"/>
  <c r="N105" i="25"/>
  <c r="M105" i="25"/>
  <c r="L105" i="25"/>
  <c r="K105" i="25"/>
  <c r="J105" i="25"/>
  <c r="I105" i="25"/>
  <c r="H105" i="25"/>
  <c r="G105" i="25"/>
  <c r="F105" i="25"/>
  <c r="E105" i="25"/>
  <c r="C107" i="25"/>
  <c r="N103" i="25"/>
  <c r="M103" i="25"/>
  <c r="L103" i="25"/>
  <c r="K103" i="25"/>
  <c r="J103" i="25"/>
  <c r="I103" i="25"/>
  <c r="H103" i="25"/>
  <c r="G103" i="25"/>
  <c r="F103" i="25"/>
  <c r="E103" i="25"/>
  <c r="C103" i="25"/>
  <c r="F101" i="25"/>
  <c r="G101" i="25"/>
  <c r="H101" i="25"/>
  <c r="I101" i="25"/>
  <c r="J101" i="25"/>
  <c r="K101" i="25"/>
  <c r="L101" i="25"/>
  <c r="M101" i="25"/>
  <c r="N101" i="25"/>
  <c r="E101" i="25"/>
  <c r="N99" i="25"/>
  <c r="M99" i="25"/>
  <c r="L99" i="25"/>
  <c r="K99" i="25"/>
  <c r="J99" i="25"/>
  <c r="I99" i="25"/>
  <c r="H99" i="25"/>
  <c r="G99" i="25"/>
  <c r="F99" i="25"/>
  <c r="E99" i="25"/>
  <c r="C99" i="25"/>
  <c r="C101" i="25"/>
  <c r="C105" i="25"/>
  <c r="C97" i="25"/>
  <c r="C95" i="25"/>
  <c r="N88" i="25"/>
  <c r="M88" i="25"/>
  <c r="L88" i="25"/>
  <c r="K88" i="25"/>
  <c r="J88" i="25"/>
  <c r="I88" i="25"/>
  <c r="H88" i="25"/>
  <c r="G88" i="25"/>
  <c r="F88" i="25"/>
  <c r="E88" i="25"/>
  <c r="N77" i="25"/>
  <c r="N85" i="25"/>
  <c r="M85" i="25"/>
  <c r="L85" i="25"/>
  <c r="K85" i="25"/>
  <c r="J85" i="25"/>
  <c r="I85" i="25"/>
  <c r="H85" i="25"/>
  <c r="G85" i="25"/>
  <c r="F85" i="25"/>
  <c r="E85" i="25"/>
  <c r="G81" i="25"/>
  <c r="G77" i="25"/>
  <c r="M81" i="25"/>
  <c r="L81" i="25"/>
  <c r="K81" i="25"/>
  <c r="J81" i="25"/>
  <c r="I81" i="25"/>
  <c r="H81" i="25"/>
  <c r="F81" i="25"/>
  <c r="E81" i="25"/>
  <c r="M77" i="25"/>
  <c r="L77" i="25"/>
  <c r="K77" i="25"/>
  <c r="J77" i="25"/>
  <c r="I77" i="25"/>
  <c r="H77" i="25"/>
  <c r="F77" i="25"/>
  <c r="E77" i="25"/>
  <c r="M75" i="25"/>
  <c r="L75" i="25"/>
  <c r="G75" i="25"/>
  <c r="N69" i="25"/>
  <c r="M69" i="25"/>
  <c r="L69" i="25"/>
  <c r="K69" i="25"/>
  <c r="J69" i="25"/>
  <c r="I69" i="25"/>
  <c r="H69" i="25"/>
  <c r="G69" i="25"/>
  <c r="F69" i="25"/>
  <c r="E69" i="25"/>
  <c r="N67" i="25"/>
  <c r="M67" i="25"/>
  <c r="L67" i="25"/>
  <c r="K67" i="25"/>
  <c r="J67" i="25"/>
  <c r="I67" i="25"/>
  <c r="H67" i="25"/>
  <c r="G67" i="25"/>
  <c r="F67" i="25"/>
  <c r="E67" i="25"/>
  <c r="N66" i="25"/>
  <c r="M66" i="25"/>
  <c r="L66" i="25"/>
  <c r="K66" i="25"/>
  <c r="J66" i="25"/>
  <c r="I66" i="25"/>
  <c r="H66" i="25"/>
  <c r="G66" i="25"/>
  <c r="F66" i="25"/>
  <c r="E66" i="25"/>
  <c r="N54" i="25"/>
  <c r="M54" i="25"/>
  <c r="L54" i="25"/>
  <c r="K54" i="25"/>
  <c r="J54" i="25"/>
  <c r="I54" i="25"/>
  <c r="H54" i="25"/>
  <c r="G54" i="25"/>
  <c r="F54" i="25"/>
  <c r="E54" i="25"/>
  <c r="N51" i="25"/>
  <c r="M51" i="25"/>
  <c r="L51" i="25"/>
  <c r="K51" i="25"/>
  <c r="J51" i="25"/>
  <c r="I51" i="25"/>
  <c r="H51" i="25"/>
  <c r="G51" i="25"/>
  <c r="F51" i="25"/>
  <c r="E51" i="25"/>
  <c r="F61" i="25" l="1"/>
  <c r="J61" i="25"/>
  <c r="N61" i="25"/>
  <c r="G61" i="25"/>
  <c r="K61" i="25"/>
  <c r="E61" i="25"/>
  <c r="I61" i="25"/>
  <c r="M61" i="25"/>
  <c r="H61" i="25"/>
  <c r="L61" i="25"/>
  <c r="N45" i="25"/>
  <c r="M45" i="25"/>
  <c r="L45" i="25"/>
  <c r="K45" i="25"/>
  <c r="J45" i="25"/>
  <c r="I45" i="25"/>
  <c r="H45" i="25"/>
  <c r="G45" i="25"/>
  <c r="F45" i="25"/>
  <c r="E45" i="25"/>
  <c r="N40" i="25" l="1"/>
  <c r="M40" i="25"/>
  <c r="L40" i="25"/>
  <c r="K40" i="25"/>
  <c r="J40" i="25"/>
  <c r="I40" i="25"/>
  <c r="H40" i="25"/>
  <c r="G40" i="25"/>
  <c r="F40" i="25"/>
  <c r="E40" i="25"/>
  <c r="N35" i="25"/>
  <c r="M35" i="25"/>
  <c r="L35" i="25"/>
  <c r="K35" i="25"/>
  <c r="J35" i="25"/>
  <c r="I35" i="25"/>
  <c r="H35" i="25"/>
  <c r="G35" i="25"/>
  <c r="F35" i="25"/>
  <c r="E35" i="25"/>
  <c r="N34" i="25"/>
  <c r="M34" i="25"/>
  <c r="L34" i="25"/>
  <c r="K34" i="25"/>
  <c r="J34" i="25"/>
  <c r="I34" i="25"/>
  <c r="H34" i="25"/>
  <c r="G34" i="25"/>
  <c r="F34" i="25"/>
  <c r="E34" i="25"/>
  <c r="M26" i="25"/>
  <c r="N26" i="25"/>
  <c r="L26" i="25"/>
  <c r="K26" i="25"/>
  <c r="N24" i="25"/>
  <c r="M24" i="25"/>
  <c r="L24" i="25"/>
  <c r="K24" i="25"/>
  <c r="J24" i="25"/>
  <c r="J26" i="25"/>
  <c r="I24" i="25"/>
  <c r="H24" i="25"/>
  <c r="G24" i="25"/>
  <c r="F24" i="25"/>
  <c r="E24" i="25"/>
  <c r="I26" i="25"/>
  <c r="H26" i="25"/>
  <c r="G26" i="25"/>
  <c r="F26" i="25"/>
  <c r="E26" i="25"/>
  <c r="N17" i="25"/>
  <c r="M17" i="25"/>
  <c r="L17" i="25"/>
  <c r="K17" i="25"/>
  <c r="J17" i="25"/>
  <c r="I17" i="25"/>
  <c r="H17" i="25"/>
  <c r="G17" i="25"/>
  <c r="F17" i="25"/>
  <c r="E17" i="25"/>
  <c r="N14" i="25"/>
  <c r="M14" i="25"/>
  <c r="L14" i="25"/>
  <c r="K14" i="25"/>
  <c r="J14" i="25"/>
  <c r="I14" i="25"/>
  <c r="H14" i="25"/>
  <c r="G14" i="25"/>
  <c r="F14" i="25"/>
  <c r="E14" i="25"/>
  <c r="N11" i="25"/>
  <c r="M11" i="25"/>
  <c r="L11" i="25"/>
  <c r="K11" i="25"/>
  <c r="J11" i="25"/>
  <c r="I11" i="25"/>
  <c r="H11" i="25"/>
  <c r="G11" i="25"/>
  <c r="F11" i="25"/>
  <c r="E11" i="25"/>
  <c r="N6" i="25"/>
  <c r="M6" i="25"/>
  <c r="L6" i="25"/>
  <c r="K6" i="25"/>
  <c r="J6" i="25"/>
  <c r="I6" i="25"/>
  <c r="H6" i="25"/>
  <c r="G6" i="25"/>
  <c r="F6" i="25"/>
  <c r="E6" i="25"/>
  <c r="N5" i="25"/>
  <c r="M5" i="25"/>
  <c r="L5" i="25"/>
  <c r="K5" i="25"/>
  <c r="J5" i="25"/>
  <c r="I5" i="25"/>
  <c r="H5" i="25"/>
  <c r="G5" i="25"/>
  <c r="F5" i="25"/>
  <c r="E5" i="25"/>
  <c r="C93" i="25"/>
  <c r="C92" i="25"/>
  <c r="C91" i="25"/>
  <c r="C90" i="25"/>
  <c r="C87" i="25"/>
  <c r="C89" i="25"/>
  <c r="C84" i="25"/>
  <c r="C83" i="25"/>
  <c r="C82" i="25"/>
  <c r="C79" i="25"/>
  <c r="C78" i="25"/>
  <c r="C75" i="25"/>
  <c r="C74" i="25"/>
  <c r="C73" i="25"/>
  <c r="C72" i="25"/>
  <c r="C71" i="25"/>
  <c r="C68" i="25"/>
  <c r="C67" i="25"/>
  <c r="C66" i="25"/>
  <c r="C65" i="25"/>
  <c r="C64" i="25"/>
  <c r="C63" i="25"/>
  <c r="C62" i="25"/>
  <c r="C61" i="25"/>
  <c r="C60" i="25"/>
  <c r="C59" i="25"/>
  <c r="C58" i="25"/>
  <c r="C57" i="25"/>
  <c r="C53" i="25"/>
  <c r="C50" i="25"/>
  <c r="C49" i="25"/>
  <c r="C48" i="25"/>
  <c r="C47" i="25"/>
  <c r="C46" i="25"/>
  <c r="C45" i="25"/>
  <c r="C44" i="25"/>
  <c r="C43" i="25"/>
  <c r="C42" i="25"/>
  <c r="C41" i="25"/>
  <c r="C40" i="25"/>
  <c r="C39" i="25"/>
  <c r="C38" i="25"/>
  <c r="C37" i="25"/>
  <c r="C34" i="25"/>
  <c r="C33" i="25"/>
  <c r="C32" i="25"/>
  <c r="C31" i="25"/>
  <c r="C30" i="25"/>
  <c r="C29" i="25"/>
  <c r="C28" i="25"/>
  <c r="C25" i="25"/>
  <c r="C22" i="25"/>
  <c r="C21" i="25"/>
  <c r="C20" i="25"/>
  <c r="C19" i="25"/>
  <c r="C16" i="25"/>
  <c r="C13" i="25"/>
  <c r="C10" i="25"/>
  <c r="C9" i="25"/>
  <c r="C8" i="25"/>
  <c r="C7" i="25"/>
  <c r="C6" i="25"/>
  <c r="C5" i="25"/>
  <c r="C4" i="25"/>
  <c r="C3" i="25"/>
  <c r="C2" i="25"/>
  <c r="E41" i="25" l="1"/>
  <c r="H41" i="25"/>
  <c r="L41" i="25"/>
  <c r="D108" i="25"/>
  <c r="G41" i="25"/>
  <c r="K41" i="25"/>
  <c r="F41" i="25"/>
  <c r="J41" i="25"/>
  <c r="N41" i="25"/>
  <c r="I41" i="25"/>
  <c r="M41" i="25"/>
  <c r="F9" i="27"/>
  <c r="H9" i="27"/>
  <c r="I9" i="27"/>
  <c r="J9" i="27"/>
  <c r="F7" i="27"/>
  <c r="F8" i="27" s="1"/>
  <c r="G7" i="27"/>
  <c r="H7" i="27"/>
  <c r="H8" i="27" s="1"/>
  <c r="I7" i="27"/>
  <c r="I8" i="27" s="1"/>
  <c r="J7" i="27"/>
  <c r="J8" i="27" s="1"/>
  <c r="F4" i="27"/>
  <c r="G4" i="27"/>
  <c r="H4" i="27"/>
  <c r="I4" i="27"/>
  <c r="J4" i="27"/>
  <c r="F2" i="27"/>
  <c r="G2" i="27"/>
  <c r="H2" i="27"/>
  <c r="I2" i="27"/>
  <c r="J2" i="27"/>
  <c r="P13" i="24" l="1"/>
  <c r="CT32" i="18" l="1"/>
  <c r="CI32" i="20"/>
  <c r="L17" i="18" l="1"/>
  <c r="L18" i="18"/>
  <c r="G22" i="10"/>
  <c r="H22" i="10"/>
  <c r="G26" i="10"/>
  <c r="G23" i="10"/>
  <c r="G21" i="10"/>
  <c r="G20" i="10"/>
  <c r="G19" i="10"/>
  <c r="G18" i="10"/>
  <c r="G17" i="10"/>
  <c r="G16" i="10"/>
  <c r="G15" i="10"/>
  <c r="G14" i="10"/>
  <c r="G13" i="10"/>
  <c r="G12" i="10"/>
  <c r="G11" i="10"/>
  <c r="G10" i="10"/>
  <c r="G9" i="10"/>
  <c r="G8" i="10"/>
  <c r="G7" i="10"/>
  <c r="G6" i="10"/>
  <c r="G5" i="10"/>
  <c r="G4" i="10"/>
  <c r="G3" i="10"/>
  <c r="AM52" i="18"/>
  <c r="AN52" i="18" s="1"/>
  <c r="L7" i="6"/>
  <c r="P8" i="24"/>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6" i="12"/>
  <c r="M117" i="12"/>
  <c r="M118" i="12"/>
  <c r="M119" i="12"/>
  <c r="M120" i="12"/>
  <c r="M121" i="12"/>
  <c r="M122" i="12"/>
  <c r="M123" i="12"/>
  <c r="M124" i="12"/>
  <c r="M125" i="12"/>
  <c r="M126" i="12"/>
  <c r="M127" i="12"/>
  <c r="M128" i="12"/>
  <c r="M129" i="12"/>
  <c r="M130" i="12"/>
  <c r="M131" i="12"/>
  <c r="M3" i="12"/>
  <c r="L3" i="12"/>
  <c r="G31" i="10" l="1"/>
  <c r="G33" i="10" s="1"/>
  <c r="A144" i="24"/>
  <c r="A143" i="24"/>
  <c r="P4" i="24"/>
  <c r="P9" i="24"/>
  <c r="P15" i="24"/>
  <c r="P12" i="24"/>
  <c r="P11" i="24"/>
  <c r="P14" i="24"/>
  <c r="P7" i="24"/>
  <c r="P6" i="24"/>
  <c r="P5" i="24"/>
  <c r="G36" i="10" l="1"/>
  <c r="G40" i="10" s="1"/>
  <c r="D137" i="24" s="1"/>
  <c r="C147" i="24" s="1"/>
  <c r="D37" i="24"/>
  <c r="D57" i="24" s="1"/>
  <c r="G32" i="10"/>
  <c r="G34" i="10" s="1"/>
  <c r="Q4" i="24"/>
  <c r="E30" i="24"/>
  <c r="D30" i="24" s="1"/>
  <c r="D9" i="24" s="1"/>
  <c r="F9" i="24" s="1"/>
  <c r="G9" i="24" s="1"/>
  <c r="O13" i="24" s="1"/>
  <c r="D18" i="24"/>
  <c r="C2" i="21"/>
  <c r="D2" i="21" l="1"/>
  <c r="E2" i="21" s="1"/>
  <c r="F2" i="21" s="1"/>
  <c r="G2" i="21" s="1"/>
  <c r="H2" i="21" s="1"/>
  <c r="I2" i="21" s="1"/>
  <c r="K2" i="21" s="1"/>
  <c r="S13" i="24"/>
  <c r="R13" i="24"/>
  <c r="D135" i="24"/>
  <c r="C146" i="24" s="1"/>
  <c r="E130" i="24"/>
  <c r="D130" i="24" s="1"/>
  <c r="D119" i="24"/>
  <c r="D117" i="24"/>
  <c r="D115" i="24"/>
  <c r="D129" i="24"/>
  <c r="D113" i="24"/>
  <c r="D112" i="24"/>
  <c r="D111" i="24"/>
  <c r="D110" i="24"/>
  <c r="D109" i="24"/>
  <c r="D108" i="24"/>
  <c r="F107" i="24"/>
  <c r="D107" i="24" s="1"/>
  <c r="E32" i="15"/>
  <c r="E35" i="15" s="1"/>
  <c r="D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H82" i="11"/>
  <c r="H83" i="11" s="1"/>
  <c r="H84" i="11" s="1"/>
  <c r="D81" i="11"/>
  <c r="F80" i="11"/>
  <c r="F79" i="11"/>
  <c r="F78" i="11"/>
  <c r="F77" i="11"/>
  <c r="F76" i="11"/>
  <c r="F75" i="11"/>
  <c r="F74" i="11"/>
  <c r="F73" i="11"/>
  <c r="F72" i="11"/>
  <c r="F71" i="11"/>
  <c r="F70" i="11"/>
  <c r="F67" i="11"/>
  <c r="F65" i="11"/>
  <c r="F64" i="11"/>
  <c r="F63" i="11"/>
  <c r="F62" i="11"/>
  <c r="F61" i="11"/>
  <c r="F60" i="11"/>
  <c r="F59" i="11"/>
  <c r="F58" i="11"/>
  <c r="F57" i="11"/>
  <c r="F56" i="11"/>
  <c r="F55" i="11"/>
  <c r="F54" i="11"/>
  <c r="F53" i="11"/>
  <c r="F52" i="11"/>
  <c r="F51" i="11"/>
  <c r="F50" i="11"/>
  <c r="F49" i="11"/>
  <c r="F48" i="11"/>
  <c r="F47" i="11"/>
  <c r="F46" i="11"/>
  <c r="F45" i="11"/>
  <c r="F44" i="11"/>
  <c r="F43" i="11"/>
  <c r="F37" i="11"/>
  <c r="F36" i="11"/>
  <c r="F35" i="11"/>
  <c r="F34" i="11"/>
  <c r="F33" i="11"/>
  <c r="F32" i="11"/>
  <c r="F31" i="11"/>
  <c r="F30" i="11"/>
  <c r="F29" i="11"/>
  <c r="F28" i="11"/>
  <c r="F27" i="11"/>
  <c r="F26" i="11"/>
  <c r="F25" i="11"/>
  <c r="F24" i="11"/>
  <c r="F23" i="11"/>
  <c r="F22" i="11"/>
  <c r="F21" i="11"/>
  <c r="F20" i="11"/>
  <c r="F19" i="11"/>
  <c r="F17" i="11"/>
  <c r="F16" i="11"/>
  <c r="F14" i="11"/>
  <c r="F13" i="11"/>
  <c r="F12" i="11"/>
  <c r="F11" i="11"/>
  <c r="F10" i="11"/>
  <c r="F9" i="11"/>
  <c r="F8" i="11"/>
  <c r="F7" i="11"/>
  <c r="F6" i="11"/>
  <c r="F5" i="11"/>
  <c r="F4" i="11"/>
  <c r="I26" i="10"/>
  <c r="H26" i="10"/>
  <c r="I23" i="10"/>
  <c r="H23" i="10"/>
  <c r="I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H5" i="10"/>
  <c r="I4" i="10"/>
  <c r="H4" i="10"/>
  <c r="H3" i="10"/>
  <c r="K28" i="16"/>
  <c r="J28" i="16"/>
  <c r="E133" i="24" s="1"/>
  <c r="D133" i="24" s="1"/>
  <c r="K23" i="16"/>
  <c r="J23" i="16"/>
  <c r="K21" i="16"/>
  <c r="J21" i="16"/>
  <c r="E33" i="24" s="1"/>
  <c r="I21" i="16"/>
  <c r="M20" i="16"/>
  <c r="M19" i="16"/>
  <c r="M18" i="16"/>
  <c r="M17" i="16"/>
  <c r="M16" i="16"/>
  <c r="M15" i="16"/>
  <c r="M14" i="16"/>
  <c r="M13" i="16"/>
  <c r="M12" i="16"/>
  <c r="M11" i="16"/>
  <c r="M10" i="16"/>
  <c r="M9" i="16"/>
  <c r="M8" i="16"/>
  <c r="M7" i="16"/>
  <c r="M5" i="16"/>
  <c r="M4" i="16"/>
  <c r="M3" i="16"/>
  <c r="K141" i="12"/>
  <c r="H141" i="12"/>
  <c r="J131" i="12"/>
  <c r="H131" i="12"/>
  <c r="G131" i="12"/>
  <c r="L130" i="12"/>
  <c r="J130" i="12"/>
  <c r="G130" i="12"/>
  <c r="L129" i="12"/>
  <c r="J129" i="12"/>
  <c r="G129" i="12"/>
  <c r="L128" i="12"/>
  <c r="J128" i="12"/>
  <c r="G128" i="12"/>
  <c r="L127" i="12"/>
  <c r="J127" i="12"/>
  <c r="G127" i="12"/>
  <c r="L126" i="12"/>
  <c r="J126" i="12"/>
  <c r="G126" i="12"/>
  <c r="L125" i="12"/>
  <c r="J125" i="12"/>
  <c r="G125" i="12"/>
  <c r="L124" i="12"/>
  <c r="J124" i="12"/>
  <c r="G124" i="12"/>
  <c r="L123" i="12"/>
  <c r="J123" i="12"/>
  <c r="G123" i="12"/>
  <c r="L122" i="12"/>
  <c r="J122" i="12"/>
  <c r="G122" i="12"/>
  <c r="L121" i="12"/>
  <c r="J121" i="12"/>
  <c r="G121" i="12"/>
  <c r="L120" i="12"/>
  <c r="J120" i="12"/>
  <c r="G120" i="12"/>
  <c r="L119" i="12"/>
  <c r="J119" i="12"/>
  <c r="G119" i="12"/>
  <c r="L118" i="12"/>
  <c r="K118" i="12"/>
  <c r="J118" i="12"/>
  <c r="H118" i="12"/>
  <c r="G118" i="12"/>
  <c r="L117" i="12"/>
  <c r="J117" i="12"/>
  <c r="G117" i="12"/>
  <c r="L116" i="12"/>
  <c r="J116" i="12"/>
  <c r="G116" i="12"/>
  <c r="L115" i="12"/>
  <c r="J115" i="12"/>
  <c r="G115" i="12"/>
  <c r="L114" i="12"/>
  <c r="J114" i="12"/>
  <c r="G114" i="12"/>
  <c r="L113" i="12"/>
  <c r="J113" i="12"/>
  <c r="G113" i="12"/>
  <c r="L112" i="12"/>
  <c r="J112" i="12"/>
  <c r="G112" i="12"/>
  <c r="L111" i="12"/>
  <c r="J111" i="12"/>
  <c r="G111" i="12"/>
  <c r="L110" i="12"/>
  <c r="J110" i="12"/>
  <c r="G110" i="12"/>
  <c r="L109" i="12"/>
  <c r="J109" i="12"/>
  <c r="G109" i="12"/>
  <c r="L108" i="12"/>
  <c r="J108" i="12"/>
  <c r="G108" i="12"/>
  <c r="L107" i="12"/>
  <c r="J107" i="12"/>
  <c r="G107" i="12"/>
  <c r="L106" i="12"/>
  <c r="J106" i="12"/>
  <c r="G106" i="12"/>
  <c r="L105" i="12"/>
  <c r="J105" i="12"/>
  <c r="G105" i="12"/>
  <c r="L104" i="12"/>
  <c r="K104" i="12"/>
  <c r="J104" i="12"/>
  <c r="H104" i="12"/>
  <c r="G104" i="12"/>
  <c r="L103" i="12"/>
  <c r="J103" i="12"/>
  <c r="G103" i="12"/>
  <c r="L102" i="12"/>
  <c r="J102" i="12"/>
  <c r="G102" i="12"/>
  <c r="L101" i="12"/>
  <c r="J101" i="12"/>
  <c r="G101" i="12"/>
  <c r="L100" i="12"/>
  <c r="J100" i="12"/>
  <c r="G100" i="12"/>
  <c r="L99" i="12"/>
  <c r="J99" i="12"/>
  <c r="G99" i="12"/>
  <c r="L98" i="12"/>
  <c r="J98" i="12"/>
  <c r="G98" i="12"/>
  <c r="L97" i="12"/>
  <c r="J97" i="12"/>
  <c r="G97" i="12"/>
  <c r="L96" i="12"/>
  <c r="J96" i="12"/>
  <c r="G96" i="12"/>
  <c r="L95" i="12"/>
  <c r="K95" i="12"/>
  <c r="J95" i="12"/>
  <c r="H95" i="12"/>
  <c r="G95" i="12"/>
  <c r="L94" i="12"/>
  <c r="J94" i="12"/>
  <c r="G94" i="12"/>
  <c r="L93" i="12"/>
  <c r="J93" i="12"/>
  <c r="G93" i="12"/>
  <c r="L92" i="12"/>
  <c r="J92" i="12"/>
  <c r="G92" i="12"/>
  <c r="L91" i="12"/>
  <c r="J91" i="12"/>
  <c r="G91" i="12"/>
  <c r="L90" i="12"/>
  <c r="J90" i="12"/>
  <c r="G90" i="12"/>
  <c r="L89" i="12"/>
  <c r="J89" i="12"/>
  <c r="G89" i="12"/>
  <c r="L88" i="12"/>
  <c r="J88" i="12"/>
  <c r="G88" i="12"/>
  <c r="L87" i="12"/>
  <c r="J87" i="12"/>
  <c r="G87" i="12"/>
  <c r="L86" i="12"/>
  <c r="J86" i="12"/>
  <c r="G86" i="12"/>
  <c r="L85" i="12"/>
  <c r="J85" i="12"/>
  <c r="G85" i="12"/>
  <c r="L84" i="12"/>
  <c r="J84" i="12"/>
  <c r="G84" i="12"/>
  <c r="L83" i="12"/>
  <c r="J83" i="12"/>
  <c r="G83" i="12"/>
  <c r="L82" i="12"/>
  <c r="J82" i="12"/>
  <c r="G82" i="12"/>
  <c r="L81" i="12"/>
  <c r="J81" i="12"/>
  <c r="G81" i="12"/>
  <c r="L80" i="12"/>
  <c r="J80" i="12"/>
  <c r="G80" i="12"/>
  <c r="L79" i="12"/>
  <c r="J79" i="12"/>
  <c r="G79" i="12"/>
  <c r="L78" i="12"/>
  <c r="J78" i="12"/>
  <c r="G78" i="12"/>
  <c r="L77" i="12"/>
  <c r="J77" i="12"/>
  <c r="G77" i="12"/>
  <c r="L76" i="12"/>
  <c r="J76" i="12"/>
  <c r="G76" i="12"/>
  <c r="L75" i="12"/>
  <c r="K75" i="12"/>
  <c r="J75" i="12"/>
  <c r="H75" i="12"/>
  <c r="G75" i="12"/>
  <c r="L74" i="12"/>
  <c r="J74" i="12"/>
  <c r="G74" i="12"/>
  <c r="L73" i="12"/>
  <c r="J73" i="12"/>
  <c r="G73" i="12"/>
  <c r="L72" i="12"/>
  <c r="J72" i="12"/>
  <c r="G72" i="12"/>
  <c r="L71" i="12"/>
  <c r="J71" i="12"/>
  <c r="G71" i="12"/>
  <c r="L70" i="12"/>
  <c r="J70" i="12"/>
  <c r="G70" i="12"/>
  <c r="L69" i="12"/>
  <c r="J69" i="12"/>
  <c r="G69" i="12"/>
  <c r="L68" i="12"/>
  <c r="J68" i="12"/>
  <c r="G68" i="12"/>
  <c r="L67" i="12"/>
  <c r="J67" i="12"/>
  <c r="G67" i="12"/>
  <c r="L66" i="12"/>
  <c r="J66" i="12"/>
  <c r="G66" i="12"/>
  <c r="L65" i="12"/>
  <c r="J65" i="12"/>
  <c r="G65" i="12"/>
  <c r="L64" i="12"/>
  <c r="J64" i="12"/>
  <c r="G64" i="12"/>
  <c r="L63" i="12"/>
  <c r="J63" i="12"/>
  <c r="G63" i="12"/>
  <c r="L62" i="12"/>
  <c r="J62" i="12"/>
  <c r="G62" i="12"/>
  <c r="L61" i="12"/>
  <c r="J61" i="12"/>
  <c r="G61" i="12"/>
  <c r="L60" i="12"/>
  <c r="K60" i="12"/>
  <c r="J60" i="12"/>
  <c r="H60" i="12"/>
  <c r="G60" i="12"/>
  <c r="L59" i="12"/>
  <c r="J59" i="12"/>
  <c r="G59" i="12"/>
  <c r="L58" i="12"/>
  <c r="J58" i="12"/>
  <c r="G58" i="12"/>
  <c r="L57" i="12"/>
  <c r="J57" i="12"/>
  <c r="G57" i="12"/>
  <c r="L56" i="12"/>
  <c r="J56" i="12"/>
  <c r="G56" i="12"/>
  <c r="L55" i="12"/>
  <c r="J55" i="12"/>
  <c r="G55" i="12"/>
  <c r="L54" i="12"/>
  <c r="J54" i="12"/>
  <c r="G54" i="12"/>
  <c r="L53" i="12"/>
  <c r="J53" i="12"/>
  <c r="G53" i="12"/>
  <c r="L52" i="12"/>
  <c r="J52" i="12"/>
  <c r="G52" i="12"/>
  <c r="L51" i="12"/>
  <c r="J51" i="12"/>
  <c r="G51" i="12"/>
  <c r="L50" i="12"/>
  <c r="J50" i="12"/>
  <c r="G50" i="12"/>
  <c r="L49" i="12"/>
  <c r="J49" i="12"/>
  <c r="G49" i="12"/>
  <c r="L48" i="12"/>
  <c r="J48" i="12"/>
  <c r="G48" i="12"/>
  <c r="L47" i="12"/>
  <c r="J47" i="12"/>
  <c r="G47" i="12"/>
  <c r="L46" i="12"/>
  <c r="J46" i="12"/>
  <c r="G46" i="12"/>
  <c r="L45" i="12"/>
  <c r="J45" i="12"/>
  <c r="G45" i="12"/>
  <c r="L44" i="12"/>
  <c r="J44" i="12"/>
  <c r="G44" i="12"/>
  <c r="L43" i="12"/>
  <c r="K43" i="12"/>
  <c r="J43" i="12"/>
  <c r="H43" i="12"/>
  <c r="G43" i="12"/>
  <c r="L42" i="12"/>
  <c r="J42" i="12"/>
  <c r="G42" i="12"/>
  <c r="L41" i="12"/>
  <c r="J41" i="12"/>
  <c r="G41" i="12"/>
  <c r="L40" i="12"/>
  <c r="J40" i="12"/>
  <c r="G40" i="12"/>
  <c r="L39" i="12"/>
  <c r="J39" i="12"/>
  <c r="G39" i="12"/>
  <c r="L38" i="12"/>
  <c r="J38" i="12"/>
  <c r="G38" i="12"/>
  <c r="L37" i="12"/>
  <c r="J37" i="12"/>
  <c r="G37" i="12"/>
  <c r="L36" i="12"/>
  <c r="J36" i="12"/>
  <c r="G36" i="12"/>
  <c r="L35" i="12"/>
  <c r="J35" i="12"/>
  <c r="G35" i="12"/>
  <c r="L34" i="12"/>
  <c r="J34" i="12"/>
  <c r="G34" i="12"/>
  <c r="L33" i="12"/>
  <c r="J33" i="12"/>
  <c r="G33" i="12"/>
  <c r="L32" i="12"/>
  <c r="J32" i="12"/>
  <c r="G32" i="12"/>
  <c r="L31" i="12"/>
  <c r="J31" i="12"/>
  <c r="G31" i="12"/>
  <c r="L30" i="12"/>
  <c r="J30" i="12"/>
  <c r="G30" i="12"/>
  <c r="L29" i="12"/>
  <c r="J29" i="12"/>
  <c r="G29" i="12"/>
  <c r="L28" i="12"/>
  <c r="J28" i="12"/>
  <c r="G28" i="12"/>
  <c r="L27" i="12"/>
  <c r="J27" i="12"/>
  <c r="G27" i="12"/>
  <c r="L26" i="12"/>
  <c r="J26" i="12"/>
  <c r="G26" i="12"/>
  <c r="L25" i="12"/>
  <c r="K25" i="12"/>
  <c r="J25" i="12"/>
  <c r="H25" i="12"/>
  <c r="G25" i="12"/>
  <c r="L24" i="12"/>
  <c r="J24" i="12"/>
  <c r="G24" i="12"/>
  <c r="L23" i="12"/>
  <c r="J23" i="12"/>
  <c r="G23" i="12"/>
  <c r="L22" i="12"/>
  <c r="J22" i="12"/>
  <c r="G22" i="12"/>
  <c r="L21" i="12"/>
  <c r="J21" i="12"/>
  <c r="G21" i="12"/>
  <c r="L20" i="12"/>
  <c r="J20" i="12"/>
  <c r="G20" i="12"/>
  <c r="L19" i="12"/>
  <c r="J19" i="12"/>
  <c r="G19" i="12"/>
  <c r="L18" i="12"/>
  <c r="J18" i="12"/>
  <c r="G18" i="12"/>
  <c r="L17" i="12"/>
  <c r="J17" i="12"/>
  <c r="G17" i="12"/>
  <c r="L16" i="12"/>
  <c r="J16" i="12"/>
  <c r="G16" i="12"/>
  <c r="L15" i="12"/>
  <c r="J15" i="12"/>
  <c r="G15" i="12"/>
  <c r="L14" i="12"/>
  <c r="K14" i="12"/>
  <c r="J14" i="12"/>
  <c r="H14" i="12"/>
  <c r="G14" i="12"/>
  <c r="L13" i="12"/>
  <c r="J13" i="12"/>
  <c r="G13" i="12"/>
  <c r="L12" i="12"/>
  <c r="J12" i="12"/>
  <c r="G12" i="12"/>
  <c r="L11" i="12"/>
  <c r="J11" i="12"/>
  <c r="G11" i="12"/>
  <c r="L10" i="12"/>
  <c r="J10" i="12"/>
  <c r="G10" i="12"/>
  <c r="L9" i="12"/>
  <c r="J9" i="12"/>
  <c r="G9" i="12"/>
  <c r="L8" i="12"/>
  <c r="J8" i="12"/>
  <c r="G8" i="12"/>
  <c r="L7" i="12"/>
  <c r="J7" i="12"/>
  <c r="G7" i="12"/>
  <c r="L6" i="12"/>
  <c r="J6" i="12"/>
  <c r="G6" i="12"/>
  <c r="L5" i="12"/>
  <c r="J5" i="12"/>
  <c r="G5" i="12"/>
  <c r="L4" i="12"/>
  <c r="J4" i="12"/>
  <c r="G4" i="12"/>
  <c r="J3" i="12"/>
  <c r="G3" i="12"/>
  <c r="M25" i="8"/>
  <c r="L25" i="8"/>
  <c r="D136" i="24" s="1"/>
  <c r="E147" i="24" s="1"/>
  <c r="L20" i="8"/>
  <c r="D36" i="24" s="1"/>
  <c r="D15" i="24" s="1"/>
  <c r="F15" i="24" s="1"/>
  <c r="G15" i="24" s="1"/>
  <c r="O12" i="24" s="1"/>
  <c r="Q19" i="8"/>
  <c r="K19" i="8"/>
  <c r="Q18" i="8"/>
  <c r="K18" i="8"/>
  <c r="Q17" i="8"/>
  <c r="K17" i="8"/>
  <c r="Q16" i="8"/>
  <c r="K16" i="8"/>
  <c r="Q15" i="8"/>
  <c r="K15" i="8"/>
  <c r="Q14" i="8"/>
  <c r="K14" i="8"/>
  <c r="Q13" i="8"/>
  <c r="O13" i="8"/>
  <c r="K13" i="8"/>
  <c r="Q12" i="8"/>
  <c r="K12" i="8"/>
  <c r="Q11" i="8"/>
  <c r="K11" i="8"/>
  <c r="Q10" i="8"/>
  <c r="O10" i="8"/>
  <c r="N10" i="8"/>
  <c r="K10" i="8"/>
  <c r="Q9" i="8"/>
  <c r="K9" i="8"/>
  <c r="Q8" i="8"/>
  <c r="K8" i="8"/>
  <c r="Q7" i="8"/>
  <c r="K7" i="8"/>
  <c r="Q6" i="8"/>
  <c r="K6" i="8"/>
  <c r="Q5" i="8"/>
  <c r="K5" i="8"/>
  <c r="Q4" i="8"/>
  <c r="O4" i="8"/>
  <c r="N4" i="8"/>
  <c r="K4" i="8"/>
  <c r="AC27" i="6"/>
  <c r="Z27" i="6"/>
  <c r="C4" i="23" s="1"/>
  <c r="N23" i="6"/>
  <c r="M23" i="6"/>
  <c r="E91" i="24" s="1"/>
  <c r="D91" i="24" s="1"/>
  <c r="N21" i="6"/>
  <c r="M21" i="6"/>
  <c r="H20" i="6"/>
  <c r="V18" i="6"/>
  <c r="T18" i="6"/>
  <c r="M18" i="6"/>
  <c r="L18" i="6"/>
  <c r="V17" i="6"/>
  <c r="T17" i="6"/>
  <c r="M17" i="6"/>
  <c r="L17" i="6"/>
  <c r="V16" i="6"/>
  <c r="T16" i="6"/>
  <c r="M16" i="6"/>
  <c r="L16" i="6"/>
  <c r="V15" i="6"/>
  <c r="T15" i="6"/>
  <c r="M15" i="6"/>
  <c r="L15" i="6"/>
  <c r="V14" i="6"/>
  <c r="T14" i="6"/>
  <c r="M14" i="6"/>
  <c r="L14" i="6"/>
  <c r="V13" i="6"/>
  <c r="T13" i="6"/>
  <c r="N13" i="6"/>
  <c r="AC13" i="6" s="1"/>
  <c r="M13" i="6"/>
  <c r="L13" i="6"/>
  <c r="V12" i="6"/>
  <c r="T12" i="6"/>
  <c r="M12" i="6"/>
  <c r="L12" i="6"/>
  <c r="V11" i="6"/>
  <c r="T11" i="6"/>
  <c r="P11" i="6"/>
  <c r="Q11" i="6" s="1"/>
  <c r="R11" i="6" s="1"/>
  <c r="S11" i="6" s="1"/>
  <c r="O11" i="6"/>
  <c r="L11" i="6"/>
  <c r="V10" i="6"/>
  <c r="T10" i="6"/>
  <c r="P10" i="6"/>
  <c r="Q10" i="6" s="1"/>
  <c r="R10" i="6" s="1"/>
  <c r="S10" i="6" s="1"/>
  <c r="O10" i="6"/>
  <c r="L10" i="6"/>
  <c r="V9" i="6"/>
  <c r="P9" i="6"/>
  <c r="Q9" i="6" s="1"/>
  <c r="R9" i="6" s="1"/>
  <c r="S9" i="6" s="1"/>
  <c r="O9" i="6"/>
  <c r="K9" i="6"/>
  <c r="V8" i="6"/>
  <c r="T8" i="6"/>
  <c r="N8" i="6"/>
  <c r="M8" i="6"/>
  <c r="P8" i="6" s="1"/>
  <c r="L8" i="6"/>
  <c r="V7" i="6"/>
  <c r="T7" i="6"/>
  <c r="P7" i="6"/>
  <c r="Q7" i="6" s="1"/>
  <c r="R7" i="6" s="1"/>
  <c r="S7" i="6" s="1"/>
  <c r="O7" i="6"/>
  <c r="V6" i="6"/>
  <c r="T6" i="6"/>
  <c r="P6" i="6"/>
  <c r="Q6" i="6" s="1"/>
  <c r="R6" i="6" s="1"/>
  <c r="S6" i="6" s="1"/>
  <c r="O6" i="6"/>
  <c r="L6" i="6"/>
  <c r="V5" i="6"/>
  <c r="T5" i="6"/>
  <c r="P5" i="6"/>
  <c r="Q5" i="6" s="1"/>
  <c r="R5" i="6" s="1"/>
  <c r="S5" i="6" s="1"/>
  <c r="O5" i="6"/>
  <c r="L5" i="6"/>
  <c r="V4" i="6"/>
  <c r="P4" i="6"/>
  <c r="Q4" i="6" s="1"/>
  <c r="R4" i="6" s="1"/>
  <c r="S4" i="6" s="1"/>
  <c r="O4" i="6"/>
  <c r="K4" i="6"/>
  <c r="S26" i="7"/>
  <c r="T26" i="7" s="1"/>
  <c r="U26" i="7" s="1"/>
  <c r="H26" i="7"/>
  <c r="S25" i="7"/>
  <c r="T25" i="7" s="1"/>
  <c r="U25" i="7" s="1"/>
  <c r="S24" i="7"/>
  <c r="T24" i="7" s="1"/>
  <c r="U24" i="7" s="1"/>
  <c r="P23" i="7"/>
  <c r="P24" i="7" s="1"/>
  <c r="P26" i="7" s="1"/>
  <c r="O23" i="7"/>
  <c r="O24" i="7" s="1"/>
  <c r="O26" i="7" s="1"/>
  <c r="H23" i="7"/>
  <c r="R22" i="7"/>
  <c r="S22" i="7" s="1"/>
  <c r="T22" i="7" s="1"/>
  <c r="U22" i="7" s="1"/>
  <c r="Q22" i="7"/>
  <c r="N22" i="7"/>
  <c r="R21" i="7"/>
  <c r="S21" i="7" s="1"/>
  <c r="T21" i="7" s="1"/>
  <c r="U21" i="7" s="1"/>
  <c r="Q21" i="7"/>
  <c r="N21" i="7"/>
  <c r="R20" i="7"/>
  <c r="S20" i="7" s="1"/>
  <c r="T20" i="7" s="1"/>
  <c r="U20" i="7" s="1"/>
  <c r="Q20" i="7"/>
  <c r="N20" i="7"/>
  <c r="R19" i="7"/>
  <c r="S19" i="7" s="1"/>
  <c r="T19" i="7" s="1"/>
  <c r="U19" i="7" s="1"/>
  <c r="Q19" i="7"/>
  <c r="N19" i="7"/>
  <c r="R18" i="7"/>
  <c r="S18" i="7" s="1"/>
  <c r="T18" i="7" s="1"/>
  <c r="U18" i="7" s="1"/>
  <c r="Q18" i="7"/>
  <c r="N18" i="7"/>
  <c r="R17" i="7"/>
  <c r="S17" i="7" s="1"/>
  <c r="T17" i="7" s="1"/>
  <c r="U17" i="7" s="1"/>
  <c r="Q17" i="7"/>
  <c r="N17" i="7"/>
  <c r="R16" i="7"/>
  <c r="S16" i="7" s="1"/>
  <c r="T16" i="7" s="1"/>
  <c r="U16" i="7" s="1"/>
  <c r="Q16" i="7"/>
  <c r="N16" i="7"/>
  <c r="R15" i="7"/>
  <c r="S15" i="7" s="1"/>
  <c r="T15" i="7" s="1"/>
  <c r="U15" i="7" s="1"/>
  <c r="Q15" i="7"/>
  <c r="N15" i="7"/>
  <c r="R14" i="7"/>
  <c r="S14" i="7" s="1"/>
  <c r="T14" i="7" s="1"/>
  <c r="U14" i="7" s="1"/>
  <c r="Q14" i="7"/>
  <c r="N14" i="7"/>
  <c r="R13" i="7"/>
  <c r="S13" i="7" s="1"/>
  <c r="T13" i="7" s="1"/>
  <c r="U13" i="7" s="1"/>
  <c r="Q13" i="7"/>
  <c r="N13" i="7"/>
  <c r="R12" i="7"/>
  <c r="S12" i="7" s="1"/>
  <c r="T12" i="7" s="1"/>
  <c r="U12" i="7" s="1"/>
  <c r="Q12" i="7"/>
  <c r="N12" i="7"/>
  <c r="R11" i="7"/>
  <c r="S11" i="7" s="1"/>
  <c r="T11" i="7" s="1"/>
  <c r="U11" i="7" s="1"/>
  <c r="Q11" i="7"/>
  <c r="N11" i="7"/>
  <c r="R10" i="7"/>
  <c r="S10" i="7" s="1"/>
  <c r="T10" i="7" s="1"/>
  <c r="U10" i="7" s="1"/>
  <c r="Q10" i="7"/>
  <c r="N10" i="7"/>
  <c r="W9" i="7"/>
  <c r="R9" i="7"/>
  <c r="S9" i="7" s="1"/>
  <c r="T9" i="7" s="1"/>
  <c r="U9" i="7" s="1"/>
  <c r="Q9" i="7"/>
  <c r="N9" i="7"/>
  <c r="W8" i="7"/>
  <c r="R8" i="7"/>
  <c r="S8" i="7" s="1"/>
  <c r="T8" i="7" s="1"/>
  <c r="U8" i="7" s="1"/>
  <c r="Q8" i="7"/>
  <c r="N8" i="7"/>
  <c r="W7" i="7"/>
  <c r="R7" i="7"/>
  <c r="S7" i="7" s="1"/>
  <c r="T7" i="7" s="1"/>
  <c r="U7" i="7" s="1"/>
  <c r="Q7" i="7"/>
  <c r="N7" i="7"/>
  <c r="W6" i="7"/>
  <c r="R6" i="7"/>
  <c r="S6" i="7" s="1"/>
  <c r="T6" i="7" s="1"/>
  <c r="U6" i="7" s="1"/>
  <c r="Q6" i="7"/>
  <c r="N6" i="7"/>
  <c r="W5" i="7"/>
  <c r="R5" i="7"/>
  <c r="S5" i="7" s="1"/>
  <c r="T5" i="7" s="1"/>
  <c r="U5" i="7" s="1"/>
  <c r="Q5" i="7"/>
  <c r="N5" i="7"/>
  <c r="W4" i="7"/>
  <c r="R4" i="7"/>
  <c r="S4" i="7" s="1"/>
  <c r="T4" i="7" s="1"/>
  <c r="U4" i="7" s="1"/>
  <c r="Q4" i="7"/>
  <c r="N4" i="7"/>
  <c r="AB70" i="4"/>
  <c r="Z70" i="4"/>
  <c r="X70" i="4"/>
  <c r="C3" i="23" s="1"/>
  <c r="Q65" i="4"/>
  <c r="R65" i="4" s="1"/>
  <c r="S65" i="4" s="1"/>
  <c r="T65" i="4" s="1"/>
  <c r="I64" i="4"/>
  <c r="I63" i="4"/>
  <c r="AJ62" i="4"/>
  <c r="AB62" i="4"/>
  <c r="X62" i="4"/>
  <c r="Q62" i="4"/>
  <c r="R62" i="4" s="1"/>
  <c r="S62" i="4" s="1"/>
  <c r="T62" i="4" s="1"/>
  <c r="P62" i="4"/>
  <c r="O62" i="4"/>
  <c r="AJ61" i="4"/>
  <c r="AB61" i="4"/>
  <c r="X61" i="4"/>
  <c r="Q61" i="4"/>
  <c r="R61" i="4" s="1"/>
  <c r="S61" i="4" s="1"/>
  <c r="T61" i="4" s="1"/>
  <c r="P61" i="4"/>
  <c r="O61" i="4"/>
  <c r="AJ60" i="4"/>
  <c r="O60" i="4"/>
  <c r="N60" i="4"/>
  <c r="M60" i="4"/>
  <c r="AJ59" i="4"/>
  <c r="O59" i="4"/>
  <c r="N59" i="4"/>
  <c r="M59" i="4"/>
  <c r="AJ58" i="4"/>
  <c r="O58" i="4"/>
  <c r="N58" i="4"/>
  <c r="M58" i="4"/>
  <c r="AJ57" i="4"/>
  <c r="O57" i="4"/>
  <c r="N57" i="4"/>
  <c r="M57" i="4"/>
  <c r="AJ56" i="4"/>
  <c r="O56" i="4"/>
  <c r="N56" i="4"/>
  <c r="M56" i="4"/>
  <c r="AJ55" i="4"/>
  <c r="AB55" i="4"/>
  <c r="X55" i="4"/>
  <c r="Q55" i="4"/>
  <c r="R55" i="4" s="1"/>
  <c r="S55" i="4" s="1"/>
  <c r="T55" i="4" s="1"/>
  <c r="P55" i="4"/>
  <c r="O55" i="4"/>
  <c r="AJ54" i="4"/>
  <c r="AB54" i="4"/>
  <c r="X54" i="4"/>
  <c r="Q54" i="4"/>
  <c r="R54" i="4" s="1"/>
  <c r="S54" i="4" s="1"/>
  <c r="T54" i="4" s="1"/>
  <c r="P54" i="4"/>
  <c r="O54" i="4"/>
  <c r="AJ53" i="4"/>
  <c r="O53" i="4"/>
  <c r="N53" i="4"/>
  <c r="M53" i="4"/>
  <c r="AJ52" i="4"/>
  <c r="O52" i="4"/>
  <c r="N52" i="4"/>
  <c r="M52" i="4"/>
  <c r="AJ51" i="4"/>
  <c r="AB51" i="4"/>
  <c r="X51" i="4"/>
  <c r="Q51" i="4"/>
  <c r="R51" i="4" s="1"/>
  <c r="S51" i="4" s="1"/>
  <c r="T51" i="4" s="1"/>
  <c r="P51" i="4"/>
  <c r="O51" i="4"/>
  <c r="AJ50" i="4"/>
  <c r="AB50" i="4"/>
  <c r="X50" i="4"/>
  <c r="Q50" i="4"/>
  <c r="R50" i="4" s="1"/>
  <c r="S50" i="4" s="1"/>
  <c r="T50" i="4" s="1"/>
  <c r="P50" i="4"/>
  <c r="O50" i="4"/>
  <c r="AJ49" i="4"/>
  <c r="AB49" i="4"/>
  <c r="X49" i="4"/>
  <c r="Q49" i="4"/>
  <c r="R49" i="4" s="1"/>
  <c r="S49" i="4" s="1"/>
  <c r="T49" i="4" s="1"/>
  <c r="P49" i="4"/>
  <c r="O49" i="4"/>
  <c r="AJ48" i="4"/>
  <c r="AB48" i="4"/>
  <c r="X48" i="4"/>
  <c r="Q48" i="4"/>
  <c r="R48" i="4" s="1"/>
  <c r="S48" i="4" s="1"/>
  <c r="T48" i="4" s="1"/>
  <c r="P48" i="4"/>
  <c r="O48" i="4"/>
  <c r="AJ47" i="4"/>
  <c r="O47" i="4"/>
  <c r="N47" i="4"/>
  <c r="M47" i="4"/>
  <c r="E47" i="26" s="1"/>
  <c r="AJ46" i="4"/>
  <c r="AB46" i="4"/>
  <c r="X46" i="4"/>
  <c r="Q46" i="4"/>
  <c r="R46" i="4" s="1"/>
  <c r="S46" i="4" s="1"/>
  <c r="T46" i="4" s="1"/>
  <c r="P46" i="4"/>
  <c r="O46" i="4"/>
  <c r="AJ45" i="4"/>
  <c r="AB45" i="4"/>
  <c r="X45" i="4"/>
  <c r="Q45" i="4"/>
  <c r="R45" i="4" s="1"/>
  <c r="S45" i="4" s="1"/>
  <c r="T45" i="4" s="1"/>
  <c r="P45" i="4"/>
  <c r="O45" i="4"/>
  <c r="AJ44" i="4"/>
  <c r="AB44" i="4"/>
  <c r="X44" i="4"/>
  <c r="Q44" i="4"/>
  <c r="R44" i="4" s="1"/>
  <c r="S44" i="4" s="1"/>
  <c r="T44" i="4" s="1"/>
  <c r="P44" i="4"/>
  <c r="O44" i="4"/>
  <c r="AJ43" i="4"/>
  <c r="AB43" i="4"/>
  <c r="X43" i="4"/>
  <c r="Q43" i="4"/>
  <c r="R43" i="4" s="1"/>
  <c r="S43" i="4" s="1"/>
  <c r="T43" i="4" s="1"/>
  <c r="P43" i="4"/>
  <c r="O43" i="4"/>
  <c r="AJ42" i="4"/>
  <c r="O42" i="4"/>
  <c r="N42" i="4"/>
  <c r="M42" i="4"/>
  <c r="AJ41" i="4"/>
  <c r="AB41" i="4"/>
  <c r="X41" i="4"/>
  <c r="Q41" i="4"/>
  <c r="R41" i="4" s="1"/>
  <c r="S41" i="4" s="1"/>
  <c r="T41" i="4" s="1"/>
  <c r="P41" i="4"/>
  <c r="O41" i="4"/>
  <c r="AJ40" i="4"/>
  <c r="AB40" i="4"/>
  <c r="X40" i="4"/>
  <c r="Q40" i="4"/>
  <c r="R40" i="4" s="1"/>
  <c r="S40" i="4" s="1"/>
  <c r="T40" i="4" s="1"/>
  <c r="P40" i="4"/>
  <c r="O40" i="4"/>
  <c r="AJ39" i="4"/>
  <c r="AB39" i="4"/>
  <c r="X39" i="4"/>
  <c r="Q39" i="4"/>
  <c r="R39" i="4" s="1"/>
  <c r="S39" i="4" s="1"/>
  <c r="T39" i="4" s="1"/>
  <c r="P39" i="4"/>
  <c r="O39" i="4"/>
  <c r="AJ38" i="4"/>
  <c r="AB38" i="4"/>
  <c r="X38" i="4"/>
  <c r="Q38" i="4"/>
  <c r="R38" i="4" s="1"/>
  <c r="S38" i="4" s="1"/>
  <c r="T38" i="4" s="1"/>
  <c r="P38" i="4"/>
  <c r="O38" i="4"/>
  <c r="AJ37" i="4"/>
  <c r="AB37" i="4"/>
  <c r="X37" i="4"/>
  <c r="Q37" i="4"/>
  <c r="R37" i="4" s="1"/>
  <c r="S37" i="4" s="1"/>
  <c r="T37" i="4" s="1"/>
  <c r="P37" i="4"/>
  <c r="O37" i="4"/>
  <c r="AJ36" i="4"/>
  <c r="AB36" i="4"/>
  <c r="X36" i="4"/>
  <c r="Q36" i="4"/>
  <c r="R36" i="4" s="1"/>
  <c r="S36" i="4" s="1"/>
  <c r="T36" i="4" s="1"/>
  <c r="P36" i="4"/>
  <c r="O36" i="4"/>
  <c r="AJ35" i="4"/>
  <c r="AB35" i="4"/>
  <c r="X35" i="4"/>
  <c r="Q35" i="4"/>
  <c r="R35" i="4" s="1"/>
  <c r="S35" i="4" s="1"/>
  <c r="T35" i="4" s="1"/>
  <c r="P35" i="4"/>
  <c r="O35" i="4"/>
  <c r="AJ34" i="4"/>
  <c r="AB34" i="4"/>
  <c r="X34" i="4"/>
  <c r="Q34" i="4"/>
  <c r="R34" i="4" s="1"/>
  <c r="S34" i="4" s="1"/>
  <c r="T34" i="4" s="1"/>
  <c r="P34" i="4"/>
  <c r="O34" i="4"/>
  <c r="AJ33" i="4"/>
  <c r="AB33" i="4"/>
  <c r="X33" i="4"/>
  <c r="Q33" i="4"/>
  <c r="R33" i="4" s="1"/>
  <c r="S33" i="4" s="1"/>
  <c r="T33" i="4" s="1"/>
  <c r="P33" i="4"/>
  <c r="O33" i="4"/>
  <c r="AJ32" i="4"/>
  <c r="AB32" i="4"/>
  <c r="X32" i="4"/>
  <c r="Q32" i="4"/>
  <c r="R32" i="4" s="1"/>
  <c r="S32" i="4" s="1"/>
  <c r="T32" i="4" s="1"/>
  <c r="P32" i="4"/>
  <c r="O32" i="4"/>
  <c r="AJ31" i="4"/>
  <c r="AB31" i="4"/>
  <c r="X31" i="4"/>
  <c r="Q31" i="4"/>
  <c r="R31" i="4" s="1"/>
  <c r="S31" i="4" s="1"/>
  <c r="T31" i="4" s="1"/>
  <c r="P31" i="4"/>
  <c r="O31" i="4"/>
  <c r="AJ30" i="4"/>
  <c r="AB30" i="4"/>
  <c r="X30" i="4"/>
  <c r="Q30" i="4"/>
  <c r="R30" i="4" s="1"/>
  <c r="S30" i="4" s="1"/>
  <c r="T30" i="4" s="1"/>
  <c r="P30" i="4"/>
  <c r="O30" i="4"/>
  <c r="AJ29" i="4"/>
  <c r="AB29" i="4"/>
  <c r="X29" i="4"/>
  <c r="Q29" i="4"/>
  <c r="R29" i="4" s="1"/>
  <c r="S29" i="4" s="1"/>
  <c r="T29" i="4" s="1"/>
  <c r="P29" i="4"/>
  <c r="O29" i="4"/>
  <c r="AJ28" i="4"/>
  <c r="AB28" i="4"/>
  <c r="X28" i="4"/>
  <c r="Q28" i="4"/>
  <c r="R28" i="4" s="1"/>
  <c r="S28" i="4" s="1"/>
  <c r="T28" i="4" s="1"/>
  <c r="P28" i="4"/>
  <c r="O28" i="4"/>
  <c r="AJ27" i="4"/>
  <c r="AB27" i="4"/>
  <c r="X27" i="4"/>
  <c r="Q27" i="4"/>
  <c r="R27" i="4" s="1"/>
  <c r="S27" i="4" s="1"/>
  <c r="T27" i="4" s="1"/>
  <c r="P27" i="4"/>
  <c r="O27" i="4"/>
  <c r="AJ26" i="4"/>
  <c r="AB26" i="4"/>
  <c r="X26" i="4"/>
  <c r="Q26" i="4"/>
  <c r="R26" i="4" s="1"/>
  <c r="S26" i="4" s="1"/>
  <c r="T26" i="4" s="1"/>
  <c r="P26" i="4"/>
  <c r="O26" i="4"/>
  <c r="AJ25" i="4"/>
  <c r="AB25" i="4"/>
  <c r="X25" i="4"/>
  <c r="Q25" i="4"/>
  <c r="R25" i="4" s="1"/>
  <c r="S25" i="4" s="1"/>
  <c r="T25" i="4" s="1"/>
  <c r="P25" i="4"/>
  <c r="O25" i="4"/>
  <c r="AJ24" i="4"/>
  <c r="AB24" i="4"/>
  <c r="X24" i="4"/>
  <c r="Q24" i="4"/>
  <c r="R24" i="4" s="1"/>
  <c r="S24" i="4" s="1"/>
  <c r="T24" i="4" s="1"/>
  <c r="P24" i="4"/>
  <c r="O24" i="4"/>
  <c r="AJ23" i="4"/>
  <c r="AB23" i="4"/>
  <c r="X23" i="4"/>
  <c r="Q23" i="4"/>
  <c r="R23" i="4" s="1"/>
  <c r="S23" i="4" s="1"/>
  <c r="T23" i="4" s="1"/>
  <c r="P23" i="4"/>
  <c r="O23" i="4"/>
  <c r="AJ22" i="4"/>
  <c r="AB22" i="4"/>
  <c r="X22" i="4"/>
  <c r="Q22" i="4"/>
  <c r="R22" i="4" s="1"/>
  <c r="S22" i="4" s="1"/>
  <c r="T22" i="4" s="1"/>
  <c r="P22" i="4"/>
  <c r="O22" i="4"/>
  <c r="AJ21" i="4"/>
  <c r="AB21" i="4"/>
  <c r="X21" i="4"/>
  <c r="Q21" i="4"/>
  <c r="R21" i="4" s="1"/>
  <c r="S21" i="4" s="1"/>
  <c r="T21" i="4" s="1"/>
  <c r="P21" i="4"/>
  <c r="O21" i="4"/>
  <c r="AJ20" i="4"/>
  <c r="AB20" i="4"/>
  <c r="X20" i="4"/>
  <c r="Q20" i="4"/>
  <c r="R20" i="4" s="1"/>
  <c r="S20" i="4" s="1"/>
  <c r="T20" i="4" s="1"/>
  <c r="P20" i="4"/>
  <c r="O20" i="4"/>
  <c r="AJ19" i="4"/>
  <c r="AB19" i="4"/>
  <c r="X19" i="4"/>
  <c r="Q19" i="4"/>
  <c r="R19" i="4" s="1"/>
  <c r="S19" i="4" s="1"/>
  <c r="T19" i="4" s="1"/>
  <c r="P19" i="4"/>
  <c r="O19" i="4"/>
  <c r="AJ18" i="4"/>
  <c r="N18" i="4"/>
  <c r="M18" i="4"/>
  <c r="E20" i="26" s="1"/>
  <c r="AJ17" i="4"/>
  <c r="AB17" i="4"/>
  <c r="X17" i="4"/>
  <c r="Q17" i="4"/>
  <c r="R17" i="4" s="1"/>
  <c r="S17" i="4" s="1"/>
  <c r="T17" i="4" s="1"/>
  <c r="P17" i="4"/>
  <c r="O17" i="4"/>
  <c r="AJ16" i="4"/>
  <c r="O16" i="4"/>
  <c r="N16" i="4"/>
  <c r="M16" i="4"/>
  <c r="AJ15" i="4"/>
  <c r="AB15" i="4"/>
  <c r="X15" i="4"/>
  <c r="Q15" i="4"/>
  <c r="R15" i="4" s="1"/>
  <c r="S15" i="4" s="1"/>
  <c r="T15" i="4" s="1"/>
  <c r="P15" i="4"/>
  <c r="O15" i="4"/>
  <c r="AJ14" i="4"/>
  <c r="AB14" i="4"/>
  <c r="X14" i="4"/>
  <c r="Q14" i="4"/>
  <c r="R14" i="4" s="1"/>
  <c r="S14" i="4" s="1"/>
  <c r="T14" i="4" s="1"/>
  <c r="P14" i="4"/>
  <c r="O14" i="4"/>
  <c r="AJ13" i="4"/>
  <c r="AB13" i="4"/>
  <c r="X13" i="4"/>
  <c r="Q13" i="4"/>
  <c r="R13" i="4" s="1"/>
  <c r="S13" i="4" s="1"/>
  <c r="T13" i="4" s="1"/>
  <c r="P13" i="4"/>
  <c r="O13" i="4"/>
  <c r="AJ12" i="4"/>
  <c r="N12" i="4"/>
  <c r="M12" i="4"/>
  <c r="E17" i="26" s="1"/>
  <c r="AJ11" i="4"/>
  <c r="AB11" i="4"/>
  <c r="X11" i="4"/>
  <c r="Q11" i="4"/>
  <c r="R11" i="4" s="1"/>
  <c r="S11" i="4" s="1"/>
  <c r="T11" i="4" s="1"/>
  <c r="P11" i="4"/>
  <c r="O11" i="4"/>
  <c r="AJ10" i="4"/>
  <c r="AB10" i="4"/>
  <c r="X10" i="4"/>
  <c r="Q10" i="4"/>
  <c r="R10" i="4" s="1"/>
  <c r="S10" i="4" s="1"/>
  <c r="T10" i="4" s="1"/>
  <c r="P10" i="4"/>
  <c r="O10" i="4"/>
  <c r="AJ9" i="4"/>
  <c r="N9" i="4"/>
  <c r="M9" i="4"/>
  <c r="AJ8" i="4"/>
  <c r="AB8" i="4"/>
  <c r="X8" i="4"/>
  <c r="Q8" i="4"/>
  <c r="R8" i="4" s="1"/>
  <c r="S8" i="4" s="1"/>
  <c r="T8" i="4" s="1"/>
  <c r="P8" i="4"/>
  <c r="O8" i="4"/>
  <c r="AJ7" i="4"/>
  <c r="AB7" i="4"/>
  <c r="X7" i="4"/>
  <c r="Q7" i="4"/>
  <c r="R7" i="4" s="1"/>
  <c r="S7" i="4" s="1"/>
  <c r="T7" i="4" s="1"/>
  <c r="P7" i="4"/>
  <c r="O7" i="4"/>
  <c r="AJ6" i="4"/>
  <c r="O6" i="4"/>
  <c r="N6" i="4"/>
  <c r="M6" i="4"/>
  <c r="E13" i="26" s="1"/>
  <c r="AJ5" i="4"/>
  <c r="AB5" i="4"/>
  <c r="X5" i="4"/>
  <c r="Q5" i="4"/>
  <c r="R5" i="4" s="1"/>
  <c r="S5" i="4" s="1"/>
  <c r="T5" i="4" s="1"/>
  <c r="P5" i="4"/>
  <c r="O5" i="4"/>
  <c r="AJ4" i="4"/>
  <c r="O4" i="4"/>
  <c r="N4" i="4"/>
  <c r="M4" i="4"/>
  <c r="E11" i="26" s="1"/>
  <c r="AG45" i="5"/>
  <c r="AC45" i="5"/>
  <c r="C7" i="23" s="1"/>
  <c r="AA45" i="5"/>
  <c r="Q44" i="5"/>
  <c r="P44" i="5"/>
  <c r="H44" i="5"/>
  <c r="H43" i="5"/>
  <c r="H42" i="5"/>
  <c r="AH41" i="5"/>
  <c r="R41" i="5"/>
  <c r="Q41" i="5"/>
  <c r="Q45" i="5" s="1"/>
  <c r="Q46" i="5" s="1"/>
  <c r="N41" i="5"/>
  <c r="P41" i="5" s="1"/>
  <c r="AH40" i="5"/>
  <c r="AC40" i="5"/>
  <c r="AA40" i="5"/>
  <c r="W40" i="5"/>
  <c r="S40" i="5"/>
  <c r="T40" i="5" s="1"/>
  <c r="U40" i="5" s="1"/>
  <c r="V40" i="5" s="1"/>
  <c r="R40" i="5"/>
  <c r="O40" i="5"/>
  <c r="AH39" i="5"/>
  <c r="AC39" i="5"/>
  <c r="AA39" i="5"/>
  <c r="W39" i="5"/>
  <c r="S39" i="5"/>
  <c r="T39" i="5" s="1"/>
  <c r="U39" i="5" s="1"/>
  <c r="V39" i="5" s="1"/>
  <c r="R39" i="5"/>
  <c r="O39" i="5"/>
  <c r="AH38" i="5"/>
  <c r="AC38" i="5"/>
  <c r="AA38" i="5"/>
  <c r="W38" i="5"/>
  <c r="S38" i="5"/>
  <c r="T38" i="5" s="1"/>
  <c r="U38" i="5" s="1"/>
  <c r="V38" i="5" s="1"/>
  <c r="R38" i="5"/>
  <c r="O38" i="5"/>
  <c r="AH37" i="5"/>
  <c r="AC37" i="5"/>
  <c r="AA37" i="5"/>
  <c r="W37" i="5"/>
  <c r="S37" i="5"/>
  <c r="T37" i="5" s="1"/>
  <c r="U37" i="5" s="1"/>
  <c r="V37" i="5" s="1"/>
  <c r="R37" i="5"/>
  <c r="O37" i="5"/>
  <c r="AH36" i="5"/>
  <c r="P36" i="5"/>
  <c r="H121" i="26" s="1"/>
  <c r="I121" i="26" s="1"/>
  <c r="AH35" i="5"/>
  <c r="AC35" i="5"/>
  <c r="AA35" i="5"/>
  <c r="W35" i="5"/>
  <c r="S35" i="5"/>
  <c r="T35" i="5" s="1"/>
  <c r="U35" i="5" s="1"/>
  <c r="V35" i="5" s="1"/>
  <c r="R35" i="5"/>
  <c r="O35" i="5"/>
  <c r="AH34" i="5"/>
  <c r="AC34" i="5"/>
  <c r="AA34" i="5"/>
  <c r="W34" i="5"/>
  <c r="S34" i="5"/>
  <c r="T34" i="5" s="1"/>
  <c r="U34" i="5" s="1"/>
  <c r="V34" i="5" s="1"/>
  <c r="R34" i="5"/>
  <c r="O34" i="5"/>
  <c r="AH33" i="5"/>
  <c r="P33" i="5"/>
  <c r="O33" i="5"/>
  <c r="AH32" i="5"/>
  <c r="AC32" i="5"/>
  <c r="AA32" i="5"/>
  <c r="W32" i="5"/>
  <c r="S32" i="5"/>
  <c r="T32" i="5" s="1"/>
  <c r="U32" i="5" s="1"/>
  <c r="V32" i="5" s="1"/>
  <c r="R32" i="5"/>
  <c r="O32" i="5"/>
  <c r="AH31" i="5"/>
  <c r="Q31" i="5"/>
  <c r="P31" i="5"/>
  <c r="H116" i="26" s="1"/>
  <c r="O31" i="5"/>
  <c r="AH30" i="5"/>
  <c r="AC30" i="5"/>
  <c r="AA30" i="5"/>
  <c r="W30" i="5"/>
  <c r="S30" i="5"/>
  <c r="T30" i="5" s="1"/>
  <c r="U30" i="5" s="1"/>
  <c r="V30" i="5" s="1"/>
  <c r="R30" i="5"/>
  <c r="O30" i="5"/>
  <c r="AH29" i="5"/>
  <c r="Q29" i="5"/>
  <c r="P29" i="5"/>
  <c r="O29" i="5"/>
  <c r="AH28" i="5"/>
  <c r="AC28" i="5"/>
  <c r="AA28" i="5"/>
  <c r="W28" i="5"/>
  <c r="S28" i="5"/>
  <c r="T28" i="5" s="1"/>
  <c r="U28" i="5" s="1"/>
  <c r="V28" i="5" s="1"/>
  <c r="R28" i="5"/>
  <c r="O28" i="5"/>
  <c r="AH27" i="5"/>
  <c r="AC27" i="5"/>
  <c r="AA27" i="5"/>
  <c r="W27" i="5"/>
  <c r="S27" i="5"/>
  <c r="T27" i="5" s="1"/>
  <c r="U27" i="5" s="1"/>
  <c r="V27" i="5" s="1"/>
  <c r="R27" i="5"/>
  <c r="O27" i="5"/>
  <c r="AH26" i="5"/>
  <c r="AC26" i="5"/>
  <c r="AA26" i="5"/>
  <c r="W26" i="5"/>
  <c r="S26" i="5"/>
  <c r="T26" i="5" s="1"/>
  <c r="U26" i="5" s="1"/>
  <c r="V26" i="5" s="1"/>
  <c r="R26" i="5"/>
  <c r="O26" i="5"/>
  <c r="Q25" i="5"/>
  <c r="N25" i="5"/>
  <c r="P25" i="5" s="1"/>
  <c r="AH24" i="5"/>
  <c r="AC24" i="5"/>
  <c r="AA24" i="5"/>
  <c r="W24" i="5"/>
  <c r="S24" i="5"/>
  <c r="T24" i="5" s="1"/>
  <c r="U24" i="5" s="1"/>
  <c r="V24" i="5" s="1"/>
  <c r="R24" i="5"/>
  <c r="O24" i="5"/>
  <c r="AH23" i="5"/>
  <c r="Q23" i="5"/>
  <c r="P23" i="5"/>
  <c r="O23" i="5"/>
  <c r="AH22" i="5"/>
  <c r="AC22" i="5"/>
  <c r="AA22" i="5"/>
  <c r="W22" i="5"/>
  <c r="S22" i="5"/>
  <c r="T22" i="5" s="1"/>
  <c r="U22" i="5" s="1"/>
  <c r="V22" i="5" s="1"/>
  <c r="R22" i="5"/>
  <c r="O22" i="5"/>
  <c r="AH21" i="5"/>
  <c r="AC21" i="5"/>
  <c r="AA21" i="5"/>
  <c r="W21" i="5"/>
  <c r="S21" i="5"/>
  <c r="T21" i="5" s="1"/>
  <c r="U21" i="5" s="1"/>
  <c r="V21" i="5" s="1"/>
  <c r="R21" i="5"/>
  <c r="O21" i="5"/>
  <c r="AH20" i="5"/>
  <c r="AC20" i="5"/>
  <c r="AA20" i="5"/>
  <c r="W20" i="5"/>
  <c r="S20" i="5"/>
  <c r="T20" i="5" s="1"/>
  <c r="U20" i="5" s="1"/>
  <c r="V20" i="5" s="1"/>
  <c r="R20" i="5"/>
  <c r="O20" i="5"/>
  <c r="AH19" i="5"/>
  <c r="AC19" i="5"/>
  <c r="AA19" i="5"/>
  <c r="W19" i="5"/>
  <c r="S19" i="5"/>
  <c r="T19" i="5" s="1"/>
  <c r="U19" i="5" s="1"/>
  <c r="V19" i="5" s="1"/>
  <c r="R19" i="5"/>
  <c r="O19" i="5"/>
  <c r="AH18" i="5"/>
  <c r="AC18" i="5"/>
  <c r="AA18" i="5"/>
  <c r="W18" i="5"/>
  <c r="S18" i="5"/>
  <c r="T18" i="5" s="1"/>
  <c r="U18" i="5" s="1"/>
  <c r="V18" i="5" s="1"/>
  <c r="R18" i="5"/>
  <c r="O18" i="5"/>
  <c r="AH17" i="5"/>
  <c r="Q17" i="5"/>
  <c r="P17" i="5"/>
  <c r="O17" i="5"/>
  <c r="AH16" i="5"/>
  <c r="AC16" i="5"/>
  <c r="AA16" i="5"/>
  <c r="W16" i="5"/>
  <c r="S16" i="5"/>
  <c r="T16" i="5" s="1"/>
  <c r="U16" i="5" s="1"/>
  <c r="V16" i="5" s="1"/>
  <c r="R16" i="5"/>
  <c r="O16" i="5"/>
  <c r="AH15" i="5"/>
  <c r="AC15" i="5"/>
  <c r="AA15" i="5"/>
  <c r="W15" i="5"/>
  <c r="S15" i="5"/>
  <c r="T15" i="5" s="1"/>
  <c r="U15" i="5" s="1"/>
  <c r="V15" i="5" s="1"/>
  <c r="R15" i="5"/>
  <c r="O15" i="5"/>
  <c r="AH14" i="5"/>
  <c r="AC14" i="5"/>
  <c r="AA14" i="5"/>
  <c r="W14" i="5"/>
  <c r="S14" i="5"/>
  <c r="T14" i="5" s="1"/>
  <c r="U14" i="5" s="1"/>
  <c r="V14" i="5" s="1"/>
  <c r="R14" i="5"/>
  <c r="O14" i="5"/>
  <c r="AH13" i="5"/>
  <c r="AC13" i="5"/>
  <c r="AA13" i="5"/>
  <c r="W13" i="5"/>
  <c r="S13" i="5"/>
  <c r="T13" i="5" s="1"/>
  <c r="U13" i="5" s="1"/>
  <c r="V13" i="5" s="1"/>
  <c r="R13" i="5"/>
  <c r="O13" i="5"/>
  <c r="AH12" i="5"/>
  <c r="AC12" i="5"/>
  <c r="AA12" i="5"/>
  <c r="W12" i="5"/>
  <c r="S12" i="5"/>
  <c r="T12" i="5" s="1"/>
  <c r="U12" i="5" s="1"/>
  <c r="V12" i="5" s="1"/>
  <c r="R12" i="5"/>
  <c r="O12" i="5"/>
  <c r="AH11" i="5"/>
  <c r="Q11" i="5"/>
  <c r="N11" i="5"/>
  <c r="P11" i="5" s="1"/>
  <c r="AH10" i="5"/>
  <c r="AC10" i="5"/>
  <c r="AA10" i="5"/>
  <c r="W10" i="5"/>
  <c r="S10" i="5"/>
  <c r="T10" i="5" s="1"/>
  <c r="U10" i="5" s="1"/>
  <c r="V10" i="5" s="1"/>
  <c r="R10" i="5"/>
  <c r="O10" i="5"/>
  <c r="AH9" i="5"/>
  <c r="AC9" i="5"/>
  <c r="AA9" i="5"/>
  <c r="W9" i="5"/>
  <c r="S9" i="5"/>
  <c r="T9" i="5" s="1"/>
  <c r="U9" i="5" s="1"/>
  <c r="V9" i="5" s="1"/>
  <c r="R9" i="5"/>
  <c r="O9" i="5"/>
  <c r="AH8" i="5"/>
  <c r="AC8" i="5"/>
  <c r="AA8" i="5"/>
  <c r="W8" i="5"/>
  <c r="S8" i="5"/>
  <c r="T8" i="5" s="1"/>
  <c r="U8" i="5" s="1"/>
  <c r="V8" i="5" s="1"/>
  <c r="R8" i="5"/>
  <c r="O8" i="5"/>
  <c r="AH7" i="5"/>
  <c r="Q7" i="5"/>
  <c r="N7" i="5"/>
  <c r="P7" i="5" s="1"/>
  <c r="AH6" i="5"/>
  <c r="AC6" i="5"/>
  <c r="AA6" i="5"/>
  <c r="W6" i="5"/>
  <c r="S6" i="5"/>
  <c r="T6" i="5" s="1"/>
  <c r="U6" i="5" s="1"/>
  <c r="V6" i="5" s="1"/>
  <c r="R6" i="5"/>
  <c r="O6" i="5"/>
  <c r="AH5" i="5"/>
  <c r="AC5" i="5"/>
  <c r="AA5" i="5"/>
  <c r="W5" i="5"/>
  <c r="S5" i="5"/>
  <c r="T5" i="5" s="1"/>
  <c r="U5" i="5" s="1"/>
  <c r="V5" i="5" s="1"/>
  <c r="R5" i="5"/>
  <c r="O5" i="5"/>
  <c r="AH4" i="5"/>
  <c r="AC4" i="5"/>
  <c r="AA4" i="5"/>
  <c r="W4" i="5"/>
  <c r="S4" i="5"/>
  <c r="R4" i="5"/>
  <c r="O4" i="5"/>
  <c r="P27" i="3"/>
  <c r="O27" i="3"/>
  <c r="E86" i="24" s="1"/>
  <c r="R25" i="3"/>
  <c r="S25" i="3" s="1"/>
  <c r="T25" i="3" s="1"/>
  <c r="U25" i="3" s="1"/>
  <c r="H25" i="3"/>
  <c r="R24" i="3"/>
  <c r="S24" i="3" s="1"/>
  <c r="T24" i="3" s="1"/>
  <c r="U24" i="3" s="1"/>
  <c r="H23" i="3"/>
  <c r="H22" i="3"/>
  <c r="O21" i="3"/>
  <c r="E51" i="27" s="1"/>
  <c r="N21" i="3"/>
  <c r="Z20" i="3"/>
  <c r="N20" i="3"/>
  <c r="P19" i="3"/>
  <c r="O19" i="3"/>
  <c r="R19" i="3" s="1"/>
  <c r="S19" i="3" s="1"/>
  <c r="T19" i="3" s="1"/>
  <c r="U19" i="3" s="1"/>
  <c r="N19" i="3"/>
  <c r="S18" i="3"/>
  <c r="T18" i="3" s="1"/>
  <c r="U18" i="3" s="1"/>
  <c r="P18" i="3"/>
  <c r="O18" i="3"/>
  <c r="N18" i="3"/>
  <c r="O17" i="3"/>
  <c r="N17" i="3"/>
  <c r="O16" i="3"/>
  <c r="N16" i="3"/>
  <c r="O15" i="3"/>
  <c r="N15" i="3"/>
  <c r="S14" i="3"/>
  <c r="T14" i="3" s="1"/>
  <c r="U14" i="3" s="1"/>
  <c r="P14" i="3"/>
  <c r="O14" i="3"/>
  <c r="N14" i="3"/>
  <c r="S13" i="3"/>
  <c r="T13" i="3" s="1"/>
  <c r="U13" i="3" s="1"/>
  <c r="P13" i="3"/>
  <c r="O13" i="3"/>
  <c r="N13" i="3"/>
  <c r="S12" i="3"/>
  <c r="T12" i="3" s="1"/>
  <c r="U12" i="3" s="1"/>
  <c r="P12" i="3"/>
  <c r="O12" i="3"/>
  <c r="N12" i="3"/>
  <c r="S11" i="3"/>
  <c r="T11" i="3" s="1"/>
  <c r="U11" i="3" s="1"/>
  <c r="P11" i="3"/>
  <c r="O11" i="3"/>
  <c r="N11" i="3"/>
  <c r="S10" i="3"/>
  <c r="T10" i="3" s="1"/>
  <c r="U10" i="3" s="1"/>
  <c r="Q10" i="3"/>
  <c r="N10" i="3"/>
  <c r="S9" i="3"/>
  <c r="T9" i="3" s="1"/>
  <c r="U9" i="3" s="1"/>
  <c r="Q9" i="3"/>
  <c r="N9" i="3"/>
  <c r="S8" i="3"/>
  <c r="T8" i="3" s="1"/>
  <c r="U8" i="3" s="1"/>
  <c r="Q8" i="3"/>
  <c r="N8" i="3"/>
  <c r="S7" i="3"/>
  <c r="T7" i="3" s="1"/>
  <c r="U7" i="3" s="1"/>
  <c r="P7" i="3"/>
  <c r="O7" i="3"/>
  <c r="S6" i="3"/>
  <c r="T6" i="3" s="1"/>
  <c r="U6" i="3" s="1"/>
  <c r="Q6" i="3"/>
  <c r="N6" i="3"/>
  <c r="S5" i="3"/>
  <c r="T5" i="3" s="1"/>
  <c r="U5" i="3" s="1"/>
  <c r="Q5" i="3"/>
  <c r="N5" i="3"/>
  <c r="S4" i="3"/>
  <c r="T4" i="3" s="1"/>
  <c r="U4" i="3" s="1"/>
  <c r="P4" i="3"/>
  <c r="O4" i="3"/>
  <c r="L4" i="3"/>
  <c r="C13" i="23"/>
  <c r="C12" i="23"/>
  <c r="C10" i="23"/>
  <c r="C9" i="23"/>
  <c r="C8" i="23"/>
  <c r="E85" i="24"/>
  <c r="O64" i="20"/>
  <c r="P64" i="20" s="1"/>
  <c r="Q64" i="20" s="1"/>
  <c r="R64" i="20" s="1"/>
  <c r="DM59" i="20"/>
  <c r="DK59" i="20"/>
  <c r="DI59" i="20"/>
  <c r="DG59" i="20"/>
  <c r="DE59" i="20"/>
  <c r="DC59" i="20"/>
  <c r="DA59" i="20"/>
  <c r="E7" i="23" s="1"/>
  <c r="CY59" i="20"/>
  <c r="E6" i="23" s="1"/>
  <c r="M59" i="20"/>
  <c r="CT56" i="20"/>
  <c r="CL56" i="20"/>
  <c r="CD56" i="20"/>
  <c r="BV56" i="20"/>
  <c r="BN56" i="20"/>
  <c r="BF56" i="20"/>
  <c r="AX56" i="20"/>
  <c r="AP56" i="20"/>
  <c r="AH56" i="20"/>
  <c r="Z56" i="20"/>
  <c r="L56" i="20"/>
  <c r="J56" i="20"/>
  <c r="CT55" i="20"/>
  <c r="CL55" i="20"/>
  <c r="CD55" i="20"/>
  <c r="BV55" i="20"/>
  <c r="BN55" i="20"/>
  <c r="BF55" i="20"/>
  <c r="AX55" i="20"/>
  <c r="AP55" i="20"/>
  <c r="AH55" i="20"/>
  <c r="Z55" i="20"/>
  <c r="L55" i="20"/>
  <c r="J55" i="20"/>
  <c r="CT54" i="20"/>
  <c r="CL54" i="20"/>
  <c r="CD54" i="20"/>
  <c r="BV54" i="20"/>
  <c r="BN54" i="20"/>
  <c r="BF54" i="20"/>
  <c r="AX54" i="20"/>
  <c r="AP54" i="20"/>
  <c r="AH54" i="20"/>
  <c r="Z54" i="20"/>
  <c r="L54" i="20"/>
  <c r="J54" i="20"/>
  <c r="DE53" i="20"/>
  <c r="CT53" i="20"/>
  <c r="CR53" i="20"/>
  <c r="CR62" i="20" s="1"/>
  <c r="CO53" i="20"/>
  <c r="CO62" i="20" s="1"/>
  <c r="CO63" i="20" s="1"/>
  <c r="CL53" i="20"/>
  <c r="CJ53" i="20"/>
  <c r="CJ62" i="20" s="1"/>
  <c r="CG53" i="20"/>
  <c r="CG62" i="20" s="1"/>
  <c r="CG63" i="20" s="1"/>
  <c r="CD53" i="20"/>
  <c r="CB53" i="20"/>
  <c r="CB62" i="20" s="1"/>
  <c r="BY53" i="20"/>
  <c r="BY62" i="20" s="1"/>
  <c r="BY63" i="20" s="1"/>
  <c r="BV53" i="20"/>
  <c r="BT53" i="20"/>
  <c r="BT62" i="20" s="1"/>
  <c r="BQ53" i="20"/>
  <c r="BQ62" i="20" s="1"/>
  <c r="BQ63" i="20" s="1"/>
  <c r="BN53" i="20"/>
  <c r="BL53" i="20"/>
  <c r="BL62" i="20" s="1"/>
  <c r="BI53" i="20"/>
  <c r="BI62" i="20" s="1"/>
  <c r="BI63" i="20" s="1"/>
  <c r="BF53" i="20"/>
  <c r="BD53" i="20"/>
  <c r="BD62" i="20" s="1"/>
  <c r="BA53" i="20"/>
  <c r="BA62" i="20" s="1"/>
  <c r="BA63" i="20" s="1"/>
  <c r="AX53" i="20"/>
  <c r="AV53" i="20"/>
  <c r="AV62" i="20" s="1"/>
  <c r="AS53" i="20"/>
  <c r="AS62" i="20" s="1"/>
  <c r="AS63" i="20" s="1"/>
  <c r="AP53" i="20"/>
  <c r="AN53" i="20"/>
  <c r="AN62" i="20" s="1"/>
  <c r="AK53" i="20"/>
  <c r="AK62" i="20" s="1"/>
  <c r="AK63" i="20" s="1"/>
  <c r="AH53" i="20"/>
  <c r="AF53" i="20"/>
  <c r="AF62" i="20" s="1"/>
  <c r="AC53" i="20"/>
  <c r="AC62" i="20" s="1"/>
  <c r="AC63" i="20" s="1"/>
  <c r="Z53" i="20"/>
  <c r="X53" i="20"/>
  <c r="X62" i="20" s="1"/>
  <c r="U53" i="20"/>
  <c r="U62" i="20" s="1"/>
  <c r="U63" i="20" s="1"/>
  <c r="O53" i="20"/>
  <c r="P53" i="20" s="1"/>
  <c r="Q53" i="20" s="1"/>
  <c r="R53" i="20" s="1"/>
  <c r="N53" i="20"/>
  <c r="L53" i="20"/>
  <c r="J53" i="20"/>
  <c r="CT52" i="20"/>
  <c r="CR52" i="20"/>
  <c r="N92" i="25" s="1"/>
  <c r="CO52" i="20"/>
  <c r="CL52" i="20"/>
  <c r="CJ52" i="20"/>
  <c r="M92" i="25" s="1"/>
  <c r="CG52" i="20"/>
  <c r="CD52" i="20"/>
  <c r="CB52" i="20"/>
  <c r="L92" i="25" s="1"/>
  <c r="BY52" i="20"/>
  <c r="BV52" i="20"/>
  <c r="BT52" i="20"/>
  <c r="K92" i="25" s="1"/>
  <c r="BQ52" i="20"/>
  <c r="BN52" i="20"/>
  <c r="BL52" i="20"/>
  <c r="J92" i="25" s="1"/>
  <c r="BI52" i="20"/>
  <c r="BF52" i="20"/>
  <c r="BD52" i="20"/>
  <c r="I92" i="25" s="1"/>
  <c r="BA52" i="20"/>
  <c r="AX52" i="20"/>
  <c r="AV52" i="20"/>
  <c r="H92" i="25" s="1"/>
  <c r="AS52" i="20"/>
  <c r="AP52" i="20"/>
  <c r="AN52" i="20"/>
  <c r="G92" i="25" s="1"/>
  <c r="AK52" i="20"/>
  <c r="AH52" i="20"/>
  <c r="AF52" i="20"/>
  <c r="F92" i="25" s="1"/>
  <c r="AC52" i="20"/>
  <c r="Z52" i="20"/>
  <c r="X52" i="20"/>
  <c r="E92" i="25" s="1"/>
  <c r="U52" i="20"/>
  <c r="DC51" i="20"/>
  <c r="DA51" i="20"/>
  <c r="CY51" i="20"/>
  <c r="CT51" i="20"/>
  <c r="CL51" i="20"/>
  <c r="CD51" i="20"/>
  <c r="BV51" i="20"/>
  <c r="BN51" i="20"/>
  <c r="BF51" i="20"/>
  <c r="AX51" i="20"/>
  <c r="AP51" i="20"/>
  <c r="AH51" i="20"/>
  <c r="Z51" i="20"/>
  <c r="O51" i="20"/>
  <c r="P51" i="20" s="1"/>
  <c r="Q51" i="20" s="1"/>
  <c r="R51" i="20" s="1"/>
  <c r="N51" i="20"/>
  <c r="L51" i="20"/>
  <c r="J51" i="20"/>
  <c r="CT50" i="20"/>
  <c r="CR50" i="20"/>
  <c r="N91" i="25" s="1"/>
  <c r="CO50" i="20"/>
  <c r="CL50" i="20"/>
  <c r="CJ50" i="20"/>
  <c r="M91" i="25" s="1"/>
  <c r="CG50" i="20"/>
  <c r="CD50" i="20"/>
  <c r="CB50" i="20"/>
  <c r="L91" i="25" s="1"/>
  <c r="BY50" i="20"/>
  <c r="BV50" i="20"/>
  <c r="BT50" i="20"/>
  <c r="K91" i="25" s="1"/>
  <c r="BQ50" i="20"/>
  <c r="BN50" i="20"/>
  <c r="BL50" i="20"/>
  <c r="J91" i="25" s="1"/>
  <c r="BI50" i="20"/>
  <c r="BF50" i="20"/>
  <c r="BD50" i="20"/>
  <c r="I91" i="25" s="1"/>
  <c r="BA50" i="20"/>
  <c r="AX50" i="20"/>
  <c r="AV50" i="20"/>
  <c r="H91" i="25" s="1"/>
  <c r="AS50" i="20"/>
  <c r="AP50" i="20"/>
  <c r="AN50" i="20"/>
  <c r="G91" i="25" s="1"/>
  <c r="AK50" i="20"/>
  <c r="AH50" i="20"/>
  <c r="AF50" i="20"/>
  <c r="F91" i="25" s="1"/>
  <c r="AC50" i="20"/>
  <c r="Z50" i="20"/>
  <c r="X50" i="20"/>
  <c r="E91" i="25" s="1"/>
  <c r="U50" i="20"/>
  <c r="L50" i="20"/>
  <c r="J50" i="20"/>
  <c r="DA49" i="20"/>
  <c r="CY49" i="20"/>
  <c r="CT49" i="20"/>
  <c r="CR49" i="20"/>
  <c r="CL49" i="20"/>
  <c r="CJ49" i="20"/>
  <c r="CD49" i="20"/>
  <c r="CB49" i="20"/>
  <c r="BV49" i="20"/>
  <c r="BT49" i="20"/>
  <c r="BN49" i="20"/>
  <c r="BL49" i="20"/>
  <c r="BF49" i="20"/>
  <c r="BD49" i="20"/>
  <c r="AX49" i="20"/>
  <c r="AV49" i="20"/>
  <c r="AP49" i="20"/>
  <c r="AN49" i="20"/>
  <c r="AH49" i="20"/>
  <c r="AF49" i="20"/>
  <c r="Z49" i="20"/>
  <c r="X49" i="20"/>
  <c r="N49" i="20"/>
  <c r="L49" i="20"/>
  <c r="J49" i="20"/>
  <c r="CT48" i="20"/>
  <c r="CR48" i="20"/>
  <c r="N89" i="25" s="1"/>
  <c r="CO48" i="20"/>
  <c r="CL48" i="20"/>
  <c r="CJ48" i="20"/>
  <c r="M89" i="25" s="1"/>
  <c r="CG48" i="20"/>
  <c r="CD48" i="20"/>
  <c r="CB48" i="20"/>
  <c r="L89" i="25" s="1"/>
  <c r="BY48" i="20"/>
  <c r="BV48" i="20"/>
  <c r="BT48" i="20"/>
  <c r="K89" i="25" s="1"/>
  <c r="BQ48" i="20"/>
  <c r="BN48" i="20"/>
  <c r="BL48" i="20"/>
  <c r="J89" i="25" s="1"/>
  <c r="BI48" i="20"/>
  <c r="BF48" i="20"/>
  <c r="BD48" i="20"/>
  <c r="I89" i="25" s="1"/>
  <c r="BA48" i="20"/>
  <c r="AX48" i="20"/>
  <c r="AV48" i="20"/>
  <c r="H89" i="25" s="1"/>
  <c r="AS48" i="20"/>
  <c r="AP48" i="20"/>
  <c r="AN48" i="20"/>
  <c r="G89" i="25" s="1"/>
  <c r="AK48" i="20"/>
  <c r="AH48" i="20"/>
  <c r="AF48" i="20"/>
  <c r="F89" i="25" s="1"/>
  <c r="AC48" i="20"/>
  <c r="Z48" i="20"/>
  <c r="X48" i="20"/>
  <c r="E89" i="25" s="1"/>
  <c r="U48" i="20"/>
  <c r="L48" i="20"/>
  <c r="J48" i="20"/>
  <c r="DA47" i="20"/>
  <c r="CY47" i="20"/>
  <c r="CT47" i="20"/>
  <c r="CL47" i="20"/>
  <c r="CD47" i="20"/>
  <c r="BV47" i="20"/>
  <c r="BN47" i="20"/>
  <c r="BF47" i="20"/>
  <c r="AX47" i="20"/>
  <c r="AP47" i="20"/>
  <c r="AH47" i="20"/>
  <c r="Z47" i="20"/>
  <c r="O47" i="20"/>
  <c r="P47" i="20" s="1"/>
  <c r="Q47" i="20" s="1"/>
  <c r="R47" i="20" s="1"/>
  <c r="N47" i="20"/>
  <c r="L47" i="20"/>
  <c r="J47" i="20"/>
  <c r="CT46" i="20"/>
  <c r="CR46" i="20"/>
  <c r="CO46" i="20"/>
  <c r="CL46" i="20"/>
  <c r="CJ46" i="20"/>
  <c r="CG46" i="20"/>
  <c r="CD46" i="20"/>
  <c r="CB46" i="20"/>
  <c r="BY46" i="20"/>
  <c r="BV46" i="20"/>
  <c r="BT46" i="20"/>
  <c r="BQ46" i="20"/>
  <c r="BN46" i="20"/>
  <c r="BL46" i="20"/>
  <c r="BI46" i="20"/>
  <c r="BF46" i="20"/>
  <c r="BD46" i="20"/>
  <c r="BA46" i="20"/>
  <c r="AX46" i="20"/>
  <c r="AV46" i="20"/>
  <c r="AS46" i="20"/>
  <c r="AP46" i="20"/>
  <c r="AN46" i="20"/>
  <c r="AK46" i="20"/>
  <c r="AH46" i="20"/>
  <c r="AF46" i="20"/>
  <c r="AC46" i="20"/>
  <c r="Z46" i="20"/>
  <c r="X46" i="20"/>
  <c r="U46" i="20"/>
  <c r="L46" i="20"/>
  <c r="J46" i="20"/>
  <c r="DA45" i="20"/>
  <c r="CY45" i="20"/>
  <c r="CT45" i="20"/>
  <c r="CL45" i="20"/>
  <c r="CD45" i="20"/>
  <c r="BV45" i="20"/>
  <c r="BN45" i="20"/>
  <c r="BF45" i="20"/>
  <c r="AX45" i="20"/>
  <c r="AP45" i="20"/>
  <c r="AH45" i="20"/>
  <c r="Z45" i="20"/>
  <c r="O45" i="20"/>
  <c r="P45" i="20" s="1"/>
  <c r="Q45" i="20" s="1"/>
  <c r="R45" i="20" s="1"/>
  <c r="N45" i="20"/>
  <c r="L45" i="20"/>
  <c r="J45" i="20"/>
  <c r="DA44" i="20"/>
  <c r="CY44" i="20"/>
  <c r="CT44" i="20"/>
  <c r="CL44" i="20"/>
  <c r="CD44" i="20"/>
  <c r="BV44" i="20"/>
  <c r="BN44" i="20"/>
  <c r="BF44" i="20"/>
  <c r="AX44" i="20"/>
  <c r="AP44" i="20"/>
  <c r="AH44" i="20"/>
  <c r="Z44" i="20"/>
  <c r="O44" i="20"/>
  <c r="P44" i="20" s="1"/>
  <c r="Q44" i="20" s="1"/>
  <c r="R44" i="20" s="1"/>
  <c r="N44" i="20"/>
  <c r="J44" i="20"/>
  <c r="CQ43" i="20"/>
  <c r="CR43" i="20" s="1"/>
  <c r="N84" i="25" s="1"/>
  <c r="CI43" i="20"/>
  <c r="CJ43" i="20" s="1"/>
  <c r="M84" i="25" s="1"/>
  <c r="CA43" i="20"/>
  <c r="CB43" i="20" s="1"/>
  <c r="L84" i="25" s="1"/>
  <c r="BS43" i="20"/>
  <c r="BT43" i="20" s="1"/>
  <c r="K84" i="25" s="1"/>
  <c r="BQ43" i="20"/>
  <c r="BK43" i="20"/>
  <c r="BL43" i="20" s="1"/>
  <c r="J84" i="25" s="1"/>
  <c r="BC43" i="20"/>
  <c r="BD43" i="20" s="1"/>
  <c r="I84" i="25" s="1"/>
  <c r="AU43" i="20"/>
  <c r="AV43" i="20" s="1"/>
  <c r="H84" i="25" s="1"/>
  <c r="AM43" i="20"/>
  <c r="AN43" i="20" s="1"/>
  <c r="G84" i="25" s="1"/>
  <c r="AK43" i="20"/>
  <c r="AE43" i="20"/>
  <c r="AF43" i="20" s="1"/>
  <c r="F84" i="25" s="1"/>
  <c r="X43" i="20"/>
  <c r="E84" i="25" s="1"/>
  <c r="DA42" i="20"/>
  <c r="CY42" i="20"/>
  <c r="CT42" i="20"/>
  <c r="CL42" i="20"/>
  <c r="CD42" i="20"/>
  <c r="BV42" i="20"/>
  <c r="BN42" i="20"/>
  <c r="BF42" i="20"/>
  <c r="AX42" i="20"/>
  <c r="AP42" i="20"/>
  <c r="AH42" i="20"/>
  <c r="Z42" i="20"/>
  <c r="O42" i="20"/>
  <c r="P42" i="20" s="1"/>
  <c r="Q42" i="20" s="1"/>
  <c r="R42" i="20" s="1"/>
  <c r="N42" i="20"/>
  <c r="L42" i="20"/>
  <c r="J42" i="20"/>
  <c r="DA41" i="20"/>
  <c r="CY41" i="20"/>
  <c r="CT41" i="20"/>
  <c r="CL41" i="20"/>
  <c r="CD41" i="20"/>
  <c r="BV41" i="20"/>
  <c r="BN41" i="20"/>
  <c r="BF41" i="20"/>
  <c r="AX41" i="20"/>
  <c r="AP41" i="20"/>
  <c r="AH41" i="20"/>
  <c r="Z41" i="20"/>
  <c r="O41" i="20"/>
  <c r="P41" i="20" s="1"/>
  <c r="Q41" i="20" s="1"/>
  <c r="R41" i="20" s="1"/>
  <c r="N41" i="20"/>
  <c r="L41" i="20"/>
  <c r="J41" i="20"/>
  <c r="CQ40" i="20"/>
  <c r="CI40" i="20"/>
  <c r="CJ40" i="20" s="1"/>
  <c r="M83" i="25" s="1"/>
  <c r="CG40" i="20"/>
  <c r="CA40" i="20"/>
  <c r="CB40" i="20" s="1"/>
  <c r="L83" i="25" s="1"/>
  <c r="BY40" i="20"/>
  <c r="BS40" i="20"/>
  <c r="BT40" i="20" s="1"/>
  <c r="K83" i="25" s="1"/>
  <c r="BQ40" i="20"/>
  <c r="BK40" i="20"/>
  <c r="BL40" i="20" s="1"/>
  <c r="J83" i="25" s="1"/>
  <c r="BC40" i="20"/>
  <c r="BD40" i="20" s="1"/>
  <c r="I83" i="25" s="1"/>
  <c r="BA40" i="20"/>
  <c r="AU40" i="20"/>
  <c r="AV40" i="20" s="1"/>
  <c r="H83" i="25" s="1"/>
  <c r="AS40" i="20"/>
  <c r="AM40" i="20"/>
  <c r="AN40" i="20" s="1"/>
  <c r="G83" i="25" s="1"/>
  <c r="AK40" i="20"/>
  <c r="AE40" i="20"/>
  <c r="AF40" i="20" s="1"/>
  <c r="F83" i="25" s="1"/>
  <c r="W40" i="20"/>
  <c r="X40" i="20" s="1"/>
  <c r="E83" i="25" s="1"/>
  <c r="U40" i="20"/>
  <c r="DA39" i="20"/>
  <c r="CY39" i="20"/>
  <c r="CT39" i="20"/>
  <c r="CL39" i="20"/>
  <c r="CD39" i="20"/>
  <c r="BV39" i="20"/>
  <c r="BN39" i="20"/>
  <c r="BF39" i="20"/>
  <c r="AX39" i="20"/>
  <c r="AP39" i="20"/>
  <c r="AH39" i="20"/>
  <c r="Z39" i="20"/>
  <c r="O39" i="20"/>
  <c r="P39" i="20" s="1"/>
  <c r="Q39" i="20" s="1"/>
  <c r="R39" i="20" s="1"/>
  <c r="N39" i="20"/>
  <c r="L39" i="20"/>
  <c r="J39" i="20"/>
  <c r="CT38" i="20"/>
  <c r="CR38" i="20"/>
  <c r="N82" i="25" s="1"/>
  <c r="CO38" i="20"/>
  <c r="CL38" i="20"/>
  <c r="CJ38" i="20"/>
  <c r="M82" i="25" s="1"/>
  <c r="CG38" i="20"/>
  <c r="CD38" i="20"/>
  <c r="CB38" i="20"/>
  <c r="L82" i="25" s="1"/>
  <c r="BY38" i="20"/>
  <c r="BV38" i="20"/>
  <c r="BT38" i="20"/>
  <c r="K82" i="25" s="1"/>
  <c r="BQ38" i="20"/>
  <c r="BN38" i="20"/>
  <c r="BL38" i="20"/>
  <c r="J82" i="25" s="1"/>
  <c r="BI38" i="20"/>
  <c r="BF38" i="20"/>
  <c r="BD38" i="20"/>
  <c r="I82" i="25" s="1"/>
  <c r="BA38" i="20"/>
  <c r="AX38" i="20"/>
  <c r="AV38" i="20"/>
  <c r="H82" i="25" s="1"/>
  <c r="AS38" i="20"/>
  <c r="AP38" i="20"/>
  <c r="AN38" i="20"/>
  <c r="G82" i="25" s="1"/>
  <c r="AK38" i="20"/>
  <c r="AH38" i="20"/>
  <c r="AF38" i="20"/>
  <c r="F82" i="25" s="1"/>
  <c r="AC38" i="20"/>
  <c r="Z38" i="20"/>
  <c r="X38" i="20"/>
  <c r="E82" i="25" s="1"/>
  <c r="U38" i="20"/>
  <c r="L38" i="20"/>
  <c r="J38" i="20"/>
  <c r="CT37" i="20"/>
  <c r="CR37" i="20"/>
  <c r="N79" i="25" s="1"/>
  <c r="CO37" i="20"/>
  <c r="CL37" i="20"/>
  <c r="CJ37" i="20"/>
  <c r="M79" i="25" s="1"/>
  <c r="CG37" i="20"/>
  <c r="CD37" i="20"/>
  <c r="CB37" i="20"/>
  <c r="L79" i="25" s="1"/>
  <c r="BY37" i="20"/>
  <c r="BV37" i="20"/>
  <c r="BT37" i="20"/>
  <c r="K79" i="25" s="1"/>
  <c r="BQ37" i="20"/>
  <c r="BN37" i="20"/>
  <c r="BL37" i="20"/>
  <c r="J79" i="25" s="1"/>
  <c r="BI37" i="20"/>
  <c r="BF37" i="20"/>
  <c r="BD37" i="20"/>
  <c r="I79" i="25" s="1"/>
  <c r="BA37" i="20"/>
  <c r="AX37" i="20"/>
  <c r="AV37" i="20"/>
  <c r="H79" i="25" s="1"/>
  <c r="AS37" i="20"/>
  <c r="AP37" i="20"/>
  <c r="AN37" i="20"/>
  <c r="G79" i="25" s="1"/>
  <c r="AK37" i="20"/>
  <c r="AH37" i="20"/>
  <c r="AF37" i="20"/>
  <c r="F79" i="25" s="1"/>
  <c r="AC37" i="20"/>
  <c r="Z37" i="20"/>
  <c r="X37" i="20"/>
  <c r="E79" i="25" s="1"/>
  <c r="U37" i="20"/>
  <c r="DA36" i="20"/>
  <c r="CY36" i="20"/>
  <c r="CT36" i="20"/>
  <c r="CL36" i="20"/>
  <c r="CD36" i="20"/>
  <c r="BV36" i="20"/>
  <c r="BN36" i="20"/>
  <c r="BF36" i="20"/>
  <c r="AX36" i="20"/>
  <c r="AP36" i="20"/>
  <c r="AH36" i="20"/>
  <c r="Z36" i="20"/>
  <c r="O36" i="20"/>
  <c r="P36" i="20" s="1"/>
  <c r="Q36" i="20" s="1"/>
  <c r="R36" i="20" s="1"/>
  <c r="N36" i="20"/>
  <c r="L36" i="20"/>
  <c r="J36" i="20"/>
  <c r="CT35" i="20"/>
  <c r="CR35" i="20"/>
  <c r="N78" i="25" s="1"/>
  <c r="CO35" i="20"/>
  <c r="CL35" i="20"/>
  <c r="CJ35" i="20"/>
  <c r="M78" i="25" s="1"/>
  <c r="CG35" i="20"/>
  <c r="CD35" i="20"/>
  <c r="CB35" i="20"/>
  <c r="L78" i="25" s="1"/>
  <c r="BY35" i="20"/>
  <c r="BV35" i="20"/>
  <c r="BT35" i="20"/>
  <c r="K78" i="25" s="1"/>
  <c r="BQ35" i="20"/>
  <c r="BN35" i="20"/>
  <c r="BL35" i="20"/>
  <c r="J78" i="25" s="1"/>
  <c r="BI35" i="20"/>
  <c r="BF35" i="20"/>
  <c r="BD35" i="20"/>
  <c r="I78" i="25" s="1"/>
  <c r="BA35" i="20"/>
  <c r="AX35" i="20"/>
  <c r="AV35" i="20"/>
  <c r="H78" i="25" s="1"/>
  <c r="AS35" i="20"/>
  <c r="AP35" i="20"/>
  <c r="AN35" i="20"/>
  <c r="G78" i="25" s="1"/>
  <c r="AK35" i="20"/>
  <c r="AH35" i="20"/>
  <c r="AF35" i="20"/>
  <c r="F78" i="25" s="1"/>
  <c r="AC35" i="20"/>
  <c r="Z35" i="20"/>
  <c r="X35" i="20"/>
  <c r="E78" i="25" s="1"/>
  <c r="U35" i="20"/>
  <c r="L35" i="20"/>
  <c r="J35" i="20"/>
  <c r="DA34" i="20"/>
  <c r="CY34" i="20"/>
  <c r="CT34" i="20"/>
  <c r="CL34" i="20"/>
  <c r="CD34" i="20"/>
  <c r="BV34" i="20"/>
  <c r="BN34" i="20"/>
  <c r="BF34" i="20"/>
  <c r="AX34" i="20"/>
  <c r="AP34" i="20"/>
  <c r="AH34" i="20"/>
  <c r="Z34" i="20"/>
  <c r="O34" i="20"/>
  <c r="P34" i="20" s="1"/>
  <c r="Q34" i="20" s="1"/>
  <c r="R34" i="20" s="1"/>
  <c r="N34" i="20"/>
  <c r="L34" i="20"/>
  <c r="J34" i="20"/>
  <c r="DA33" i="20"/>
  <c r="CY33" i="20"/>
  <c r="CT33" i="20"/>
  <c r="CL33" i="20"/>
  <c r="CD33" i="20"/>
  <c r="BV33" i="20"/>
  <c r="BN33" i="20"/>
  <c r="BF33" i="20"/>
  <c r="AX33" i="20"/>
  <c r="AP33" i="20"/>
  <c r="AH33" i="20"/>
  <c r="Z33" i="20"/>
  <c r="O33" i="20"/>
  <c r="P33" i="20" s="1"/>
  <c r="Q33" i="20" s="1"/>
  <c r="R33" i="20" s="1"/>
  <c r="N33" i="20"/>
  <c r="L33" i="20"/>
  <c r="J33" i="20"/>
  <c r="CQ32" i="20"/>
  <c r="CR32" i="20" s="1"/>
  <c r="N75" i="25" s="1"/>
  <c r="CA32" i="20"/>
  <c r="BS32" i="20"/>
  <c r="BT32" i="20" s="1"/>
  <c r="K75" i="25" s="1"/>
  <c r="BK32" i="20"/>
  <c r="BL32" i="20" s="1"/>
  <c r="J75" i="25" s="1"/>
  <c r="BI32" i="20"/>
  <c r="BC32" i="20"/>
  <c r="BD32" i="20" s="1"/>
  <c r="I75" i="25" s="1"/>
  <c r="BA32" i="20"/>
  <c r="AU32" i="20"/>
  <c r="AV32" i="20" s="1"/>
  <c r="H75" i="25" s="1"/>
  <c r="AS32" i="20"/>
  <c r="AM32" i="20"/>
  <c r="AE32" i="20"/>
  <c r="AF32" i="20" s="1"/>
  <c r="F75" i="25" s="1"/>
  <c r="AC32" i="20"/>
  <c r="W32" i="20"/>
  <c r="X32" i="20" s="1"/>
  <c r="E75" i="25" s="1"/>
  <c r="U32" i="20"/>
  <c r="DA31" i="20"/>
  <c r="CY31" i="20"/>
  <c r="CT31" i="20"/>
  <c r="CL31" i="20"/>
  <c r="CD31" i="20"/>
  <c r="BV31" i="20"/>
  <c r="BN31" i="20"/>
  <c r="BF31" i="20"/>
  <c r="AX31" i="20"/>
  <c r="AP31" i="20"/>
  <c r="AH31" i="20"/>
  <c r="Z31" i="20"/>
  <c r="O31" i="20"/>
  <c r="P31" i="20" s="1"/>
  <c r="Q31" i="20" s="1"/>
  <c r="R31" i="20" s="1"/>
  <c r="N31" i="20"/>
  <c r="L31" i="20"/>
  <c r="J31" i="20"/>
  <c r="DA30" i="20"/>
  <c r="CY30" i="20"/>
  <c r="CT30" i="20"/>
  <c r="CL30" i="20"/>
  <c r="CD30" i="20"/>
  <c r="BV30" i="20"/>
  <c r="BN30" i="20"/>
  <c r="BF30" i="20"/>
  <c r="AX30" i="20"/>
  <c r="AP30" i="20"/>
  <c r="AH30" i="20"/>
  <c r="Z30" i="20"/>
  <c r="O30" i="20"/>
  <c r="P30" i="20" s="1"/>
  <c r="Q30" i="20" s="1"/>
  <c r="R30" i="20" s="1"/>
  <c r="N30" i="20"/>
  <c r="L30" i="20"/>
  <c r="J30" i="20"/>
  <c r="DA29" i="20"/>
  <c r="CY29" i="20"/>
  <c r="CT29" i="20"/>
  <c r="CL29" i="20"/>
  <c r="CD29" i="20"/>
  <c r="BV29" i="20"/>
  <c r="BN29" i="20"/>
  <c r="BF29" i="20"/>
  <c r="AX29" i="20"/>
  <c r="AP29" i="20"/>
  <c r="AH29" i="20"/>
  <c r="Z29" i="20"/>
  <c r="O29" i="20"/>
  <c r="P29" i="20" s="1"/>
  <c r="Q29" i="20" s="1"/>
  <c r="R29" i="20" s="1"/>
  <c r="N29" i="20"/>
  <c r="L29" i="20"/>
  <c r="J29" i="20"/>
  <c r="CQ28" i="20"/>
  <c r="CR28" i="20" s="1"/>
  <c r="N74" i="25" s="1"/>
  <c r="CI28" i="20"/>
  <c r="CJ28" i="20" s="1"/>
  <c r="M74" i="25" s="1"/>
  <c r="CG28" i="20"/>
  <c r="CA28" i="20"/>
  <c r="CB28" i="20" s="1"/>
  <c r="L74" i="25" s="1"/>
  <c r="BS28" i="20"/>
  <c r="BT28" i="20" s="1"/>
  <c r="K74" i="25" s="1"/>
  <c r="BQ28" i="20"/>
  <c r="BK28" i="20"/>
  <c r="BL28" i="20" s="1"/>
  <c r="J74" i="25" s="1"/>
  <c r="BC28" i="20"/>
  <c r="BD28" i="20" s="1"/>
  <c r="I74" i="25" s="1"/>
  <c r="BA28" i="20"/>
  <c r="AU28" i="20"/>
  <c r="AV28" i="20" s="1"/>
  <c r="H74" i="25" s="1"/>
  <c r="AM28" i="20"/>
  <c r="AN28" i="20" s="1"/>
  <c r="G74" i="25" s="1"/>
  <c r="AK28" i="20"/>
  <c r="AE28" i="20"/>
  <c r="AF28" i="20" s="1"/>
  <c r="F74" i="25" s="1"/>
  <c r="W28" i="20"/>
  <c r="X28" i="20" s="1"/>
  <c r="E74" i="25" s="1"/>
  <c r="U28" i="20"/>
  <c r="DA27" i="20"/>
  <c r="CY27" i="20"/>
  <c r="CT27" i="20"/>
  <c r="CL27" i="20"/>
  <c r="CD27" i="20"/>
  <c r="BV27" i="20"/>
  <c r="BN27" i="20"/>
  <c r="BF27" i="20"/>
  <c r="AX27" i="20"/>
  <c r="AP27" i="20"/>
  <c r="AH27" i="20"/>
  <c r="Z27" i="20"/>
  <c r="O27" i="20"/>
  <c r="P27" i="20" s="1"/>
  <c r="Q27" i="20" s="1"/>
  <c r="R27" i="20" s="1"/>
  <c r="N27" i="20"/>
  <c r="L27" i="20"/>
  <c r="J27" i="20"/>
  <c r="DA26" i="20"/>
  <c r="CY26" i="20"/>
  <c r="CT26" i="20"/>
  <c r="CL26" i="20"/>
  <c r="CD26" i="20"/>
  <c r="BV26" i="20"/>
  <c r="BN26" i="20"/>
  <c r="BF26" i="20"/>
  <c r="AX26" i="20"/>
  <c r="AP26" i="20"/>
  <c r="AH26" i="20"/>
  <c r="Z26" i="20"/>
  <c r="O26" i="20"/>
  <c r="P26" i="20" s="1"/>
  <c r="Q26" i="20" s="1"/>
  <c r="R26" i="20" s="1"/>
  <c r="N26" i="20"/>
  <c r="L26" i="20"/>
  <c r="J26" i="20"/>
  <c r="DA25" i="20"/>
  <c r="CY25" i="20"/>
  <c r="CT25" i="20"/>
  <c r="CL25" i="20"/>
  <c r="CD25" i="20"/>
  <c r="BV25" i="20"/>
  <c r="BN25" i="20"/>
  <c r="BF25" i="20"/>
  <c r="AX25" i="20"/>
  <c r="AP25" i="20"/>
  <c r="AH25" i="20"/>
  <c r="Z25" i="20"/>
  <c r="O25" i="20"/>
  <c r="P25" i="20" s="1"/>
  <c r="Q25" i="20" s="1"/>
  <c r="R25" i="20" s="1"/>
  <c r="N25" i="20"/>
  <c r="L25" i="20"/>
  <c r="J25" i="20"/>
  <c r="DA24" i="20"/>
  <c r="CY24" i="20"/>
  <c r="CT24" i="20"/>
  <c r="CL24" i="20"/>
  <c r="CD24" i="20"/>
  <c r="BV24" i="20"/>
  <c r="BN24" i="20"/>
  <c r="BF24" i="20"/>
  <c r="AX24" i="20"/>
  <c r="AP24" i="20"/>
  <c r="AH24" i="20"/>
  <c r="Z24" i="20"/>
  <c r="O24" i="20"/>
  <c r="P24" i="20" s="1"/>
  <c r="Q24" i="20" s="1"/>
  <c r="R24" i="20" s="1"/>
  <c r="N24" i="20"/>
  <c r="L24" i="20"/>
  <c r="J24" i="20"/>
  <c r="CQ23" i="20"/>
  <c r="CR23" i="20" s="1"/>
  <c r="N73" i="25" s="1"/>
  <c r="CO23" i="20"/>
  <c r="CI23" i="20"/>
  <c r="CJ23" i="20" s="1"/>
  <c r="M73" i="25" s="1"/>
  <c r="CG23" i="20"/>
  <c r="CA23" i="20"/>
  <c r="CB23" i="20" s="1"/>
  <c r="L73" i="25" s="1"/>
  <c r="BS23" i="20"/>
  <c r="BT23" i="20" s="1"/>
  <c r="K73" i="25" s="1"/>
  <c r="BQ23" i="20"/>
  <c r="BK23" i="20"/>
  <c r="BL23" i="20" s="1"/>
  <c r="J73" i="25" s="1"/>
  <c r="BI23" i="20"/>
  <c r="BC23" i="20"/>
  <c r="BD23" i="20" s="1"/>
  <c r="I73" i="25" s="1"/>
  <c r="BA23" i="20"/>
  <c r="AU23" i="20"/>
  <c r="AV23" i="20" s="1"/>
  <c r="H73" i="25" s="1"/>
  <c r="AM23" i="20"/>
  <c r="AN23" i="20" s="1"/>
  <c r="G73" i="25" s="1"/>
  <c r="AK23" i="20"/>
  <c r="AE23" i="20"/>
  <c r="AF23" i="20" s="1"/>
  <c r="F73" i="25" s="1"/>
  <c r="AC23" i="20"/>
  <c r="W23" i="20"/>
  <c r="X23" i="20" s="1"/>
  <c r="E73" i="25" s="1"/>
  <c r="U23" i="20"/>
  <c r="DC22" i="20"/>
  <c r="CT22" i="20"/>
  <c r="CR22" i="20"/>
  <c r="N72" i="25" s="1"/>
  <c r="CO22" i="20"/>
  <c r="CL22" i="20"/>
  <c r="CJ22" i="20"/>
  <c r="M72" i="25" s="1"/>
  <c r="CG22" i="20"/>
  <c r="CD22" i="20"/>
  <c r="CB22" i="20"/>
  <c r="L72" i="25" s="1"/>
  <c r="BY22" i="20"/>
  <c r="BV22" i="20"/>
  <c r="BT22" i="20"/>
  <c r="K72" i="25" s="1"/>
  <c r="BQ22" i="20"/>
  <c r="BN22" i="20"/>
  <c r="BL22" i="20"/>
  <c r="J72" i="25" s="1"/>
  <c r="BI22" i="20"/>
  <c r="BF22" i="20"/>
  <c r="BD22" i="20"/>
  <c r="I72" i="25" s="1"/>
  <c r="BA22" i="20"/>
  <c r="AX22" i="20"/>
  <c r="AV22" i="20"/>
  <c r="H72" i="25" s="1"/>
  <c r="AS22" i="20"/>
  <c r="AP22" i="20"/>
  <c r="AN22" i="20"/>
  <c r="G72" i="25" s="1"/>
  <c r="AK22" i="20"/>
  <c r="AH22" i="20"/>
  <c r="AF22" i="20"/>
  <c r="F72" i="25" s="1"/>
  <c r="AC22" i="20"/>
  <c r="Z22" i="20"/>
  <c r="X22" i="20"/>
  <c r="E72" i="25" s="1"/>
  <c r="U22" i="20"/>
  <c r="DA21" i="20"/>
  <c r="CY21" i="20"/>
  <c r="CT21" i="20"/>
  <c r="CL21" i="20"/>
  <c r="CD21" i="20"/>
  <c r="BV21" i="20"/>
  <c r="BN21" i="20"/>
  <c r="BF21" i="20"/>
  <c r="AX21" i="20"/>
  <c r="AP21" i="20"/>
  <c r="AH21" i="20"/>
  <c r="Z21" i="20"/>
  <c r="O21" i="20"/>
  <c r="P21" i="20" s="1"/>
  <c r="Q21" i="20" s="1"/>
  <c r="R21" i="20" s="1"/>
  <c r="N21" i="20"/>
  <c r="L21" i="20"/>
  <c r="J21" i="20"/>
  <c r="CT20" i="20"/>
  <c r="CR20" i="20"/>
  <c r="N71" i="25" s="1"/>
  <c r="CO20" i="20"/>
  <c r="CL20" i="20"/>
  <c r="CJ20" i="20"/>
  <c r="M71" i="25" s="1"/>
  <c r="CG20" i="20"/>
  <c r="CD20" i="20"/>
  <c r="CB20" i="20"/>
  <c r="L71" i="25" s="1"/>
  <c r="L93" i="25" s="1"/>
  <c r="BY20" i="20"/>
  <c r="BV20" i="20"/>
  <c r="BT20" i="20"/>
  <c r="K71" i="25" s="1"/>
  <c r="K93" i="25" s="1"/>
  <c r="BQ20" i="20"/>
  <c r="BN20" i="20"/>
  <c r="BL20" i="20"/>
  <c r="J71" i="25" s="1"/>
  <c r="BI20" i="20"/>
  <c r="BF20" i="20"/>
  <c r="BD20" i="20"/>
  <c r="I71" i="25" s="1"/>
  <c r="BA20" i="20"/>
  <c r="AX20" i="20"/>
  <c r="AV20" i="20"/>
  <c r="H71" i="25" s="1"/>
  <c r="H93" i="25" s="1"/>
  <c r="AS20" i="20"/>
  <c r="AP20" i="20"/>
  <c r="AN20" i="20"/>
  <c r="G71" i="25" s="1"/>
  <c r="G93" i="25" s="1"/>
  <c r="AK20" i="20"/>
  <c r="AH20" i="20"/>
  <c r="AF20" i="20"/>
  <c r="F71" i="25" s="1"/>
  <c r="AC20" i="20"/>
  <c r="Z20" i="20"/>
  <c r="X20" i="20"/>
  <c r="E71" i="25" s="1"/>
  <c r="U20" i="20"/>
  <c r="L20" i="20"/>
  <c r="J20" i="20"/>
  <c r="DA19" i="20"/>
  <c r="CY19" i="20"/>
  <c r="CT19" i="20"/>
  <c r="CL19" i="20"/>
  <c r="CD19" i="20"/>
  <c r="BV19" i="20"/>
  <c r="BN19" i="20"/>
  <c r="BF19" i="20"/>
  <c r="AX19" i="20"/>
  <c r="AP19" i="20"/>
  <c r="AH19" i="20"/>
  <c r="Z19" i="20"/>
  <c r="O19" i="20"/>
  <c r="P19" i="20" s="1"/>
  <c r="Q19" i="20" s="1"/>
  <c r="R19" i="20" s="1"/>
  <c r="N19" i="20"/>
  <c r="DA18" i="20"/>
  <c r="CY18" i="20"/>
  <c r="CT18" i="20"/>
  <c r="CL18" i="20"/>
  <c r="CD18" i="20"/>
  <c r="BV18" i="20"/>
  <c r="BN18" i="20"/>
  <c r="BF18" i="20"/>
  <c r="AX18" i="20"/>
  <c r="AP18" i="20"/>
  <c r="AH18" i="20"/>
  <c r="Z18" i="20"/>
  <c r="O18" i="20"/>
  <c r="P18" i="20" s="1"/>
  <c r="Q18" i="20" s="1"/>
  <c r="R18" i="20" s="1"/>
  <c r="N18" i="20"/>
  <c r="L18" i="20"/>
  <c r="J18" i="20"/>
  <c r="CT17" i="20"/>
  <c r="CR17" i="20"/>
  <c r="N68" i="25" s="1"/>
  <c r="CL17" i="20"/>
  <c r="CJ17" i="20"/>
  <c r="M68" i="25" s="1"/>
  <c r="CD17" i="20"/>
  <c r="CB17" i="20"/>
  <c r="L68" i="25" s="1"/>
  <c r="BV17" i="20"/>
  <c r="BT17" i="20"/>
  <c r="K68" i="25" s="1"/>
  <c r="BN17" i="20"/>
  <c r="BL17" i="20"/>
  <c r="J68" i="25" s="1"/>
  <c r="BF17" i="20"/>
  <c r="BD17" i="20"/>
  <c r="I68" i="25" s="1"/>
  <c r="AX17" i="20"/>
  <c r="AV17" i="20"/>
  <c r="H68" i="25" s="1"/>
  <c r="AP17" i="20"/>
  <c r="AN17" i="20"/>
  <c r="G68" i="25" s="1"/>
  <c r="AK17" i="20"/>
  <c r="AH17" i="20"/>
  <c r="AF17" i="20"/>
  <c r="F68" i="25" s="1"/>
  <c r="Z17" i="20"/>
  <c r="X17" i="20"/>
  <c r="E68" i="25" s="1"/>
  <c r="U17" i="20"/>
  <c r="L17" i="20"/>
  <c r="J17" i="20"/>
  <c r="CT16" i="20"/>
  <c r="CL16" i="20"/>
  <c r="CD16" i="20"/>
  <c r="BV16" i="20"/>
  <c r="BN16" i="20"/>
  <c r="BF16" i="20"/>
  <c r="AX16" i="20"/>
  <c r="AP16" i="20"/>
  <c r="AH16" i="20"/>
  <c r="Z16" i="20"/>
  <c r="M16" i="20"/>
  <c r="K16" i="20"/>
  <c r="CT15" i="20"/>
  <c r="CL15" i="20"/>
  <c r="CD15" i="20"/>
  <c r="BV15" i="20"/>
  <c r="BN15" i="20"/>
  <c r="BF15" i="20"/>
  <c r="AX15" i="20"/>
  <c r="AP15" i="20"/>
  <c r="AH15" i="20"/>
  <c r="Z15" i="20"/>
  <c r="M15" i="20"/>
  <c r="K15" i="20"/>
  <c r="DA14" i="20"/>
  <c r="CY14" i="20"/>
  <c r="CT14" i="20"/>
  <c r="CL14" i="20"/>
  <c r="CD14" i="20"/>
  <c r="BV14" i="20"/>
  <c r="BN14" i="20"/>
  <c r="BF14" i="20"/>
  <c r="AX14" i="20"/>
  <c r="AP14" i="20"/>
  <c r="AH14" i="20"/>
  <c r="Z14" i="20"/>
  <c r="O14" i="20"/>
  <c r="P14" i="20" s="1"/>
  <c r="Q14" i="20" s="1"/>
  <c r="R14" i="20" s="1"/>
  <c r="N14" i="20"/>
  <c r="L14" i="20"/>
  <c r="J14" i="20"/>
  <c r="DA13" i="20"/>
  <c r="CY13" i="20"/>
  <c r="CT13" i="20"/>
  <c r="CL13" i="20"/>
  <c r="CD13" i="20"/>
  <c r="BV13" i="20"/>
  <c r="BN13" i="20"/>
  <c r="BF13" i="20"/>
  <c r="AX13" i="20"/>
  <c r="AP13" i="20"/>
  <c r="AH13" i="20"/>
  <c r="Z13" i="20"/>
  <c r="O13" i="20"/>
  <c r="P13" i="20" s="1"/>
  <c r="Q13" i="20" s="1"/>
  <c r="R13" i="20" s="1"/>
  <c r="N13" i="20"/>
  <c r="L13" i="20"/>
  <c r="J13" i="20"/>
  <c r="CQ12" i="20"/>
  <c r="CR12" i="20" s="1"/>
  <c r="N65" i="25" s="1"/>
  <c r="CO12" i="20"/>
  <c r="CI12" i="20"/>
  <c r="CJ12" i="20" s="1"/>
  <c r="M65" i="25" s="1"/>
  <c r="CA12" i="20"/>
  <c r="CB12" i="20" s="1"/>
  <c r="L65" i="25" s="1"/>
  <c r="BY12" i="20"/>
  <c r="BS12" i="20"/>
  <c r="BT12" i="20" s="1"/>
  <c r="K65" i="25" s="1"/>
  <c r="BQ12" i="20"/>
  <c r="BK12" i="20"/>
  <c r="BL12" i="20" s="1"/>
  <c r="J65" i="25" s="1"/>
  <c r="BI12" i="20"/>
  <c r="BC12" i="20"/>
  <c r="BD12" i="20" s="1"/>
  <c r="I65" i="25" s="1"/>
  <c r="AU12" i="20"/>
  <c r="AV12" i="20" s="1"/>
  <c r="H65" i="25" s="1"/>
  <c r="AS12" i="20"/>
  <c r="AM12" i="20"/>
  <c r="AN12" i="20" s="1"/>
  <c r="G65" i="25" s="1"/>
  <c r="AK12" i="20"/>
  <c r="AE12" i="20"/>
  <c r="AF12" i="20" s="1"/>
  <c r="F65" i="25" s="1"/>
  <c r="AC12" i="20"/>
  <c r="W12" i="20"/>
  <c r="X12" i="20" s="1"/>
  <c r="E65" i="25" s="1"/>
  <c r="DA11" i="20"/>
  <c r="CY11" i="20"/>
  <c r="CT11" i="20"/>
  <c r="CL11" i="20"/>
  <c r="CD11" i="20"/>
  <c r="BV11" i="20"/>
  <c r="BN11" i="20"/>
  <c r="BF11" i="20"/>
  <c r="AX11" i="20"/>
  <c r="AP11" i="20"/>
  <c r="AH11" i="20"/>
  <c r="Z11" i="20"/>
  <c r="O11" i="20"/>
  <c r="P11" i="20" s="1"/>
  <c r="Q11" i="20" s="1"/>
  <c r="R11" i="20" s="1"/>
  <c r="N11" i="20"/>
  <c r="L11" i="20"/>
  <c r="J11" i="20"/>
  <c r="DA10" i="20"/>
  <c r="CY10" i="20"/>
  <c r="CT10" i="20"/>
  <c r="CL10" i="20"/>
  <c r="CD10" i="20"/>
  <c r="BV10" i="20"/>
  <c r="BN10" i="20"/>
  <c r="BF10" i="20"/>
  <c r="AX10" i="20"/>
  <c r="AP10" i="20"/>
  <c r="AH10" i="20"/>
  <c r="Z10" i="20"/>
  <c r="O10" i="20"/>
  <c r="P10" i="20" s="1"/>
  <c r="Q10" i="20" s="1"/>
  <c r="R10" i="20" s="1"/>
  <c r="N10" i="20"/>
  <c r="L10" i="20"/>
  <c r="J10" i="20"/>
  <c r="CQ9" i="20"/>
  <c r="CI9" i="20"/>
  <c r="CJ9" i="20" s="1"/>
  <c r="M64" i="25" s="1"/>
  <c r="CA9" i="20"/>
  <c r="CB9" i="20" s="1"/>
  <c r="L64" i="25" s="1"/>
  <c r="BS9" i="20"/>
  <c r="BT9" i="20" s="1"/>
  <c r="K64" i="25" s="1"/>
  <c r="BQ9" i="20"/>
  <c r="BK9" i="20"/>
  <c r="BL9" i="20" s="1"/>
  <c r="J64" i="25" s="1"/>
  <c r="BC9" i="20"/>
  <c r="BD9" i="20" s="1"/>
  <c r="I64" i="25" s="1"/>
  <c r="AU9" i="20"/>
  <c r="AV9" i="20" s="1"/>
  <c r="H64" i="25" s="1"/>
  <c r="AM9" i="20"/>
  <c r="AN9" i="20" s="1"/>
  <c r="G64" i="25" s="1"/>
  <c r="AK9" i="20"/>
  <c r="AE9" i="20"/>
  <c r="AF9" i="20" s="1"/>
  <c r="F64" i="25" s="1"/>
  <c r="AC9" i="20"/>
  <c r="W9" i="20"/>
  <c r="X9" i="20" s="1"/>
  <c r="E64" i="25" s="1"/>
  <c r="DA8" i="20"/>
  <c r="CY8" i="20"/>
  <c r="CT8" i="20"/>
  <c r="CL8" i="20"/>
  <c r="CD8" i="20"/>
  <c r="BV8" i="20"/>
  <c r="BN8" i="20"/>
  <c r="BF8" i="20"/>
  <c r="AX8" i="20"/>
  <c r="AP8" i="20"/>
  <c r="AH8" i="20"/>
  <c r="Z8" i="20"/>
  <c r="O8" i="20"/>
  <c r="P8" i="20" s="1"/>
  <c r="Q8" i="20" s="1"/>
  <c r="R8" i="20" s="1"/>
  <c r="N8" i="20"/>
  <c r="L8" i="20"/>
  <c r="J8" i="20"/>
  <c r="DA7" i="20"/>
  <c r="CY7" i="20"/>
  <c r="CT7" i="20"/>
  <c r="CL7" i="20"/>
  <c r="CD7" i="20"/>
  <c r="BV7" i="20"/>
  <c r="BN7" i="20"/>
  <c r="BF7" i="20"/>
  <c r="AX7" i="20"/>
  <c r="AP7" i="20"/>
  <c r="AH7" i="20"/>
  <c r="Z7" i="20"/>
  <c r="O7" i="20"/>
  <c r="P7" i="20" s="1"/>
  <c r="Q7" i="20" s="1"/>
  <c r="R7" i="20" s="1"/>
  <c r="N7" i="20"/>
  <c r="L7" i="20"/>
  <c r="J7" i="20"/>
  <c r="DA6" i="20"/>
  <c r="CY6" i="20"/>
  <c r="CT6" i="20"/>
  <c r="CL6" i="20"/>
  <c r="CD6" i="20"/>
  <c r="BV6" i="20"/>
  <c r="BN6" i="20"/>
  <c r="BF6" i="20"/>
  <c r="AX6" i="20"/>
  <c r="AP6" i="20"/>
  <c r="AH6" i="20"/>
  <c r="Z6" i="20"/>
  <c r="O6" i="20"/>
  <c r="P6" i="20" s="1"/>
  <c r="Q6" i="20" s="1"/>
  <c r="R6" i="20" s="1"/>
  <c r="N6" i="20"/>
  <c r="L6" i="20"/>
  <c r="J6" i="20"/>
  <c r="CQ5" i="20"/>
  <c r="CR5" i="20" s="1"/>
  <c r="N63" i="25" s="1"/>
  <c r="CI5" i="20"/>
  <c r="CJ5" i="20" s="1"/>
  <c r="M63" i="25" s="1"/>
  <c r="CG5" i="20"/>
  <c r="CA5" i="20"/>
  <c r="CB5" i="20" s="1"/>
  <c r="L63" i="25" s="1"/>
  <c r="BS5" i="20"/>
  <c r="BT5" i="20" s="1"/>
  <c r="K63" i="25" s="1"/>
  <c r="BK5" i="20"/>
  <c r="BL5" i="20" s="1"/>
  <c r="J63" i="25" s="1"/>
  <c r="BC5" i="20"/>
  <c r="BD5" i="20" s="1"/>
  <c r="I63" i="25" s="1"/>
  <c r="BA5" i="20"/>
  <c r="AU5" i="20"/>
  <c r="AV5" i="20" s="1"/>
  <c r="H63" i="25" s="1"/>
  <c r="AM5" i="20"/>
  <c r="AN5" i="20" s="1"/>
  <c r="G63" i="25" s="1"/>
  <c r="AE5" i="20"/>
  <c r="AF5" i="20" s="1"/>
  <c r="F63" i="25" s="1"/>
  <c r="W5" i="20"/>
  <c r="X5" i="20" s="1"/>
  <c r="E63" i="25" s="1"/>
  <c r="U5" i="20"/>
  <c r="CT4" i="20"/>
  <c r="CR4" i="20"/>
  <c r="CO4" i="20"/>
  <c r="CL4" i="20"/>
  <c r="CJ4" i="20"/>
  <c r="CG4" i="20"/>
  <c r="CD4" i="20"/>
  <c r="CB4" i="20"/>
  <c r="BY4" i="20"/>
  <c r="BV4" i="20"/>
  <c r="BT4" i="20"/>
  <c r="BQ4" i="20"/>
  <c r="BN4" i="20"/>
  <c r="BL4" i="20"/>
  <c r="BI4" i="20"/>
  <c r="BF4" i="20"/>
  <c r="BD4" i="20"/>
  <c r="BA4" i="20"/>
  <c r="AX4" i="20"/>
  <c r="AV4" i="20"/>
  <c r="AS4" i="20"/>
  <c r="AP4" i="20"/>
  <c r="AN4" i="20"/>
  <c r="AK4" i="20"/>
  <c r="AH4" i="20"/>
  <c r="AF4" i="20"/>
  <c r="AC4" i="20"/>
  <c r="Z4" i="20"/>
  <c r="X4" i="20"/>
  <c r="U4" i="20"/>
  <c r="L4" i="20"/>
  <c r="J4" i="20"/>
  <c r="X3" i="20"/>
  <c r="AF3" i="20" s="1"/>
  <c r="AN3" i="20" s="1"/>
  <c r="AV3" i="20" s="1"/>
  <c r="BD3" i="20" s="1"/>
  <c r="BL3" i="20" s="1"/>
  <c r="BT3" i="20" s="1"/>
  <c r="CB3" i="20" s="1"/>
  <c r="CJ3" i="20" s="1"/>
  <c r="CR3" i="20" s="1"/>
  <c r="W3" i="20"/>
  <c r="AE3" i="20" s="1"/>
  <c r="AM3" i="20" s="1"/>
  <c r="AU3" i="20" s="1"/>
  <c r="BC3" i="20" s="1"/>
  <c r="BK3" i="20" s="1"/>
  <c r="BS3" i="20" s="1"/>
  <c r="CA3" i="20" s="1"/>
  <c r="CI3" i="20" s="1"/>
  <c r="CQ3" i="20" s="1"/>
  <c r="U3" i="20"/>
  <c r="AC3" i="20" s="1"/>
  <c r="AK3" i="20" s="1"/>
  <c r="AS3" i="20" s="1"/>
  <c r="BA3" i="20" s="1"/>
  <c r="BI3" i="20" s="1"/>
  <c r="BQ3" i="20" s="1"/>
  <c r="BY3" i="20" s="1"/>
  <c r="CG3" i="20" s="1"/>
  <c r="CO3" i="20" s="1"/>
  <c r="T3" i="20"/>
  <c r="AB3" i="20" s="1"/>
  <c r="AJ3" i="20" s="1"/>
  <c r="AR3" i="20" s="1"/>
  <c r="AZ3" i="20" s="1"/>
  <c r="BH3" i="20" s="1"/>
  <c r="BP3" i="20" s="1"/>
  <c r="BX3" i="20" s="1"/>
  <c r="CF3" i="20" s="1"/>
  <c r="CN3" i="20" s="1"/>
  <c r="CF53" i="19"/>
  <c r="CD53" i="19"/>
  <c r="O48" i="19"/>
  <c r="P48" i="19" s="1"/>
  <c r="Q48" i="19" s="1"/>
  <c r="R48" i="19" s="1"/>
  <c r="BY46" i="19"/>
  <c r="BY47" i="19" s="1"/>
  <c r="R86" i="24" s="1"/>
  <c r="BW46" i="19"/>
  <c r="BW47" i="19" s="1"/>
  <c r="BS46" i="19"/>
  <c r="BS47" i="19" s="1"/>
  <c r="Q86" i="24" s="1"/>
  <c r="BQ46" i="19"/>
  <c r="BQ47" i="19" s="1"/>
  <c r="BM46" i="19"/>
  <c r="P66" i="24" s="1"/>
  <c r="BK46" i="19"/>
  <c r="BK47" i="19" s="1"/>
  <c r="BG46" i="19"/>
  <c r="BG47" i="19" s="1"/>
  <c r="BE46" i="19"/>
  <c r="BE47" i="19" s="1"/>
  <c r="BA46" i="19"/>
  <c r="BA47" i="19" s="1"/>
  <c r="O86" i="24" s="1"/>
  <c r="AY46" i="19"/>
  <c r="AY47" i="19" s="1"/>
  <c r="AU46" i="19"/>
  <c r="AU47" i="19" s="1"/>
  <c r="AS46" i="19"/>
  <c r="AS47" i="19" s="1"/>
  <c r="AO46" i="19"/>
  <c r="L66" i="24" s="1"/>
  <c r="AM46" i="19"/>
  <c r="AM47" i="19" s="1"/>
  <c r="AI46" i="19"/>
  <c r="AI47" i="19" s="1"/>
  <c r="K86" i="24" s="1"/>
  <c r="AG46" i="19"/>
  <c r="AG47" i="19" s="1"/>
  <c r="AC46" i="19"/>
  <c r="J66" i="24" s="1"/>
  <c r="AA46" i="19"/>
  <c r="AA47" i="19" s="1"/>
  <c r="W46" i="19"/>
  <c r="W47" i="19" s="1"/>
  <c r="U46" i="19"/>
  <c r="U47" i="19" s="1"/>
  <c r="BZ40" i="19"/>
  <c r="BT40" i="19"/>
  <c r="BN40" i="19"/>
  <c r="BH40" i="19"/>
  <c r="BB40" i="19"/>
  <c r="AV40" i="19"/>
  <c r="AP40" i="19"/>
  <c r="AJ40" i="19"/>
  <c r="AD40" i="19"/>
  <c r="X40" i="19"/>
  <c r="P40" i="19"/>
  <c r="Q40" i="19" s="1"/>
  <c r="R40" i="19" s="1"/>
  <c r="L40" i="19"/>
  <c r="J40" i="19"/>
  <c r="BZ39" i="19"/>
  <c r="BT39" i="19"/>
  <c r="BN39" i="19"/>
  <c r="BH39" i="19"/>
  <c r="BB39" i="19"/>
  <c r="AV39" i="19"/>
  <c r="AP39" i="19"/>
  <c r="AJ39" i="19"/>
  <c r="AD39" i="19"/>
  <c r="X39" i="19"/>
  <c r="P39" i="19"/>
  <c r="Q39" i="19" s="1"/>
  <c r="R39" i="19" s="1"/>
  <c r="L39" i="19"/>
  <c r="J39" i="19"/>
  <c r="BZ38" i="19"/>
  <c r="BY38" i="19"/>
  <c r="BW38" i="19"/>
  <c r="BT38" i="19"/>
  <c r="BS38" i="19"/>
  <c r="BQ38" i="19"/>
  <c r="BN38" i="19"/>
  <c r="BM38" i="19"/>
  <c r="BK38" i="19"/>
  <c r="BH38" i="19"/>
  <c r="BG38" i="19"/>
  <c r="BE38" i="19"/>
  <c r="BB38" i="19"/>
  <c r="BA38" i="19"/>
  <c r="AY38" i="19"/>
  <c r="AV38" i="19"/>
  <c r="AU38" i="19"/>
  <c r="AS38" i="19"/>
  <c r="AP38" i="19"/>
  <c r="AO38" i="19"/>
  <c r="AM38" i="19"/>
  <c r="AJ38" i="19"/>
  <c r="AI38" i="19"/>
  <c r="AG38" i="19"/>
  <c r="AD38" i="19"/>
  <c r="AC38" i="19"/>
  <c r="AA38" i="19"/>
  <c r="X38" i="19"/>
  <c r="W38" i="19"/>
  <c r="U38" i="19"/>
  <c r="L38" i="19"/>
  <c r="J38" i="19"/>
  <c r="BZ37" i="19"/>
  <c r="BY37" i="19"/>
  <c r="N60" i="25" s="1"/>
  <c r="BT37" i="19"/>
  <c r="BS37" i="19"/>
  <c r="M60" i="25" s="1"/>
  <c r="BN37" i="19"/>
  <c r="BM37" i="19"/>
  <c r="L60" i="25" s="1"/>
  <c r="BH37" i="19"/>
  <c r="BG37" i="19"/>
  <c r="K60" i="25" s="1"/>
  <c r="BB37" i="19"/>
  <c r="BA37" i="19"/>
  <c r="J60" i="25" s="1"/>
  <c r="AV37" i="19"/>
  <c r="AU37" i="19"/>
  <c r="I60" i="25" s="1"/>
  <c r="AP37" i="19"/>
  <c r="AO37" i="19"/>
  <c r="H60" i="25" s="1"/>
  <c r="AJ37" i="19"/>
  <c r="AI37" i="19"/>
  <c r="G60" i="25" s="1"/>
  <c r="AD37" i="19"/>
  <c r="AC37" i="19"/>
  <c r="F60" i="25" s="1"/>
  <c r="X37" i="19"/>
  <c r="W37" i="19"/>
  <c r="E60" i="25" s="1"/>
  <c r="K37" i="19"/>
  <c r="CD37" i="19" s="1"/>
  <c r="BZ36" i="19"/>
  <c r="BY36" i="19"/>
  <c r="N59" i="25" s="1"/>
  <c r="BT36" i="19"/>
  <c r="BS36" i="19"/>
  <c r="M59" i="25" s="1"/>
  <c r="BN36" i="19"/>
  <c r="BM36" i="19"/>
  <c r="L59" i="25" s="1"/>
  <c r="BH36" i="19"/>
  <c r="BG36" i="19"/>
  <c r="K59" i="25" s="1"/>
  <c r="BB36" i="19"/>
  <c r="BA36" i="19"/>
  <c r="J59" i="25" s="1"/>
  <c r="AV36" i="19"/>
  <c r="AU36" i="19"/>
  <c r="I59" i="25" s="1"/>
  <c r="AP36" i="19"/>
  <c r="AO36" i="19"/>
  <c r="H59" i="25" s="1"/>
  <c r="AJ36" i="19"/>
  <c r="AI36" i="19"/>
  <c r="G59" i="25" s="1"/>
  <c r="AD36" i="19"/>
  <c r="AC36" i="19"/>
  <c r="F59" i="25" s="1"/>
  <c r="X36" i="19"/>
  <c r="W36" i="19"/>
  <c r="E59" i="25" s="1"/>
  <c r="K36" i="19"/>
  <c r="CD36" i="19" s="1"/>
  <c r="CD35" i="19"/>
  <c r="BZ35" i="19"/>
  <c r="BT35" i="19"/>
  <c r="BN35" i="19"/>
  <c r="BH35" i="19"/>
  <c r="BB35" i="19"/>
  <c r="AV35" i="19"/>
  <c r="AP35" i="19"/>
  <c r="AJ35" i="19"/>
  <c r="AD35" i="19"/>
  <c r="X35" i="19"/>
  <c r="O35" i="19"/>
  <c r="P35" i="19" s="1"/>
  <c r="Q35" i="19" s="1"/>
  <c r="R35" i="19" s="1"/>
  <c r="N35" i="19"/>
  <c r="CH35" i="19" s="1"/>
  <c r="L35" i="19"/>
  <c r="J35" i="19"/>
  <c r="BZ34" i="19"/>
  <c r="BY34" i="19"/>
  <c r="N58" i="25" s="1"/>
  <c r="BW34" i="19"/>
  <c r="BT34" i="19"/>
  <c r="BS34" i="19"/>
  <c r="M58" i="25" s="1"/>
  <c r="BQ34" i="19"/>
  <c r="BN34" i="19"/>
  <c r="BM34" i="19"/>
  <c r="L58" i="25" s="1"/>
  <c r="BK34" i="19"/>
  <c r="BH34" i="19"/>
  <c r="BG34" i="19"/>
  <c r="K58" i="25" s="1"/>
  <c r="BE34" i="19"/>
  <c r="BB34" i="19"/>
  <c r="BA34" i="19"/>
  <c r="J58" i="25" s="1"/>
  <c r="AY34" i="19"/>
  <c r="AV34" i="19"/>
  <c r="AU34" i="19"/>
  <c r="I58" i="25" s="1"/>
  <c r="AS34" i="19"/>
  <c r="AP34" i="19"/>
  <c r="AO34" i="19"/>
  <c r="H58" i="25" s="1"/>
  <c r="AM34" i="19"/>
  <c r="AJ34" i="19"/>
  <c r="AI34" i="19"/>
  <c r="G58" i="25" s="1"/>
  <c r="AG34" i="19"/>
  <c r="AD34" i="19"/>
  <c r="AC34" i="19"/>
  <c r="F58" i="25" s="1"/>
  <c r="AA34" i="19"/>
  <c r="X34" i="19"/>
  <c r="W34" i="19"/>
  <c r="E58" i="25" s="1"/>
  <c r="U34" i="19"/>
  <c r="L34" i="19"/>
  <c r="J34" i="19"/>
  <c r="CD33" i="19"/>
  <c r="BZ33" i="19"/>
  <c r="BT33" i="19"/>
  <c r="BN33" i="19"/>
  <c r="BH33" i="19"/>
  <c r="BB33" i="19"/>
  <c r="AV33" i="19"/>
  <c r="AP33" i="19"/>
  <c r="AJ33" i="19"/>
  <c r="AD33" i="19"/>
  <c r="X33" i="19"/>
  <c r="N33" i="19"/>
  <c r="CH33" i="19" s="1"/>
  <c r="L33" i="19"/>
  <c r="J33" i="19"/>
  <c r="CD32" i="19"/>
  <c r="BZ32" i="19"/>
  <c r="BT32" i="19"/>
  <c r="BN32" i="19"/>
  <c r="BH32" i="19"/>
  <c r="BB32" i="19"/>
  <c r="AV32" i="19"/>
  <c r="AP32" i="19"/>
  <c r="AJ32" i="19"/>
  <c r="AD32" i="19"/>
  <c r="X32" i="19"/>
  <c r="O32" i="19"/>
  <c r="P32" i="19" s="1"/>
  <c r="Q32" i="19" s="1"/>
  <c r="R32" i="19" s="1"/>
  <c r="N32" i="19"/>
  <c r="CH32" i="19" s="1"/>
  <c r="L32" i="19"/>
  <c r="J32" i="19"/>
  <c r="BZ31" i="19"/>
  <c r="BY31" i="19"/>
  <c r="N56" i="25" s="1"/>
  <c r="BW31" i="19"/>
  <c r="BT31" i="19"/>
  <c r="BS31" i="19"/>
  <c r="M56" i="25" s="1"/>
  <c r="BQ31" i="19"/>
  <c r="BN31" i="19"/>
  <c r="BM31" i="19"/>
  <c r="L56" i="25" s="1"/>
  <c r="BK31" i="19"/>
  <c r="BH31" i="19"/>
  <c r="BG31" i="19"/>
  <c r="K56" i="25" s="1"/>
  <c r="BE31" i="19"/>
  <c r="BB31" i="19"/>
  <c r="BA31" i="19"/>
  <c r="J56" i="25" s="1"/>
  <c r="AY31" i="19"/>
  <c r="AV31" i="19"/>
  <c r="AU31" i="19"/>
  <c r="I56" i="25" s="1"/>
  <c r="AS31" i="19"/>
  <c r="AP31" i="19"/>
  <c r="AO31" i="19"/>
  <c r="H56" i="25" s="1"/>
  <c r="AM31" i="19"/>
  <c r="AJ31" i="19"/>
  <c r="AI31" i="19"/>
  <c r="G56" i="25" s="1"/>
  <c r="AG31" i="19"/>
  <c r="AD31" i="19"/>
  <c r="AC31" i="19"/>
  <c r="F56" i="25" s="1"/>
  <c r="AA31" i="19"/>
  <c r="X31" i="19"/>
  <c r="W31" i="19"/>
  <c r="E56" i="25" s="1"/>
  <c r="U31" i="19"/>
  <c r="L31" i="19"/>
  <c r="J31" i="19"/>
  <c r="CD30" i="19"/>
  <c r="BZ30" i="19"/>
  <c r="BT30" i="19"/>
  <c r="BN30" i="19"/>
  <c r="BH30" i="19"/>
  <c r="BB30" i="19"/>
  <c r="AV30" i="19"/>
  <c r="AP30" i="19"/>
  <c r="AJ30" i="19"/>
  <c r="AD30" i="19"/>
  <c r="X30" i="19"/>
  <c r="O30" i="19"/>
  <c r="P30" i="19" s="1"/>
  <c r="Q30" i="19" s="1"/>
  <c r="R30" i="19" s="1"/>
  <c r="N30" i="19"/>
  <c r="CH30" i="19" s="1"/>
  <c r="L30" i="19"/>
  <c r="J30" i="19"/>
  <c r="BZ29" i="19"/>
  <c r="BY29" i="19"/>
  <c r="N53" i="25" s="1"/>
  <c r="BW29" i="19"/>
  <c r="BT29" i="19"/>
  <c r="BS29" i="19"/>
  <c r="M53" i="25" s="1"/>
  <c r="BQ29" i="19"/>
  <c r="BN29" i="19"/>
  <c r="BM29" i="19"/>
  <c r="L53" i="25" s="1"/>
  <c r="BK29" i="19"/>
  <c r="BH29" i="19"/>
  <c r="BG29" i="19"/>
  <c r="K53" i="25" s="1"/>
  <c r="BE29" i="19"/>
  <c r="BB29" i="19"/>
  <c r="BA29" i="19"/>
  <c r="J53" i="25" s="1"/>
  <c r="AY29" i="19"/>
  <c r="AV29" i="19"/>
  <c r="AU29" i="19"/>
  <c r="I53" i="25" s="1"/>
  <c r="AS29" i="19"/>
  <c r="AP29" i="19"/>
  <c r="AO29" i="19"/>
  <c r="H53" i="25" s="1"/>
  <c r="AM29" i="19"/>
  <c r="AJ29" i="19"/>
  <c r="AI29" i="19"/>
  <c r="G53" i="25" s="1"/>
  <c r="AG29" i="19"/>
  <c r="AD29" i="19"/>
  <c r="AC29" i="19"/>
  <c r="F53" i="25" s="1"/>
  <c r="AA29" i="19"/>
  <c r="X29" i="19"/>
  <c r="W29" i="19"/>
  <c r="E53" i="25" s="1"/>
  <c r="U29" i="19"/>
  <c r="L29" i="19"/>
  <c r="J29" i="19"/>
  <c r="CD28" i="19"/>
  <c r="BZ28" i="19"/>
  <c r="BT28" i="19"/>
  <c r="BN28" i="19"/>
  <c r="BH28" i="19"/>
  <c r="BB28" i="19"/>
  <c r="AV28" i="19"/>
  <c r="AP28" i="19"/>
  <c r="AJ28" i="19"/>
  <c r="AD28" i="19"/>
  <c r="X28" i="19"/>
  <c r="O28" i="19"/>
  <c r="P28" i="19" s="1"/>
  <c r="Q28" i="19" s="1"/>
  <c r="R28" i="19" s="1"/>
  <c r="N28" i="19"/>
  <c r="CH28" i="19" s="1"/>
  <c r="L28" i="19"/>
  <c r="J28" i="19"/>
  <c r="CD27" i="19"/>
  <c r="BZ27" i="19"/>
  <c r="BT27" i="19"/>
  <c r="BN27" i="19"/>
  <c r="BH27" i="19"/>
  <c r="BB27" i="19"/>
  <c r="AV27" i="19"/>
  <c r="AP27" i="19"/>
  <c r="AJ27" i="19"/>
  <c r="AD27" i="19"/>
  <c r="X27" i="19"/>
  <c r="O27" i="19"/>
  <c r="P27" i="19" s="1"/>
  <c r="Q27" i="19" s="1"/>
  <c r="R27" i="19" s="1"/>
  <c r="N27" i="19"/>
  <c r="CH27" i="19" s="1"/>
  <c r="L27" i="19"/>
  <c r="J27" i="19"/>
  <c r="CD26" i="19"/>
  <c r="BZ26" i="19"/>
  <c r="BT26" i="19"/>
  <c r="BN26" i="19"/>
  <c r="BH26" i="19"/>
  <c r="BB26" i="19"/>
  <c r="AV26" i="19"/>
  <c r="AP26" i="19"/>
  <c r="AJ26" i="19"/>
  <c r="AD26" i="19"/>
  <c r="X26" i="19"/>
  <c r="O26" i="19"/>
  <c r="P26" i="19" s="1"/>
  <c r="Q26" i="19" s="1"/>
  <c r="R26" i="19" s="1"/>
  <c r="N26" i="19"/>
  <c r="CH26" i="19" s="1"/>
  <c r="L26" i="19"/>
  <c r="J26" i="19"/>
  <c r="BZ25" i="19"/>
  <c r="BY25" i="19"/>
  <c r="N50" i="25" s="1"/>
  <c r="BW25" i="19"/>
  <c r="BT25" i="19"/>
  <c r="BS25" i="19"/>
  <c r="M50" i="25" s="1"/>
  <c r="BQ25" i="19"/>
  <c r="BN25" i="19"/>
  <c r="BM25" i="19"/>
  <c r="L50" i="25" s="1"/>
  <c r="BK25" i="19"/>
  <c r="BH25" i="19"/>
  <c r="BG25" i="19"/>
  <c r="K50" i="25" s="1"/>
  <c r="BE25" i="19"/>
  <c r="BB25" i="19"/>
  <c r="BA25" i="19"/>
  <c r="J50" i="25" s="1"/>
  <c r="AY25" i="19"/>
  <c r="AV25" i="19"/>
  <c r="AU25" i="19"/>
  <c r="I50" i="25" s="1"/>
  <c r="AS25" i="19"/>
  <c r="AP25" i="19"/>
  <c r="AO25" i="19"/>
  <c r="H50" i="25" s="1"/>
  <c r="AM25" i="19"/>
  <c r="AJ25" i="19"/>
  <c r="AI25" i="19"/>
  <c r="G50" i="25" s="1"/>
  <c r="AG25" i="19"/>
  <c r="AD25" i="19"/>
  <c r="AC25" i="19"/>
  <c r="F50" i="25" s="1"/>
  <c r="AA25" i="19"/>
  <c r="X25" i="19"/>
  <c r="W25" i="19"/>
  <c r="E50" i="25" s="1"/>
  <c r="U25" i="19"/>
  <c r="L25" i="19"/>
  <c r="J25" i="19"/>
  <c r="CD24" i="19"/>
  <c r="BT24" i="19"/>
  <c r="BN24" i="19"/>
  <c r="BH24" i="19"/>
  <c r="BB24" i="19"/>
  <c r="AP24" i="19"/>
  <c r="AJ24" i="19"/>
  <c r="AD24" i="19"/>
  <c r="X24" i="19"/>
  <c r="O24" i="19"/>
  <c r="P24" i="19" s="1"/>
  <c r="Q24" i="19" s="1"/>
  <c r="R24" i="19" s="1"/>
  <c r="N24" i="19"/>
  <c r="CH24" i="19" s="1"/>
  <c r="L24" i="19"/>
  <c r="J24" i="19"/>
  <c r="CD23" i="19"/>
  <c r="BT23" i="19"/>
  <c r="BN23" i="19"/>
  <c r="BH23" i="19"/>
  <c r="BB23" i="19"/>
  <c r="AP23" i="19"/>
  <c r="AJ23" i="19"/>
  <c r="AD23" i="19"/>
  <c r="X23" i="19"/>
  <c r="O23" i="19"/>
  <c r="P23" i="19" s="1"/>
  <c r="Q23" i="19" s="1"/>
  <c r="R23" i="19" s="1"/>
  <c r="N23" i="19"/>
  <c r="CH23" i="19" s="1"/>
  <c r="L23" i="19"/>
  <c r="J23" i="19"/>
  <c r="N49" i="25"/>
  <c r="M49" i="25"/>
  <c r="L49" i="25"/>
  <c r="K49" i="25"/>
  <c r="J49" i="25"/>
  <c r="I49" i="25"/>
  <c r="H49" i="25"/>
  <c r="G49" i="25"/>
  <c r="F49" i="25"/>
  <c r="E49" i="25"/>
  <c r="CD21" i="19"/>
  <c r="BT21" i="19"/>
  <c r="BN21" i="19"/>
  <c r="BH21" i="19"/>
  <c r="BB21" i="19"/>
  <c r="AP21" i="19"/>
  <c r="AJ21" i="19"/>
  <c r="AD21" i="19"/>
  <c r="X21" i="19"/>
  <c r="O21" i="19"/>
  <c r="P21" i="19" s="1"/>
  <c r="Q21" i="19" s="1"/>
  <c r="R21" i="19" s="1"/>
  <c r="N21" i="19"/>
  <c r="CH21" i="19" s="1"/>
  <c r="L21" i="19"/>
  <c r="J21" i="19"/>
  <c r="CD20" i="19"/>
  <c r="BT20" i="19"/>
  <c r="BN20" i="19"/>
  <c r="BH20" i="19"/>
  <c r="BB20" i="19"/>
  <c r="AP20" i="19"/>
  <c r="AJ20" i="19"/>
  <c r="AD20" i="19"/>
  <c r="X20" i="19"/>
  <c r="O20" i="19"/>
  <c r="P20" i="19" s="1"/>
  <c r="Q20" i="19" s="1"/>
  <c r="R20" i="19" s="1"/>
  <c r="N20" i="19"/>
  <c r="CH20" i="19" s="1"/>
  <c r="L20" i="19"/>
  <c r="J20" i="19"/>
  <c r="N48" i="25"/>
  <c r="M48" i="25"/>
  <c r="L48" i="25"/>
  <c r="K48" i="25"/>
  <c r="J48" i="25"/>
  <c r="I48" i="25"/>
  <c r="H48" i="25"/>
  <c r="G48" i="25"/>
  <c r="F48" i="25"/>
  <c r="E48" i="25"/>
  <c r="CD18" i="19"/>
  <c r="BT18" i="19"/>
  <c r="BN18" i="19"/>
  <c r="BH18" i="19"/>
  <c r="BB18" i="19"/>
  <c r="AP18" i="19"/>
  <c r="AJ18" i="19"/>
  <c r="AD18" i="19"/>
  <c r="X18" i="19"/>
  <c r="N18" i="19"/>
  <c r="CH18" i="19" s="1"/>
  <c r="L18" i="19"/>
  <c r="J18" i="19"/>
  <c r="CD17" i="19"/>
  <c r="BT17" i="19"/>
  <c r="BN17" i="19"/>
  <c r="BH17" i="19"/>
  <c r="BB17" i="19"/>
  <c r="AP17" i="19"/>
  <c r="AJ17" i="19"/>
  <c r="AD17" i="19"/>
  <c r="X17" i="19"/>
  <c r="N17" i="19"/>
  <c r="CH17" i="19" s="1"/>
  <c r="L17" i="19"/>
  <c r="J17" i="19"/>
  <c r="R60" i="25"/>
  <c r="R59" i="25"/>
  <c r="R58" i="25"/>
  <c r="R57" i="25"/>
  <c r="R56" i="25"/>
  <c r="R54" i="25"/>
  <c r="R53" i="25"/>
  <c r="R51" i="25"/>
  <c r="R50" i="25"/>
  <c r="R49" i="25"/>
  <c r="O16" i="19"/>
  <c r="P16" i="19" s="1"/>
  <c r="Q16" i="19" s="1"/>
  <c r="R16" i="19" s="1"/>
  <c r="N16" i="19"/>
  <c r="CD15" i="19"/>
  <c r="BT15" i="19"/>
  <c r="BN15" i="19"/>
  <c r="BH15" i="19"/>
  <c r="BB15" i="19"/>
  <c r="AP15" i="19"/>
  <c r="AJ15" i="19"/>
  <c r="AD15" i="19"/>
  <c r="X15" i="19"/>
  <c r="O15" i="19"/>
  <c r="P15" i="19" s="1"/>
  <c r="Q15" i="19" s="1"/>
  <c r="R15" i="19" s="1"/>
  <c r="N15" i="19"/>
  <c r="CH15" i="19" s="1"/>
  <c r="L15" i="19"/>
  <c r="J15" i="19"/>
  <c r="CD14" i="19"/>
  <c r="BT14" i="19"/>
  <c r="BN14" i="19"/>
  <c r="BH14" i="19"/>
  <c r="BB14" i="19"/>
  <c r="AP14" i="19"/>
  <c r="AJ14" i="19"/>
  <c r="AD14" i="19"/>
  <c r="X14" i="19"/>
  <c r="O14" i="19"/>
  <c r="P14" i="19" s="1"/>
  <c r="Q14" i="19" s="1"/>
  <c r="R14" i="19" s="1"/>
  <c r="N14" i="19"/>
  <c r="CH14" i="19" s="1"/>
  <c r="L14" i="19"/>
  <c r="J14" i="19"/>
  <c r="BX13" i="19"/>
  <c r="BY13" i="19" s="1"/>
  <c r="N46" i="25" s="1"/>
  <c r="BR13" i="19"/>
  <c r="BS13" i="19" s="1"/>
  <c r="M46" i="25" s="1"/>
  <c r="BL13" i="19"/>
  <c r="BM13" i="19" s="1"/>
  <c r="L46" i="25" s="1"/>
  <c r="BF13" i="19"/>
  <c r="BG13" i="19" s="1"/>
  <c r="K46" i="25" s="1"/>
  <c r="BE13" i="19"/>
  <c r="AZ13" i="19"/>
  <c r="BA13" i="19" s="1"/>
  <c r="J46" i="25" s="1"/>
  <c r="AY13" i="19"/>
  <c r="AT13" i="19"/>
  <c r="AU13" i="19" s="1"/>
  <c r="I46" i="25" s="1"/>
  <c r="AN13" i="19"/>
  <c r="AO13" i="19" s="1"/>
  <c r="H46" i="25" s="1"/>
  <c r="AH13" i="19"/>
  <c r="AI13" i="19" s="1"/>
  <c r="G46" i="25" s="1"/>
  <c r="AF13" i="19"/>
  <c r="AG13" i="19" s="1"/>
  <c r="AB13" i="19"/>
  <c r="AC13" i="19" s="1"/>
  <c r="F46" i="25" s="1"/>
  <c r="V13" i="19"/>
  <c r="W13" i="19" s="1"/>
  <c r="E46" i="25" s="1"/>
  <c r="BZ12" i="19"/>
  <c r="BT12" i="19"/>
  <c r="BN12" i="19"/>
  <c r="BH12" i="19"/>
  <c r="BB12" i="19"/>
  <c r="AV12" i="19"/>
  <c r="AP12" i="19"/>
  <c r="AJ12" i="19"/>
  <c r="AD12" i="19"/>
  <c r="X12" i="19"/>
  <c r="M12" i="19"/>
  <c r="K12" i="19"/>
  <c r="CD12" i="19" s="1"/>
  <c r="BZ11" i="19"/>
  <c r="BY11" i="19"/>
  <c r="N44" i="25" s="1"/>
  <c r="BW11" i="19"/>
  <c r="BT11" i="19"/>
  <c r="BS11" i="19"/>
  <c r="M44" i="25" s="1"/>
  <c r="BQ11" i="19"/>
  <c r="BN11" i="19"/>
  <c r="BM11" i="19"/>
  <c r="L44" i="25" s="1"/>
  <c r="BK11" i="19"/>
  <c r="BH11" i="19"/>
  <c r="BG11" i="19"/>
  <c r="K44" i="25" s="1"/>
  <c r="BE11" i="19"/>
  <c r="BB11" i="19"/>
  <c r="BA11" i="19"/>
  <c r="J44" i="25" s="1"/>
  <c r="AY11" i="19"/>
  <c r="AV11" i="19"/>
  <c r="AU11" i="19"/>
  <c r="I44" i="25" s="1"/>
  <c r="AS11" i="19"/>
  <c r="AP11" i="19"/>
  <c r="AO11" i="19"/>
  <c r="H44" i="25" s="1"/>
  <c r="AM11" i="19"/>
  <c r="AJ11" i="19"/>
  <c r="AI11" i="19"/>
  <c r="G44" i="25" s="1"/>
  <c r="AG11" i="19"/>
  <c r="AD11" i="19"/>
  <c r="AC11" i="19"/>
  <c r="F44" i="25" s="1"/>
  <c r="AA11" i="19"/>
  <c r="X11" i="19"/>
  <c r="W11" i="19"/>
  <c r="E44" i="25" s="1"/>
  <c r="U11" i="19"/>
  <c r="L11" i="19"/>
  <c r="J11" i="19"/>
  <c r="CD10" i="19"/>
  <c r="BZ10" i="19"/>
  <c r="BT10" i="19"/>
  <c r="BN10" i="19"/>
  <c r="BH10" i="19"/>
  <c r="BB10" i="19"/>
  <c r="AV10" i="19"/>
  <c r="AP10" i="19"/>
  <c r="AJ10" i="19"/>
  <c r="AD10" i="19"/>
  <c r="X10" i="19"/>
  <c r="O10" i="19"/>
  <c r="P10" i="19" s="1"/>
  <c r="Q10" i="19" s="1"/>
  <c r="R10" i="19" s="1"/>
  <c r="N10" i="19"/>
  <c r="CH10" i="19" s="1"/>
  <c r="L10" i="19"/>
  <c r="J10" i="19"/>
  <c r="CD9" i="19"/>
  <c r="BZ9" i="19"/>
  <c r="BT9" i="19"/>
  <c r="BN9" i="19"/>
  <c r="BH9" i="19"/>
  <c r="BB9" i="19"/>
  <c r="AV9" i="19"/>
  <c r="AP9" i="19"/>
  <c r="AJ9" i="19"/>
  <c r="AD9" i="19"/>
  <c r="X9" i="19"/>
  <c r="O9" i="19"/>
  <c r="P9" i="19" s="1"/>
  <c r="Q9" i="19" s="1"/>
  <c r="R9" i="19" s="1"/>
  <c r="N9" i="19"/>
  <c r="CH9" i="19" s="1"/>
  <c r="L9" i="19"/>
  <c r="J9" i="19"/>
  <c r="CD8" i="19"/>
  <c r="BZ8" i="19"/>
  <c r="BT8" i="19"/>
  <c r="BN8" i="19"/>
  <c r="BH8" i="19"/>
  <c r="BB8" i="19"/>
  <c r="AV8" i="19"/>
  <c r="AP8" i="19"/>
  <c r="AJ8" i="19"/>
  <c r="AD8" i="19"/>
  <c r="X8" i="19"/>
  <c r="O8" i="19"/>
  <c r="P8" i="19" s="1"/>
  <c r="Q8" i="19" s="1"/>
  <c r="R8" i="19" s="1"/>
  <c r="N8" i="19"/>
  <c r="CH8" i="19" s="1"/>
  <c r="L8" i="19"/>
  <c r="J8" i="19"/>
  <c r="BX7" i="19"/>
  <c r="BY7" i="19" s="1"/>
  <c r="N43" i="25" s="1"/>
  <c r="BR7" i="19"/>
  <c r="BS7" i="19" s="1"/>
  <c r="M43" i="25" s="1"/>
  <c r="BL7" i="19"/>
  <c r="BM7" i="19" s="1"/>
  <c r="L43" i="25" s="1"/>
  <c r="BK7" i="19"/>
  <c r="BF7" i="19"/>
  <c r="BG7" i="19" s="1"/>
  <c r="K43" i="25" s="1"/>
  <c r="AZ7" i="19"/>
  <c r="BA7" i="19" s="1"/>
  <c r="J43" i="25" s="1"/>
  <c r="AT7" i="19"/>
  <c r="AU7" i="19" s="1"/>
  <c r="I43" i="25" s="1"/>
  <c r="AN7" i="19"/>
  <c r="AO7" i="19" s="1"/>
  <c r="H43" i="25" s="1"/>
  <c r="AM7" i="19"/>
  <c r="AH7" i="19"/>
  <c r="AI7" i="19" s="1"/>
  <c r="G43" i="25" s="1"/>
  <c r="AF7" i="19"/>
  <c r="AG7" i="19" s="1"/>
  <c r="AB7" i="19"/>
  <c r="AC7" i="19" s="1"/>
  <c r="F43" i="25" s="1"/>
  <c r="V7" i="19"/>
  <c r="W7" i="19" s="1"/>
  <c r="E43" i="25" s="1"/>
  <c r="CD6" i="19"/>
  <c r="BZ6" i="19"/>
  <c r="BT6" i="19"/>
  <c r="BN6" i="19"/>
  <c r="BH6" i="19"/>
  <c r="BB6" i="19"/>
  <c r="AV6" i="19"/>
  <c r="AP6" i="19"/>
  <c r="AJ6" i="19"/>
  <c r="AD6" i="19"/>
  <c r="X6" i="19"/>
  <c r="O6" i="19"/>
  <c r="P6" i="19" s="1"/>
  <c r="Q6" i="19" s="1"/>
  <c r="R6" i="19" s="1"/>
  <c r="N6" i="19"/>
  <c r="CH6" i="19" s="1"/>
  <c r="L6" i="19"/>
  <c r="J6" i="19"/>
  <c r="CD5" i="19"/>
  <c r="BZ5" i="19"/>
  <c r="BT5" i="19"/>
  <c r="BN5" i="19"/>
  <c r="BH5" i="19"/>
  <c r="BB5" i="19"/>
  <c r="AV5" i="19"/>
  <c r="AP5" i="19"/>
  <c r="AJ5" i="19"/>
  <c r="AD5" i="19"/>
  <c r="X5" i="19"/>
  <c r="O5" i="19"/>
  <c r="P5" i="19" s="1"/>
  <c r="Q5" i="19" s="1"/>
  <c r="R5" i="19" s="1"/>
  <c r="N5" i="19"/>
  <c r="CH5" i="19" s="1"/>
  <c r="L5" i="19"/>
  <c r="J5" i="19"/>
  <c r="BX4" i="19"/>
  <c r="BY4" i="19" s="1"/>
  <c r="BR4" i="19"/>
  <c r="BS4" i="19" s="1"/>
  <c r="BL4" i="19"/>
  <c r="BM4" i="19" s="1"/>
  <c r="BK4" i="19"/>
  <c r="BF4" i="19"/>
  <c r="BG4" i="19" s="1"/>
  <c r="AZ4" i="19"/>
  <c r="BA4" i="19" s="1"/>
  <c r="AT4" i="19"/>
  <c r="AU4" i="19" s="1"/>
  <c r="AN4" i="19"/>
  <c r="AO4" i="19" s="1"/>
  <c r="AM4" i="19"/>
  <c r="AH4" i="19"/>
  <c r="AI4" i="19" s="1"/>
  <c r="AF4" i="19"/>
  <c r="AG4" i="19" s="1"/>
  <c r="AB4" i="19"/>
  <c r="AC4" i="19" s="1"/>
  <c r="V4" i="19"/>
  <c r="W4" i="19" s="1"/>
  <c r="W3" i="19"/>
  <c r="AC3" i="19" s="1"/>
  <c r="AI3" i="19" s="1"/>
  <c r="AO3" i="19" s="1"/>
  <c r="AU3" i="19" s="1"/>
  <c r="BA3" i="19" s="1"/>
  <c r="BG3" i="19" s="1"/>
  <c r="BM3" i="19" s="1"/>
  <c r="BS3" i="19" s="1"/>
  <c r="BY3" i="19" s="1"/>
  <c r="V3" i="19"/>
  <c r="AB3" i="19" s="1"/>
  <c r="AH3" i="19" s="1"/>
  <c r="AN3" i="19" s="1"/>
  <c r="AT3" i="19" s="1"/>
  <c r="AZ3" i="19" s="1"/>
  <c r="BF3" i="19" s="1"/>
  <c r="BL3" i="19" s="1"/>
  <c r="BR3" i="19" s="1"/>
  <c r="BX3" i="19" s="1"/>
  <c r="U3" i="19"/>
  <c r="AA3" i="19" s="1"/>
  <c r="AG3" i="19" s="1"/>
  <c r="AM3" i="19" s="1"/>
  <c r="AS3" i="19" s="1"/>
  <c r="AY3" i="19" s="1"/>
  <c r="BE3" i="19" s="1"/>
  <c r="BK3" i="19" s="1"/>
  <c r="BQ3" i="19" s="1"/>
  <c r="BW3" i="19" s="1"/>
  <c r="T3" i="19"/>
  <c r="Z3" i="19" s="1"/>
  <c r="AF3" i="19" s="1"/>
  <c r="AL3" i="19" s="1"/>
  <c r="AR3" i="19" s="1"/>
  <c r="AX3" i="19" s="1"/>
  <c r="BD3" i="19" s="1"/>
  <c r="BJ3" i="19" s="1"/>
  <c r="BP3" i="19" s="1"/>
  <c r="BV3" i="19" s="1"/>
  <c r="DK88" i="18"/>
  <c r="DI88" i="18"/>
  <c r="DG88" i="18"/>
  <c r="DE88" i="18"/>
  <c r="DC88" i="18"/>
  <c r="DA88" i="18"/>
  <c r="CY88" i="18"/>
  <c r="O83" i="18"/>
  <c r="P83" i="18" s="1"/>
  <c r="Q83" i="18" s="1"/>
  <c r="R83" i="18" s="1"/>
  <c r="M78" i="18"/>
  <c r="I76" i="18"/>
  <c r="CT75" i="18"/>
  <c r="CL75" i="18"/>
  <c r="CD75" i="18"/>
  <c r="BV75" i="18"/>
  <c r="BN75" i="18"/>
  <c r="BF75" i="18"/>
  <c r="AX75" i="18"/>
  <c r="AP75" i="18"/>
  <c r="AH75" i="18"/>
  <c r="Z75" i="18"/>
  <c r="L75" i="18"/>
  <c r="J75" i="18"/>
  <c r="CT74" i="18"/>
  <c r="CL74" i="18"/>
  <c r="CD74" i="18"/>
  <c r="BV74" i="18"/>
  <c r="BN74" i="18"/>
  <c r="BF74" i="18"/>
  <c r="AX74" i="18"/>
  <c r="AP74" i="18"/>
  <c r="AH74" i="18"/>
  <c r="Z74" i="18"/>
  <c r="L74" i="18"/>
  <c r="J74" i="18"/>
  <c r="DM73" i="18"/>
  <c r="CT73" i="18"/>
  <c r="CR73" i="18"/>
  <c r="CR81" i="18" s="1"/>
  <c r="CR82" i="18" s="1"/>
  <c r="R85" i="24" s="1"/>
  <c r="CO73" i="18"/>
  <c r="CO81" i="18" s="1"/>
  <c r="CO82" i="18" s="1"/>
  <c r="CL73" i="18"/>
  <c r="CJ73" i="18"/>
  <c r="CJ81" i="18" s="1"/>
  <c r="CJ82" i="18" s="1"/>
  <c r="Q85" i="24" s="1"/>
  <c r="CG73" i="18"/>
  <c r="CG81" i="18" s="1"/>
  <c r="CG82" i="18" s="1"/>
  <c r="CD73" i="18"/>
  <c r="CB73" i="18"/>
  <c r="CB81" i="18" s="1"/>
  <c r="CB82" i="18" s="1"/>
  <c r="P85" i="24" s="1"/>
  <c r="BY73" i="18"/>
  <c r="BY81" i="18" s="1"/>
  <c r="BY82" i="18" s="1"/>
  <c r="BV73" i="18"/>
  <c r="BT73" i="18"/>
  <c r="BT81" i="18" s="1"/>
  <c r="BT82" i="18" s="1"/>
  <c r="O85" i="24" s="1"/>
  <c r="BQ73" i="18"/>
  <c r="BQ81" i="18" s="1"/>
  <c r="BQ82" i="18" s="1"/>
  <c r="BN73" i="18"/>
  <c r="BL73" i="18"/>
  <c r="BL81" i="18" s="1"/>
  <c r="BL82" i="18" s="1"/>
  <c r="N85" i="24" s="1"/>
  <c r="BI73" i="18"/>
  <c r="BI81" i="18" s="1"/>
  <c r="BI82" i="18" s="1"/>
  <c r="BF73" i="18"/>
  <c r="BD73" i="18"/>
  <c r="BD81" i="18" s="1"/>
  <c r="BD82" i="18" s="1"/>
  <c r="M85" i="24" s="1"/>
  <c r="BA73" i="18"/>
  <c r="BA81" i="18" s="1"/>
  <c r="BA82" i="18" s="1"/>
  <c r="AX73" i="18"/>
  <c r="AV73" i="18"/>
  <c r="AV81" i="18" s="1"/>
  <c r="AV82" i="18" s="1"/>
  <c r="L85" i="24" s="1"/>
  <c r="AS73" i="18"/>
  <c r="AS81" i="18" s="1"/>
  <c r="AS82" i="18" s="1"/>
  <c r="AP73" i="18"/>
  <c r="AN73" i="18"/>
  <c r="AN81" i="18" s="1"/>
  <c r="AN82" i="18" s="1"/>
  <c r="K85" i="24" s="1"/>
  <c r="AK73" i="18"/>
  <c r="AK81" i="18" s="1"/>
  <c r="AK82" i="18" s="1"/>
  <c r="AH73" i="18"/>
  <c r="AG73" i="18"/>
  <c r="AG81" i="18" s="1"/>
  <c r="AG82" i="18" s="1"/>
  <c r="J85" i="24" s="1"/>
  <c r="AC73" i="18"/>
  <c r="AC81" i="18" s="1"/>
  <c r="AC82" i="18" s="1"/>
  <c r="Z73" i="18"/>
  <c r="Y73" i="18"/>
  <c r="Y81" i="18" s="1"/>
  <c r="Y82" i="18" s="1"/>
  <c r="I85" i="24" s="1"/>
  <c r="U73" i="18"/>
  <c r="U81" i="18" s="1"/>
  <c r="U82" i="18" s="1"/>
  <c r="O73" i="18"/>
  <c r="N73" i="18"/>
  <c r="L73" i="18"/>
  <c r="J73" i="18"/>
  <c r="CT72" i="18"/>
  <c r="CL72" i="18"/>
  <c r="CD72" i="18"/>
  <c r="BV72" i="18"/>
  <c r="BN72" i="18"/>
  <c r="BF72" i="18"/>
  <c r="AX72" i="18"/>
  <c r="AP72" i="18"/>
  <c r="AH72" i="18"/>
  <c r="Z72" i="18"/>
  <c r="M72" i="18"/>
  <c r="K72" i="18"/>
  <c r="DL71" i="18"/>
  <c r="DJ71" i="18"/>
  <c r="DH71" i="18"/>
  <c r="DF71" i="18"/>
  <c r="DD71" i="18"/>
  <c r="DB71" i="18"/>
  <c r="CZ71" i="18"/>
  <c r="CT71" i="18"/>
  <c r="CL71" i="18"/>
  <c r="CD71" i="18"/>
  <c r="BV71" i="18"/>
  <c r="BN71" i="18"/>
  <c r="BF71" i="18"/>
  <c r="AX71" i="18"/>
  <c r="AP71" i="18"/>
  <c r="AH71" i="18"/>
  <c r="Z71" i="18"/>
  <c r="O71" i="18"/>
  <c r="P71" i="18" s="1"/>
  <c r="Q71" i="18" s="1"/>
  <c r="R71" i="18" s="1"/>
  <c r="N71" i="18"/>
  <c r="L71" i="18"/>
  <c r="J71" i="18"/>
  <c r="CT70" i="18"/>
  <c r="CR70" i="18"/>
  <c r="N39" i="25" s="1"/>
  <c r="CO70" i="18"/>
  <c r="CL70" i="18"/>
  <c r="CJ70" i="18"/>
  <c r="M39" i="25" s="1"/>
  <c r="CG70" i="18"/>
  <c r="CD70" i="18"/>
  <c r="CB70" i="18"/>
  <c r="L39" i="25" s="1"/>
  <c r="BY70" i="18"/>
  <c r="BV70" i="18"/>
  <c r="BT70" i="18"/>
  <c r="K39" i="25" s="1"/>
  <c r="BQ70" i="18"/>
  <c r="BN70" i="18"/>
  <c r="BL70" i="18"/>
  <c r="J39" i="25" s="1"/>
  <c r="BI70" i="18"/>
  <c r="BF70" i="18"/>
  <c r="BD70" i="18"/>
  <c r="I39" i="25" s="1"/>
  <c r="BA70" i="18"/>
  <c r="AX70" i="18"/>
  <c r="AV70" i="18"/>
  <c r="H39" i="25" s="1"/>
  <c r="AS70" i="18"/>
  <c r="AP70" i="18"/>
  <c r="AN70" i="18"/>
  <c r="G39" i="25" s="1"/>
  <c r="AK70" i="18"/>
  <c r="AH70" i="18"/>
  <c r="AG70" i="18"/>
  <c r="F39" i="25" s="1"/>
  <c r="AC70" i="18"/>
  <c r="Z70" i="18"/>
  <c r="Y70" i="18"/>
  <c r="E39" i="25" s="1"/>
  <c r="U70" i="18"/>
  <c r="L70" i="18"/>
  <c r="J70" i="18"/>
  <c r="DL69" i="18"/>
  <c r="DJ69" i="18"/>
  <c r="DH69" i="18"/>
  <c r="DF69" i="18"/>
  <c r="DD69" i="18"/>
  <c r="DB69" i="18"/>
  <c r="CZ69" i="18"/>
  <c r="CT69" i="18"/>
  <c r="CL69" i="18"/>
  <c r="CD69" i="18"/>
  <c r="BV69" i="18"/>
  <c r="BN69" i="18"/>
  <c r="BF69" i="18"/>
  <c r="AX69" i="18"/>
  <c r="AP69" i="18"/>
  <c r="AH69" i="18"/>
  <c r="Z69" i="18"/>
  <c r="N69" i="18"/>
  <c r="L69" i="18"/>
  <c r="J69" i="18"/>
  <c r="DL68" i="18"/>
  <c r="DJ68" i="18"/>
  <c r="DH68" i="18"/>
  <c r="DF68" i="18"/>
  <c r="DD68" i="18"/>
  <c r="DB68" i="18"/>
  <c r="CZ68" i="18"/>
  <c r="CT68" i="18"/>
  <c r="CL68" i="18"/>
  <c r="CD68" i="18"/>
  <c r="BV68" i="18"/>
  <c r="BN68" i="18"/>
  <c r="BF68" i="18"/>
  <c r="AX68" i="18"/>
  <c r="AP68" i="18"/>
  <c r="AH68" i="18"/>
  <c r="Z68" i="18"/>
  <c r="O68" i="18"/>
  <c r="P68" i="18" s="1"/>
  <c r="Q68" i="18" s="1"/>
  <c r="R68" i="18" s="1"/>
  <c r="N68" i="18"/>
  <c r="L68" i="18"/>
  <c r="J68" i="18"/>
  <c r="CT67" i="18"/>
  <c r="CR67" i="18"/>
  <c r="N37" i="25" s="1"/>
  <c r="CO67" i="18"/>
  <c r="CL67" i="18"/>
  <c r="CJ67" i="18"/>
  <c r="M37" i="25" s="1"/>
  <c r="CG67" i="18"/>
  <c r="CD67" i="18"/>
  <c r="CB67" i="18"/>
  <c r="L37" i="25" s="1"/>
  <c r="BY67" i="18"/>
  <c r="BV67" i="18"/>
  <c r="BT67" i="18"/>
  <c r="K37" i="25" s="1"/>
  <c r="BQ67" i="18"/>
  <c r="BN67" i="18"/>
  <c r="BL67" i="18"/>
  <c r="J37" i="25" s="1"/>
  <c r="BI67" i="18"/>
  <c r="BF67" i="18"/>
  <c r="BD67" i="18"/>
  <c r="I37" i="25" s="1"/>
  <c r="BA67" i="18"/>
  <c r="AX67" i="18"/>
  <c r="AV67" i="18"/>
  <c r="H37" i="25" s="1"/>
  <c r="AS67" i="18"/>
  <c r="AP67" i="18"/>
  <c r="AN67" i="18"/>
  <c r="G37" i="25" s="1"/>
  <c r="AK67" i="18"/>
  <c r="AH67" i="18"/>
  <c r="AG67" i="18"/>
  <c r="F37" i="25" s="1"/>
  <c r="AC67" i="18"/>
  <c r="Z67" i="18"/>
  <c r="Y67" i="18"/>
  <c r="E37" i="25" s="1"/>
  <c r="U67" i="18"/>
  <c r="L67" i="18"/>
  <c r="J67" i="18"/>
  <c r="CT66" i="18"/>
  <c r="CL66" i="18"/>
  <c r="CD66" i="18"/>
  <c r="BV66" i="18"/>
  <c r="BN66" i="18"/>
  <c r="BF66" i="18"/>
  <c r="AX66" i="18"/>
  <c r="AP66" i="18"/>
  <c r="AH66" i="18"/>
  <c r="Z66" i="18"/>
  <c r="M66" i="18"/>
  <c r="K66" i="18"/>
  <c r="DL65" i="18"/>
  <c r="DJ65" i="18"/>
  <c r="DH65" i="18"/>
  <c r="DF65" i="18"/>
  <c r="DD65" i="18"/>
  <c r="DB65" i="18"/>
  <c r="CZ65" i="18"/>
  <c r="CT65" i="18"/>
  <c r="CL65" i="18"/>
  <c r="CD65" i="18"/>
  <c r="BV65" i="18"/>
  <c r="BN65" i="18"/>
  <c r="BF65" i="18"/>
  <c r="AX65" i="18"/>
  <c r="AP65" i="18"/>
  <c r="AH65" i="18"/>
  <c r="Z65" i="18"/>
  <c r="O65" i="18"/>
  <c r="P65" i="18" s="1"/>
  <c r="Q65" i="18" s="1"/>
  <c r="R65" i="18" s="1"/>
  <c r="N65" i="18"/>
  <c r="L65" i="18"/>
  <c r="J65" i="18"/>
  <c r="DL64" i="18"/>
  <c r="DJ64" i="18"/>
  <c r="DH64" i="18"/>
  <c r="DF64" i="18"/>
  <c r="DD64" i="18"/>
  <c r="DB64" i="18"/>
  <c r="CZ64" i="18"/>
  <c r="CT64" i="18"/>
  <c r="CL64" i="18"/>
  <c r="CD64" i="18"/>
  <c r="BV64" i="18"/>
  <c r="BN64" i="18"/>
  <c r="BF64" i="18"/>
  <c r="AX64" i="18"/>
  <c r="AP64" i="18"/>
  <c r="AH64" i="18"/>
  <c r="Z64" i="18"/>
  <c r="O64" i="18"/>
  <c r="P64" i="18" s="1"/>
  <c r="Q64" i="18" s="1"/>
  <c r="R64" i="18" s="1"/>
  <c r="N64" i="18"/>
  <c r="L64" i="18"/>
  <c r="J64" i="18"/>
  <c r="CQ63" i="18"/>
  <c r="CR63" i="18" s="1"/>
  <c r="N33" i="25" s="1"/>
  <c r="CO63" i="18"/>
  <c r="CI63" i="18"/>
  <c r="CG63" i="18"/>
  <c r="CA63" i="18"/>
  <c r="CB63" i="18" s="1"/>
  <c r="L33" i="25" s="1"/>
  <c r="BS63" i="18"/>
  <c r="BT63" i="18" s="1"/>
  <c r="K33" i="25" s="1"/>
  <c r="BK63" i="18"/>
  <c r="BL63" i="18" s="1"/>
  <c r="J33" i="25" s="1"/>
  <c r="BI63" i="18"/>
  <c r="BC63" i="18"/>
  <c r="BD63" i="18" s="1"/>
  <c r="I33" i="25" s="1"/>
  <c r="BA63" i="18"/>
  <c r="AU63" i="18"/>
  <c r="AV63" i="18" s="1"/>
  <c r="H33" i="25" s="1"/>
  <c r="AM63" i="18"/>
  <c r="AN63" i="18" s="1"/>
  <c r="G33" i="25" s="1"/>
  <c r="AK63" i="18"/>
  <c r="AE63" i="18"/>
  <c r="AG63" i="18" s="1"/>
  <c r="F33" i="25" s="1"/>
  <c r="AC63" i="18"/>
  <c r="W63" i="18"/>
  <c r="Y63" i="18" s="1"/>
  <c r="E33" i="25" s="1"/>
  <c r="U63" i="18"/>
  <c r="DL62" i="18"/>
  <c r="DJ62" i="18"/>
  <c r="DH62" i="18"/>
  <c r="DF62" i="18"/>
  <c r="DD62" i="18"/>
  <c r="DB62" i="18"/>
  <c r="CZ62" i="18"/>
  <c r="CT62" i="18"/>
  <c r="CL62" i="18"/>
  <c r="CD62" i="18"/>
  <c r="BV62" i="18"/>
  <c r="BN62" i="18"/>
  <c r="BF62" i="18"/>
  <c r="AX62" i="18"/>
  <c r="AP62" i="18"/>
  <c r="AH62" i="18"/>
  <c r="Z62" i="18"/>
  <c r="O62" i="18"/>
  <c r="P62" i="18" s="1"/>
  <c r="Q62" i="18" s="1"/>
  <c r="R62" i="18" s="1"/>
  <c r="N62" i="18"/>
  <c r="L62" i="18"/>
  <c r="J62" i="18"/>
  <c r="DL61" i="18"/>
  <c r="DJ61" i="18"/>
  <c r="DH61" i="18"/>
  <c r="DF61" i="18"/>
  <c r="DD61" i="18"/>
  <c r="DB61" i="18"/>
  <c r="CZ61" i="18"/>
  <c r="CT61" i="18"/>
  <c r="CL61" i="18"/>
  <c r="CD61" i="18"/>
  <c r="BV61" i="18"/>
  <c r="BN61" i="18"/>
  <c r="BF61" i="18"/>
  <c r="AX61" i="18"/>
  <c r="AP61" i="18"/>
  <c r="AH61" i="18"/>
  <c r="Z61" i="18"/>
  <c r="O61" i="18"/>
  <c r="P61" i="18" s="1"/>
  <c r="Q61" i="18" s="1"/>
  <c r="R61" i="18" s="1"/>
  <c r="N61" i="18"/>
  <c r="L61" i="18"/>
  <c r="J61" i="18"/>
  <c r="DL60" i="18"/>
  <c r="DJ60" i="18"/>
  <c r="DH60" i="18"/>
  <c r="DF60" i="18"/>
  <c r="DD60" i="18"/>
  <c r="DB60" i="18"/>
  <c r="CZ60" i="18"/>
  <c r="CT60" i="18"/>
  <c r="CL60" i="18"/>
  <c r="CD60" i="18"/>
  <c r="BV60" i="18"/>
  <c r="BN60" i="18"/>
  <c r="BF60" i="18"/>
  <c r="AX60" i="18"/>
  <c r="AP60" i="18"/>
  <c r="AH60" i="18"/>
  <c r="Z60" i="18"/>
  <c r="O60" i="18"/>
  <c r="P60" i="18" s="1"/>
  <c r="Q60" i="18" s="1"/>
  <c r="R60" i="18" s="1"/>
  <c r="N60" i="18"/>
  <c r="L60" i="18"/>
  <c r="J60" i="18"/>
  <c r="DL59" i="18"/>
  <c r="DJ59" i="18"/>
  <c r="DH59" i="18"/>
  <c r="DF59" i="18"/>
  <c r="DD59" i="18"/>
  <c r="DB59" i="18"/>
  <c r="CZ59" i="18"/>
  <c r="CT59" i="18"/>
  <c r="CL59" i="18"/>
  <c r="CD59" i="18"/>
  <c r="BV59" i="18"/>
  <c r="BN59" i="18"/>
  <c r="BF59" i="18"/>
  <c r="AX59" i="18"/>
  <c r="AP59" i="18"/>
  <c r="AH59" i="18"/>
  <c r="Z59" i="18"/>
  <c r="O59" i="18"/>
  <c r="P59" i="18" s="1"/>
  <c r="Q59" i="18" s="1"/>
  <c r="R59" i="18" s="1"/>
  <c r="N59" i="18"/>
  <c r="L59" i="18"/>
  <c r="J59" i="18"/>
  <c r="DL58" i="18"/>
  <c r="DJ58" i="18"/>
  <c r="DH58" i="18"/>
  <c r="DF58" i="18"/>
  <c r="DD58" i="18"/>
  <c r="DB58" i="18"/>
  <c r="CZ58" i="18"/>
  <c r="CT58" i="18"/>
  <c r="CL58" i="18"/>
  <c r="CD58" i="18"/>
  <c r="BV58" i="18"/>
  <c r="BN58" i="18"/>
  <c r="BF58" i="18"/>
  <c r="AX58" i="18"/>
  <c r="AP58" i="18"/>
  <c r="AH58" i="18"/>
  <c r="Z58" i="18"/>
  <c r="O58" i="18"/>
  <c r="P58" i="18" s="1"/>
  <c r="Q58" i="18" s="1"/>
  <c r="R58" i="18" s="1"/>
  <c r="N58" i="18"/>
  <c r="L58" i="18"/>
  <c r="J58" i="18"/>
  <c r="CQ57" i="18"/>
  <c r="CR57" i="18" s="1"/>
  <c r="N32" i="25" s="1"/>
  <c r="CO57" i="18"/>
  <c r="CI57" i="18"/>
  <c r="CA57" i="18"/>
  <c r="CB57" i="18" s="1"/>
  <c r="L32" i="25" s="1"/>
  <c r="BS57" i="18"/>
  <c r="BT57" i="18" s="1"/>
  <c r="K32" i="25" s="1"/>
  <c r="BK57" i="18"/>
  <c r="BL57" i="18" s="1"/>
  <c r="J32" i="25" s="1"/>
  <c r="BI57" i="18"/>
  <c r="BC57" i="18"/>
  <c r="BD57" i="18" s="1"/>
  <c r="I32" i="25" s="1"/>
  <c r="BA57" i="18"/>
  <c r="AU57" i="18"/>
  <c r="AV57" i="18" s="1"/>
  <c r="H32" i="25" s="1"/>
  <c r="AM57" i="18"/>
  <c r="AN57" i="18" s="1"/>
  <c r="G32" i="25" s="1"/>
  <c r="AK57" i="18"/>
  <c r="AE57" i="18"/>
  <c r="AG57" i="18" s="1"/>
  <c r="F32" i="25" s="1"/>
  <c r="AC57" i="18"/>
  <c r="W57" i="18"/>
  <c r="Y57" i="18" s="1"/>
  <c r="E32" i="25" s="1"/>
  <c r="U57" i="18"/>
  <c r="DL56" i="18"/>
  <c r="DJ56" i="18"/>
  <c r="DH56" i="18"/>
  <c r="DF56" i="18"/>
  <c r="DD56" i="18"/>
  <c r="DB56" i="18"/>
  <c r="CZ56" i="18"/>
  <c r="CT56" i="18"/>
  <c r="CL56" i="18"/>
  <c r="CD56" i="18"/>
  <c r="BV56" i="18"/>
  <c r="BN56" i="18"/>
  <c r="BF56" i="18"/>
  <c r="AX56" i="18"/>
  <c r="AP56" i="18"/>
  <c r="AH56" i="18"/>
  <c r="Z56" i="18"/>
  <c r="O56" i="18"/>
  <c r="P56" i="18" s="1"/>
  <c r="Q56" i="18" s="1"/>
  <c r="R56" i="18" s="1"/>
  <c r="N56" i="18"/>
  <c r="L56" i="18"/>
  <c r="J56" i="18"/>
  <c r="DL55" i="18"/>
  <c r="DJ55" i="18"/>
  <c r="DH55" i="18"/>
  <c r="DF55" i="18"/>
  <c r="DD55" i="18"/>
  <c r="DB55" i="18"/>
  <c r="CZ55" i="18"/>
  <c r="CT55" i="18"/>
  <c r="CL55" i="18"/>
  <c r="CD55" i="18"/>
  <c r="BV55" i="18"/>
  <c r="BN55" i="18"/>
  <c r="BF55" i="18"/>
  <c r="AX55" i="18"/>
  <c r="AP55" i="18"/>
  <c r="AH55" i="18"/>
  <c r="Z55" i="18"/>
  <c r="O55" i="18"/>
  <c r="P55" i="18" s="1"/>
  <c r="Q55" i="18" s="1"/>
  <c r="R55" i="18" s="1"/>
  <c r="N55" i="18"/>
  <c r="L55" i="18"/>
  <c r="J55" i="18"/>
  <c r="DL54" i="18"/>
  <c r="DJ54" i="18"/>
  <c r="DH54" i="18"/>
  <c r="DF54" i="18"/>
  <c r="DD54" i="18"/>
  <c r="DB54" i="18"/>
  <c r="CZ54" i="18"/>
  <c r="CT54" i="18"/>
  <c r="CL54" i="18"/>
  <c r="CD54" i="18"/>
  <c r="BV54" i="18"/>
  <c r="BN54" i="18"/>
  <c r="BF54" i="18"/>
  <c r="AX54" i="18"/>
  <c r="AP54" i="18"/>
  <c r="AH54" i="18"/>
  <c r="Z54" i="18"/>
  <c r="O54" i="18"/>
  <c r="P54" i="18" s="1"/>
  <c r="Q54" i="18" s="1"/>
  <c r="R54" i="18" s="1"/>
  <c r="N54" i="18"/>
  <c r="L54" i="18"/>
  <c r="J54" i="18"/>
  <c r="DL53" i="18"/>
  <c r="DJ53" i="18"/>
  <c r="DH53" i="18"/>
  <c r="DF53" i="18"/>
  <c r="DD53" i="18"/>
  <c r="DB53" i="18"/>
  <c r="CZ53" i="18"/>
  <c r="CT53" i="18"/>
  <c r="CL53" i="18"/>
  <c r="CD53" i="18"/>
  <c r="BV53" i="18"/>
  <c r="BN53" i="18"/>
  <c r="BF53" i="18"/>
  <c r="AX53" i="18"/>
  <c r="AP53" i="18"/>
  <c r="AH53" i="18"/>
  <c r="Z53" i="18"/>
  <c r="O53" i="18"/>
  <c r="P53" i="18" s="1"/>
  <c r="Q53" i="18" s="1"/>
  <c r="R53" i="18" s="1"/>
  <c r="N53" i="18"/>
  <c r="L53" i="18"/>
  <c r="J53" i="18"/>
  <c r="CQ52" i="18"/>
  <c r="CI52" i="18"/>
  <c r="CJ52" i="18" s="1"/>
  <c r="M31" i="25" s="1"/>
  <c r="CA52" i="18"/>
  <c r="CB52" i="18" s="1"/>
  <c r="L31" i="25" s="1"/>
  <c r="BS52" i="18"/>
  <c r="BT52" i="18" s="1"/>
  <c r="K31" i="25" s="1"/>
  <c r="BQ52" i="18"/>
  <c r="BK52" i="18"/>
  <c r="BL52" i="18" s="1"/>
  <c r="J31" i="25" s="1"/>
  <c r="BC52" i="18"/>
  <c r="BD52" i="18" s="1"/>
  <c r="I31" i="25" s="1"/>
  <c r="BA52" i="18"/>
  <c r="AU52" i="18"/>
  <c r="AV52" i="18" s="1"/>
  <c r="H31" i="25" s="1"/>
  <c r="G31" i="25"/>
  <c r="AK52" i="18"/>
  <c r="AE52" i="18"/>
  <c r="AG52" i="18" s="1"/>
  <c r="F31" i="25" s="1"/>
  <c r="W52" i="18"/>
  <c r="Y52" i="18" s="1"/>
  <c r="E31" i="25" s="1"/>
  <c r="U52" i="18"/>
  <c r="DL51" i="18"/>
  <c r="DJ51" i="18"/>
  <c r="DH51" i="18"/>
  <c r="DF51" i="18"/>
  <c r="DD51" i="18"/>
  <c r="DB51" i="18"/>
  <c r="CZ51" i="18"/>
  <c r="CT51" i="18"/>
  <c r="CL51" i="18"/>
  <c r="CD51" i="18"/>
  <c r="BV51" i="18"/>
  <c r="BN51" i="18"/>
  <c r="BF51" i="18"/>
  <c r="AX51" i="18"/>
  <c r="AP51" i="18"/>
  <c r="AH51" i="18"/>
  <c r="Z51" i="18"/>
  <c r="O51" i="18"/>
  <c r="P51" i="18" s="1"/>
  <c r="Q51" i="18" s="1"/>
  <c r="R51" i="18" s="1"/>
  <c r="N51" i="18"/>
  <c r="L51" i="18"/>
  <c r="J51" i="18"/>
  <c r="DL50" i="18"/>
  <c r="DJ50" i="18"/>
  <c r="DH50" i="18"/>
  <c r="DF50" i="18"/>
  <c r="DD50" i="18"/>
  <c r="DB50" i="18"/>
  <c r="CZ50" i="18"/>
  <c r="CT50" i="18"/>
  <c r="CL50" i="18"/>
  <c r="CD50" i="18"/>
  <c r="BV50" i="18"/>
  <c r="BN50" i="18"/>
  <c r="BF50" i="18"/>
  <c r="AX50" i="18"/>
  <c r="AP50" i="18"/>
  <c r="AH50" i="18"/>
  <c r="Z50" i="18"/>
  <c r="O50" i="18"/>
  <c r="P50" i="18" s="1"/>
  <c r="Q50" i="18" s="1"/>
  <c r="R50" i="18" s="1"/>
  <c r="N50" i="18"/>
  <c r="L50" i="18"/>
  <c r="J50" i="18"/>
  <c r="DL49" i="18"/>
  <c r="DJ49" i="18"/>
  <c r="DH49" i="18"/>
  <c r="DF49" i="18"/>
  <c r="DD49" i="18"/>
  <c r="DB49" i="18"/>
  <c r="CZ49" i="18"/>
  <c r="CT49" i="18"/>
  <c r="CL49" i="18"/>
  <c r="CD49" i="18"/>
  <c r="BV49" i="18"/>
  <c r="BN49" i="18"/>
  <c r="BF49" i="18"/>
  <c r="AX49" i="18"/>
  <c r="AP49" i="18"/>
  <c r="AH49" i="18"/>
  <c r="Z49" i="18"/>
  <c r="O49" i="18"/>
  <c r="P49" i="18" s="1"/>
  <c r="Q49" i="18" s="1"/>
  <c r="R49" i="18" s="1"/>
  <c r="N49" i="18"/>
  <c r="L49" i="18"/>
  <c r="J49" i="18"/>
  <c r="CQ48" i="18"/>
  <c r="CR48" i="18" s="1"/>
  <c r="N30" i="25" s="1"/>
  <c r="CI48" i="18"/>
  <c r="CA48" i="18"/>
  <c r="CB48" i="18" s="1"/>
  <c r="L30" i="25" s="1"/>
  <c r="BS48" i="18"/>
  <c r="BT48" i="18" s="1"/>
  <c r="K30" i="25" s="1"/>
  <c r="BK48" i="18"/>
  <c r="BL48" i="18" s="1"/>
  <c r="J30" i="25" s="1"/>
  <c r="BI48" i="18"/>
  <c r="BC48" i="18"/>
  <c r="BD48" i="18" s="1"/>
  <c r="I30" i="25" s="1"/>
  <c r="AU48" i="18"/>
  <c r="AV48" i="18" s="1"/>
  <c r="H30" i="25" s="1"/>
  <c r="AM48" i="18"/>
  <c r="AN48" i="18" s="1"/>
  <c r="G30" i="25" s="1"/>
  <c r="AK48" i="18"/>
  <c r="AE48" i="18"/>
  <c r="AG48" i="18" s="1"/>
  <c r="F30" i="25" s="1"/>
  <c r="AC48" i="18"/>
  <c r="W48" i="18"/>
  <c r="Y48" i="18" s="1"/>
  <c r="E30" i="25" s="1"/>
  <c r="U48" i="18"/>
  <c r="DL47" i="18"/>
  <c r="DJ47" i="18"/>
  <c r="DH47" i="18"/>
  <c r="DF47" i="18"/>
  <c r="DD47" i="18"/>
  <c r="DB47" i="18"/>
  <c r="CZ47" i="18"/>
  <c r="CT47" i="18"/>
  <c r="CL47" i="18"/>
  <c r="CD47" i="18"/>
  <c r="BV47" i="18"/>
  <c r="BN47" i="18"/>
  <c r="BF47" i="18"/>
  <c r="AX47" i="18"/>
  <c r="AP47" i="18"/>
  <c r="AH47" i="18"/>
  <c r="Z47" i="18"/>
  <c r="O47" i="18"/>
  <c r="P47" i="18" s="1"/>
  <c r="Q47" i="18" s="1"/>
  <c r="R47" i="18" s="1"/>
  <c r="N47" i="18"/>
  <c r="L47" i="18"/>
  <c r="J47" i="18"/>
  <c r="DL46" i="18"/>
  <c r="DJ46" i="18"/>
  <c r="DH46" i="18"/>
  <c r="DF46" i="18"/>
  <c r="DD46" i="18"/>
  <c r="DB46" i="18"/>
  <c r="CZ46" i="18"/>
  <c r="CT46" i="18"/>
  <c r="CL46" i="18"/>
  <c r="CD46" i="18"/>
  <c r="BV46" i="18"/>
  <c r="BN46" i="18"/>
  <c r="BF46" i="18"/>
  <c r="AX46" i="18"/>
  <c r="AP46" i="18"/>
  <c r="AH46" i="18"/>
  <c r="Z46" i="18"/>
  <c r="O46" i="18"/>
  <c r="P46" i="18" s="1"/>
  <c r="Q46" i="18" s="1"/>
  <c r="R46" i="18" s="1"/>
  <c r="N46" i="18"/>
  <c r="L46" i="18"/>
  <c r="J46" i="18"/>
  <c r="CQ45" i="18"/>
  <c r="CO45" i="18"/>
  <c r="CI45" i="18"/>
  <c r="CJ45" i="18" s="1"/>
  <c r="M29" i="25" s="1"/>
  <c r="CA45" i="18"/>
  <c r="CB45" i="18" s="1"/>
  <c r="L29" i="25" s="1"/>
  <c r="BY45" i="18"/>
  <c r="BS45" i="18"/>
  <c r="BT45" i="18" s="1"/>
  <c r="K29" i="25" s="1"/>
  <c r="BK45" i="18"/>
  <c r="BL45" i="18" s="1"/>
  <c r="J29" i="25" s="1"/>
  <c r="BI45" i="18"/>
  <c r="BC45" i="18"/>
  <c r="BD45" i="18" s="1"/>
  <c r="I29" i="25" s="1"/>
  <c r="AU45" i="18"/>
  <c r="AV45" i="18" s="1"/>
  <c r="H29" i="25" s="1"/>
  <c r="AS45" i="18"/>
  <c r="AM45" i="18"/>
  <c r="AN45" i="18" s="1"/>
  <c r="G29" i="25" s="1"/>
  <c r="AE45" i="18"/>
  <c r="AG45" i="18" s="1"/>
  <c r="F29" i="25" s="1"/>
  <c r="W45" i="18"/>
  <c r="Y45" i="18" s="1"/>
  <c r="E29" i="25" s="1"/>
  <c r="DL44" i="18"/>
  <c r="DJ44" i="18"/>
  <c r="DH44" i="18"/>
  <c r="DF44" i="18"/>
  <c r="DD44" i="18"/>
  <c r="DB44" i="18"/>
  <c r="CZ44" i="18"/>
  <c r="CT44" i="18"/>
  <c r="CL44" i="18"/>
  <c r="CD44" i="18"/>
  <c r="BV44" i="18"/>
  <c r="BN44" i="18"/>
  <c r="BF44" i="18"/>
  <c r="AX44" i="18"/>
  <c r="AP44" i="18"/>
  <c r="AH44" i="18"/>
  <c r="Z44" i="18"/>
  <c r="O44" i="18"/>
  <c r="P44" i="18" s="1"/>
  <c r="Q44" i="18" s="1"/>
  <c r="R44" i="18" s="1"/>
  <c r="N44" i="18"/>
  <c r="L44" i="18"/>
  <c r="J44" i="18"/>
  <c r="CT43" i="18"/>
  <c r="CR43" i="18"/>
  <c r="N28" i="25" s="1"/>
  <c r="CO43" i="18"/>
  <c r="CL43" i="18"/>
  <c r="CJ43" i="18"/>
  <c r="M28" i="25" s="1"/>
  <c r="CG43" i="18"/>
  <c r="CD43" i="18"/>
  <c r="CB43" i="18"/>
  <c r="L28" i="25" s="1"/>
  <c r="BY43" i="18"/>
  <c r="BV43" i="18"/>
  <c r="BT43" i="18"/>
  <c r="K28" i="25" s="1"/>
  <c r="BQ43" i="18"/>
  <c r="BN43" i="18"/>
  <c r="BL43" i="18"/>
  <c r="J28" i="25" s="1"/>
  <c r="BI43" i="18"/>
  <c r="BF43" i="18"/>
  <c r="BD43" i="18"/>
  <c r="I28" i="25" s="1"/>
  <c r="BA43" i="18"/>
  <c r="AX43" i="18"/>
  <c r="AV43" i="18"/>
  <c r="H28" i="25" s="1"/>
  <c r="AS43" i="18"/>
  <c r="AP43" i="18"/>
  <c r="AN43" i="18"/>
  <c r="G28" i="25" s="1"/>
  <c r="AK43" i="18"/>
  <c r="AH43" i="18"/>
  <c r="AG43" i="18"/>
  <c r="F28" i="25" s="1"/>
  <c r="AC43" i="18"/>
  <c r="Z43" i="18"/>
  <c r="Y43" i="18"/>
  <c r="E28" i="25" s="1"/>
  <c r="U43" i="18"/>
  <c r="L43" i="18"/>
  <c r="J43" i="18"/>
  <c r="DL42" i="18"/>
  <c r="DJ42" i="18"/>
  <c r="DH42" i="18"/>
  <c r="DF42" i="18"/>
  <c r="DD42" i="18"/>
  <c r="DB42" i="18"/>
  <c r="CZ42" i="18"/>
  <c r="CT42" i="18"/>
  <c r="CL42" i="18"/>
  <c r="CD42" i="18"/>
  <c r="BV42" i="18"/>
  <c r="BN42" i="18"/>
  <c r="BF42" i="18"/>
  <c r="AX42" i="18"/>
  <c r="AP42" i="18"/>
  <c r="AH42" i="18"/>
  <c r="Z42" i="18"/>
  <c r="O42" i="18"/>
  <c r="P42" i="18" s="1"/>
  <c r="Q42" i="18" s="1"/>
  <c r="R42" i="18" s="1"/>
  <c r="N42" i="18"/>
  <c r="L42" i="18"/>
  <c r="J42" i="18"/>
  <c r="CT41" i="18"/>
  <c r="CR41" i="18"/>
  <c r="N25" i="25" s="1"/>
  <c r="CO41" i="18"/>
  <c r="CL41" i="18"/>
  <c r="CJ41" i="18"/>
  <c r="M25" i="25" s="1"/>
  <c r="CG41" i="18"/>
  <c r="CD41" i="18"/>
  <c r="CB41" i="18"/>
  <c r="L25" i="25" s="1"/>
  <c r="BY41" i="18"/>
  <c r="BV41" i="18"/>
  <c r="BT41" i="18"/>
  <c r="K25" i="25" s="1"/>
  <c r="BQ41" i="18"/>
  <c r="BN41" i="18"/>
  <c r="BL41" i="18"/>
  <c r="J25" i="25" s="1"/>
  <c r="BI41" i="18"/>
  <c r="BF41" i="18"/>
  <c r="BD41" i="18"/>
  <c r="I25" i="25" s="1"/>
  <c r="BA41" i="18"/>
  <c r="AX41" i="18"/>
  <c r="AV41" i="18"/>
  <c r="H25" i="25" s="1"/>
  <c r="AS41" i="18"/>
  <c r="AP41" i="18"/>
  <c r="AN41" i="18"/>
  <c r="G25" i="25" s="1"/>
  <c r="AK41" i="18"/>
  <c r="AH41" i="18"/>
  <c r="AG41" i="18"/>
  <c r="F25" i="25" s="1"/>
  <c r="AC41" i="18"/>
  <c r="Z41" i="18"/>
  <c r="Y41" i="18"/>
  <c r="E25" i="25" s="1"/>
  <c r="U41" i="18"/>
  <c r="L41" i="18"/>
  <c r="J41" i="18"/>
  <c r="DL40" i="18"/>
  <c r="DJ40" i="18"/>
  <c r="DH40" i="18"/>
  <c r="DF40" i="18"/>
  <c r="DD40" i="18"/>
  <c r="DB40" i="18"/>
  <c r="CZ40" i="18"/>
  <c r="CT40" i="18"/>
  <c r="CL40" i="18"/>
  <c r="CD40" i="18"/>
  <c r="BV40" i="18"/>
  <c r="BN40" i="18"/>
  <c r="BF40" i="18"/>
  <c r="AX40" i="18"/>
  <c r="AP40" i="18"/>
  <c r="AH40" i="18"/>
  <c r="Z40" i="18"/>
  <c r="O40" i="18"/>
  <c r="P40" i="18" s="1"/>
  <c r="Q40" i="18" s="1"/>
  <c r="R40" i="18" s="1"/>
  <c r="N40" i="18"/>
  <c r="L40" i="18"/>
  <c r="J40" i="18"/>
  <c r="DL39" i="18"/>
  <c r="DJ39" i="18"/>
  <c r="DH39" i="18"/>
  <c r="DF39" i="18"/>
  <c r="DD39" i="18"/>
  <c r="DB39" i="18"/>
  <c r="CZ39" i="18"/>
  <c r="CT39" i="18"/>
  <c r="CL39" i="18"/>
  <c r="CD39" i="18"/>
  <c r="BV39" i="18"/>
  <c r="BN39" i="18"/>
  <c r="BF39" i="18"/>
  <c r="AX39" i="18"/>
  <c r="AP39" i="18"/>
  <c r="AH39" i="18"/>
  <c r="Z39" i="18"/>
  <c r="O39" i="18"/>
  <c r="P39" i="18" s="1"/>
  <c r="Q39" i="18" s="1"/>
  <c r="R39" i="18" s="1"/>
  <c r="N39" i="18"/>
  <c r="L39" i="18"/>
  <c r="J39" i="18"/>
  <c r="CQ38" i="18"/>
  <c r="CI38" i="18"/>
  <c r="CJ38" i="18" s="1"/>
  <c r="M22" i="25" s="1"/>
  <c r="CA38" i="18"/>
  <c r="CB38" i="18" s="1"/>
  <c r="L22" i="25" s="1"/>
  <c r="BY38" i="18"/>
  <c r="BS38" i="18"/>
  <c r="BT38" i="18" s="1"/>
  <c r="K22" i="25" s="1"/>
  <c r="BQ38" i="18"/>
  <c r="BK38" i="18"/>
  <c r="BL38" i="18" s="1"/>
  <c r="J22" i="25" s="1"/>
  <c r="BI38" i="18"/>
  <c r="BC38" i="18"/>
  <c r="BD38" i="18" s="1"/>
  <c r="I22" i="25" s="1"/>
  <c r="AU38" i="18"/>
  <c r="AV38" i="18" s="1"/>
  <c r="H22" i="25" s="1"/>
  <c r="AS38" i="18"/>
  <c r="AM38" i="18"/>
  <c r="AN38" i="18" s="1"/>
  <c r="G22" i="25" s="1"/>
  <c r="AE38" i="18"/>
  <c r="AG38" i="18" s="1"/>
  <c r="F22" i="25" s="1"/>
  <c r="W38" i="18"/>
  <c r="Y38" i="18" s="1"/>
  <c r="E22" i="25" s="1"/>
  <c r="U38" i="18"/>
  <c r="DL37" i="18"/>
  <c r="DJ37" i="18"/>
  <c r="DH37" i="18"/>
  <c r="DF37" i="18"/>
  <c r="DD37" i="18"/>
  <c r="DB37" i="18"/>
  <c r="CZ37" i="18"/>
  <c r="CT37" i="18"/>
  <c r="CL37" i="18"/>
  <c r="CD37" i="18"/>
  <c r="BV37" i="18"/>
  <c r="BN37" i="18"/>
  <c r="BF37" i="18"/>
  <c r="AX37" i="18"/>
  <c r="AP37" i="18"/>
  <c r="AH37" i="18"/>
  <c r="Z37" i="18"/>
  <c r="O37" i="18"/>
  <c r="P37" i="18" s="1"/>
  <c r="Q37" i="18" s="1"/>
  <c r="R37" i="18" s="1"/>
  <c r="N37" i="18"/>
  <c r="L37" i="18"/>
  <c r="J37" i="18"/>
  <c r="DL36" i="18"/>
  <c r="DJ36" i="18"/>
  <c r="DH36" i="18"/>
  <c r="DF36" i="18"/>
  <c r="DD36" i="18"/>
  <c r="DB36" i="18"/>
  <c r="CZ36" i="18"/>
  <c r="CT36" i="18"/>
  <c r="CL36" i="18"/>
  <c r="CD36" i="18"/>
  <c r="BV36" i="18"/>
  <c r="BN36" i="18"/>
  <c r="BF36" i="18"/>
  <c r="AX36" i="18"/>
  <c r="AP36" i="18"/>
  <c r="AH36" i="18"/>
  <c r="Z36" i="18"/>
  <c r="O36" i="18"/>
  <c r="P36" i="18" s="1"/>
  <c r="Q36" i="18" s="1"/>
  <c r="R36" i="18" s="1"/>
  <c r="N36" i="18"/>
  <c r="L36" i="18"/>
  <c r="J36" i="18"/>
  <c r="CQ35" i="18"/>
  <c r="CI35" i="18"/>
  <c r="CJ35" i="18" s="1"/>
  <c r="M21" i="25" s="1"/>
  <c r="CA35" i="18"/>
  <c r="CB35" i="18" s="1"/>
  <c r="L21" i="25" s="1"/>
  <c r="BY35" i="18"/>
  <c r="BS35" i="18"/>
  <c r="BT35" i="18" s="1"/>
  <c r="K21" i="25" s="1"/>
  <c r="BQ35" i="18"/>
  <c r="BK35" i="18"/>
  <c r="BL35" i="18" s="1"/>
  <c r="J21" i="25" s="1"/>
  <c r="BC35" i="18"/>
  <c r="BD35" i="18" s="1"/>
  <c r="I21" i="25" s="1"/>
  <c r="AU35" i="18"/>
  <c r="AV35" i="18" s="1"/>
  <c r="H21" i="25" s="1"/>
  <c r="AS35" i="18"/>
  <c r="AM35" i="18"/>
  <c r="AN35" i="18" s="1"/>
  <c r="G21" i="25" s="1"/>
  <c r="AK35" i="18"/>
  <c r="AE35" i="18"/>
  <c r="AG35" i="18" s="1"/>
  <c r="F21" i="25" s="1"/>
  <c r="W35" i="18"/>
  <c r="Y35" i="18" s="1"/>
  <c r="E21" i="25" s="1"/>
  <c r="CT34" i="18"/>
  <c r="CR34" i="18"/>
  <c r="N20" i="25" s="1"/>
  <c r="CO34" i="18"/>
  <c r="CL34" i="18"/>
  <c r="CJ34" i="18"/>
  <c r="M20" i="25" s="1"/>
  <c r="CG34" i="18"/>
  <c r="CD34" i="18"/>
  <c r="CB34" i="18"/>
  <c r="L20" i="25" s="1"/>
  <c r="BY34" i="18"/>
  <c r="BV34" i="18"/>
  <c r="BT34" i="18"/>
  <c r="K20" i="25" s="1"/>
  <c r="BQ34" i="18"/>
  <c r="BN34" i="18"/>
  <c r="BL34" i="18"/>
  <c r="J20" i="25" s="1"/>
  <c r="BI34" i="18"/>
  <c r="BF34" i="18"/>
  <c r="BD34" i="18"/>
  <c r="I20" i="25" s="1"/>
  <c r="BA34" i="18"/>
  <c r="AX34" i="18"/>
  <c r="AV34" i="18"/>
  <c r="H20" i="25" s="1"/>
  <c r="AS34" i="18"/>
  <c r="AP34" i="18"/>
  <c r="AN34" i="18"/>
  <c r="G20" i="25" s="1"/>
  <c r="AK34" i="18"/>
  <c r="AH34" i="18"/>
  <c r="AG34" i="18"/>
  <c r="F20" i="25" s="1"/>
  <c r="AC34" i="18"/>
  <c r="Z34" i="18"/>
  <c r="Y34" i="18"/>
  <c r="E20" i="25" s="1"/>
  <c r="U34" i="18"/>
  <c r="DL33" i="18"/>
  <c r="DJ33" i="18"/>
  <c r="DH33" i="18"/>
  <c r="DF33" i="18"/>
  <c r="DD33" i="18"/>
  <c r="DB33" i="18"/>
  <c r="CZ33" i="18"/>
  <c r="CT33" i="18"/>
  <c r="CL33" i="18"/>
  <c r="CD33" i="18"/>
  <c r="BV33" i="18"/>
  <c r="BN33" i="18"/>
  <c r="BF33" i="18"/>
  <c r="AX33" i="18"/>
  <c r="AP33" i="18"/>
  <c r="AH33" i="18"/>
  <c r="Z33" i="18"/>
  <c r="O33" i="18"/>
  <c r="P33" i="18" s="1"/>
  <c r="Q33" i="18" s="1"/>
  <c r="R33" i="18" s="1"/>
  <c r="N33" i="18"/>
  <c r="L33" i="18"/>
  <c r="J33" i="18"/>
  <c r="CR32" i="18"/>
  <c r="N19" i="25" s="1"/>
  <c r="CO32" i="18"/>
  <c r="CL32" i="18"/>
  <c r="CJ32" i="18"/>
  <c r="M19" i="25" s="1"/>
  <c r="CG32" i="18"/>
  <c r="CD32" i="18"/>
  <c r="CB32" i="18"/>
  <c r="L19" i="25" s="1"/>
  <c r="BY32" i="18"/>
  <c r="BV32" i="18"/>
  <c r="BT32" i="18"/>
  <c r="K19" i="25" s="1"/>
  <c r="BQ32" i="18"/>
  <c r="BN32" i="18"/>
  <c r="BL32" i="18"/>
  <c r="J19" i="25" s="1"/>
  <c r="BI32" i="18"/>
  <c r="BF32" i="18"/>
  <c r="BD32" i="18"/>
  <c r="I19" i="25" s="1"/>
  <c r="BA32" i="18"/>
  <c r="AX32" i="18"/>
  <c r="AV32" i="18"/>
  <c r="H19" i="25" s="1"/>
  <c r="AS32" i="18"/>
  <c r="AP32" i="18"/>
  <c r="AN32" i="18"/>
  <c r="G19" i="25" s="1"/>
  <c r="AK32" i="18"/>
  <c r="AH32" i="18"/>
  <c r="AG32" i="18"/>
  <c r="F19" i="25" s="1"/>
  <c r="AC32" i="18"/>
  <c r="Z32" i="18"/>
  <c r="Y32" i="18"/>
  <c r="E19" i="25" s="1"/>
  <c r="U32" i="18"/>
  <c r="L32" i="18"/>
  <c r="J32" i="18"/>
  <c r="DL31" i="18"/>
  <c r="DJ31" i="18"/>
  <c r="DH31" i="18"/>
  <c r="DF31" i="18"/>
  <c r="DD31" i="18"/>
  <c r="DB31" i="18"/>
  <c r="CZ31" i="18"/>
  <c r="CT31" i="18"/>
  <c r="CL31" i="18"/>
  <c r="CD31" i="18"/>
  <c r="BV31" i="18"/>
  <c r="BN31" i="18"/>
  <c r="BF31" i="18"/>
  <c r="AX31" i="18"/>
  <c r="AP31" i="18"/>
  <c r="AH31" i="18"/>
  <c r="Z31" i="18"/>
  <c r="O31" i="18"/>
  <c r="P31" i="18" s="1"/>
  <c r="Q31" i="18" s="1"/>
  <c r="R31" i="18" s="1"/>
  <c r="N31" i="18"/>
  <c r="L31" i="18"/>
  <c r="J31" i="18"/>
  <c r="CT30" i="18"/>
  <c r="CR30" i="18"/>
  <c r="N16" i="25" s="1"/>
  <c r="CO30" i="18"/>
  <c r="CL30" i="18"/>
  <c r="CJ30" i="18"/>
  <c r="M16" i="25" s="1"/>
  <c r="CG30" i="18"/>
  <c r="CD30" i="18"/>
  <c r="CB30" i="18"/>
  <c r="L16" i="25" s="1"/>
  <c r="BY30" i="18"/>
  <c r="BV30" i="18"/>
  <c r="BT30" i="18"/>
  <c r="K16" i="25" s="1"/>
  <c r="BQ30" i="18"/>
  <c r="BN30" i="18"/>
  <c r="BL30" i="18"/>
  <c r="J16" i="25" s="1"/>
  <c r="BI30" i="18"/>
  <c r="BF30" i="18"/>
  <c r="BD30" i="18"/>
  <c r="I16" i="25" s="1"/>
  <c r="BA30" i="18"/>
  <c r="AX30" i="18"/>
  <c r="AV30" i="18"/>
  <c r="H16" i="25" s="1"/>
  <c r="AS30" i="18"/>
  <c r="AP30" i="18"/>
  <c r="AN30" i="18"/>
  <c r="G16" i="25" s="1"/>
  <c r="AK30" i="18"/>
  <c r="AH30" i="18"/>
  <c r="AG30" i="18"/>
  <c r="F16" i="25" s="1"/>
  <c r="AC30" i="18"/>
  <c r="Z30" i="18"/>
  <c r="Y30" i="18"/>
  <c r="E16" i="25" s="1"/>
  <c r="U30" i="18"/>
  <c r="L30" i="18"/>
  <c r="J30" i="18"/>
  <c r="DL29" i="18"/>
  <c r="DJ29" i="18"/>
  <c r="DH29" i="18"/>
  <c r="DF29" i="18"/>
  <c r="DD29" i="18"/>
  <c r="DB29" i="18"/>
  <c r="CZ29" i="18"/>
  <c r="CT29" i="18"/>
  <c r="CL29" i="18"/>
  <c r="CD29" i="18"/>
  <c r="BV29" i="18"/>
  <c r="BN29" i="18"/>
  <c r="BF29" i="18"/>
  <c r="AX29" i="18"/>
  <c r="AP29" i="18"/>
  <c r="AH29" i="18"/>
  <c r="Z29" i="18"/>
  <c r="O29" i="18"/>
  <c r="P29" i="18" s="1"/>
  <c r="Q29" i="18" s="1"/>
  <c r="R29" i="18" s="1"/>
  <c r="L29" i="18"/>
  <c r="J29" i="18"/>
  <c r="CT28" i="18"/>
  <c r="CR28" i="18"/>
  <c r="N13" i="25" s="1"/>
  <c r="CO28" i="18"/>
  <c r="CL28" i="18"/>
  <c r="CJ28" i="18"/>
  <c r="M13" i="25" s="1"/>
  <c r="CG28" i="18"/>
  <c r="CD28" i="18"/>
  <c r="CB28" i="18"/>
  <c r="L13" i="25" s="1"/>
  <c r="BY28" i="18"/>
  <c r="BV28" i="18"/>
  <c r="BT28" i="18"/>
  <c r="K13" i="25" s="1"/>
  <c r="BQ28" i="18"/>
  <c r="BN28" i="18"/>
  <c r="BL28" i="18"/>
  <c r="J13" i="25" s="1"/>
  <c r="BI28" i="18"/>
  <c r="BF28" i="18"/>
  <c r="BD28" i="18"/>
  <c r="I13" i="25" s="1"/>
  <c r="BA28" i="18"/>
  <c r="AX28" i="18"/>
  <c r="AV28" i="18"/>
  <c r="H13" i="25" s="1"/>
  <c r="AS28" i="18"/>
  <c r="AP28" i="18"/>
  <c r="AN28" i="18"/>
  <c r="G13" i="25" s="1"/>
  <c r="AK28" i="18"/>
  <c r="AH28" i="18"/>
  <c r="AG28" i="18"/>
  <c r="F13" i="25" s="1"/>
  <c r="AC28" i="18"/>
  <c r="Z28" i="18"/>
  <c r="Y28" i="18"/>
  <c r="E13" i="25" s="1"/>
  <c r="U28" i="18"/>
  <c r="L28" i="18"/>
  <c r="J28" i="18"/>
  <c r="DL27" i="18"/>
  <c r="DJ27" i="18"/>
  <c r="DH27" i="18"/>
  <c r="DF27" i="18"/>
  <c r="DD27" i="18"/>
  <c r="DB27" i="18"/>
  <c r="CZ27" i="18"/>
  <c r="CT27" i="18"/>
  <c r="CL27" i="18"/>
  <c r="CD27" i="18"/>
  <c r="BV27" i="18"/>
  <c r="BN27" i="18"/>
  <c r="BF27" i="18"/>
  <c r="AX27" i="18"/>
  <c r="AP27" i="18"/>
  <c r="AH27" i="18"/>
  <c r="Z27" i="18"/>
  <c r="O27" i="18"/>
  <c r="P27" i="18" s="1"/>
  <c r="Q27" i="18" s="1"/>
  <c r="R27" i="18" s="1"/>
  <c r="N27" i="18"/>
  <c r="L27" i="18"/>
  <c r="J27" i="18"/>
  <c r="DL26" i="18"/>
  <c r="DJ26" i="18"/>
  <c r="DH26" i="18"/>
  <c r="DF26" i="18"/>
  <c r="DD26" i="18"/>
  <c r="DB26" i="18"/>
  <c r="CZ26" i="18"/>
  <c r="CT26" i="18"/>
  <c r="CL26" i="18"/>
  <c r="CD26" i="18"/>
  <c r="BV26" i="18"/>
  <c r="BN26" i="18"/>
  <c r="BF26" i="18"/>
  <c r="AX26" i="18"/>
  <c r="AP26" i="18"/>
  <c r="AH26" i="18"/>
  <c r="Z26" i="18"/>
  <c r="O26" i="18"/>
  <c r="P26" i="18" s="1"/>
  <c r="Q26" i="18" s="1"/>
  <c r="R26" i="18" s="1"/>
  <c r="N26" i="18"/>
  <c r="L26" i="18"/>
  <c r="J26" i="18"/>
  <c r="CQ25" i="18"/>
  <c r="CR25" i="18" s="1"/>
  <c r="N10" i="25" s="1"/>
  <c r="CI25" i="18"/>
  <c r="CJ25" i="18" s="1"/>
  <c r="M10" i="25" s="1"/>
  <c r="CA25" i="18"/>
  <c r="CB25" i="18" s="1"/>
  <c r="L10" i="25" s="1"/>
  <c r="BY25" i="18"/>
  <c r="BS25" i="18"/>
  <c r="BK25" i="18"/>
  <c r="BL25" i="18" s="1"/>
  <c r="J10" i="25" s="1"/>
  <c r="BC25" i="18"/>
  <c r="BD25" i="18" s="1"/>
  <c r="I10" i="25" s="1"/>
  <c r="BA25" i="18"/>
  <c r="AU25" i="18"/>
  <c r="AV25" i="18" s="1"/>
  <c r="H10" i="25" s="1"/>
  <c r="AS25" i="18"/>
  <c r="AM25" i="18"/>
  <c r="AN25" i="18" s="1"/>
  <c r="G10" i="25" s="1"/>
  <c r="AE25" i="18"/>
  <c r="AG25" i="18" s="1"/>
  <c r="F10" i="25" s="1"/>
  <c r="W25" i="18"/>
  <c r="Y25" i="18" s="1"/>
  <c r="E10" i="25" s="1"/>
  <c r="U25" i="18"/>
  <c r="DL24" i="18"/>
  <c r="DJ24" i="18"/>
  <c r="DH24" i="18"/>
  <c r="DF24" i="18"/>
  <c r="DD24" i="18"/>
  <c r="DB24" i="18"/>
  <c r="CZ24" i="18"/>
  <c r="CT24" i="18"/>
  <c r="CL24" i="18"/>
  <c r="CD24" i="18"/>
  <c r="BV24" i="18"/>
  <c r="BN24" i="18"/>
  <c r="BF24" i="18"/>
  <c r="AX24" i="18"/>
  <c r="AP24" i="18"/>
  <c r="AH24" i="18"/>
  <c r="Z24" i="18"/>
  <c r="O24" i="18"/>
  <c r="P24" i="18" s="1"/>
  <c r="Q24" i="18" s="1"/>
  <c r="R24" i="18" s="1"/>
  <c r="N24" i="18"/>
  <c r="L24" i="18"/>
  <c r="J24" i="18"/>
  <c r="DL23" i="18"/>
  <c r="DJ23" i="18"/>
  <c r="DH23" i="18"/>
  <c r="DF23" i="18"/>
  <c r="CQ22" i="18"/>
  <c r="CR22" i="18" s="1"/>
  <c r="N9" i="25" s="1"/>
  <c r="CI22" i="18"/>
  <c r="CJ22" i="18" s="1"/>
  <c r="M9" i="25" s="1"/>
  <c r="CA22" i="18"/>
  <c r="CB22" i="18" s="1"/>
  <c r="L9" i="25" s="1"/>
  <c r="BS22" i="18"/>
  <c r="BT22" i="18" s="1"/>
  <c r="K9" i="25" s="1"/>
  <c r="BK22" i="18"/>
  <c r="BL22" i="18" s="1"/>
  <c r="J9" i="25" s="1"/>
  <c r="BI22" i="18"/>
  <c r="BC22" i="18"/>
  <c r="BD22" i="18" s="1"/>
  <c r="I9" i="25" s="1"/>
  <c r="BA22" i="18"/>
  <c r="AU22" i="18"/>
  <c r="AV22" i="18" s="1"/>
  <c r="AN22" i="18"/>
  <c r="G9" i="25" s="1"/>
  <c r="AE22" i="18"/>
  <c r="AG22" i="18" s="1"/>
  <c r="F9" i="25" s="1"/>
  <c r="AC22" i="18"/>
  <c r="W22" i="18"/>
  <c r="Y22" i="18" s="1"/>
  <c r="E9" i="25" s="1"/>
  <c r="DL21" i="18"/>
  <c r="DJ21" i="18"/>
  <c r="DH21" i="18"/>
  <c r="DF21" i="18"/>
  <c r="DD21" i="18"/>
  <c r="DB21" i="18"/>
  <c r="CZ21" i="18"/>
  <c r="CT21" i="18"/>
  <c r="CL21" i="18"/>
  <c r="CD21" i="18"/>
  <c r="BV21" i="18"/>
  <c r="BN21" i="18"/>
  <c r="BF21" i="18"/>
  <c r="AX21" i="18"/>
  <c r="AP21" i="18"/>
  <c r="AH21" i="18"/>
  <c r="Z21" i="18"/>
  <c r="O21" i="18"/>
  <c r="P21" i="18" s="1"/>
  <c r="Q21" i="18" s="1"/>
  <c r="R21" i="18" s="1"/>
  <c r="N21" i="18"/>
  <c r="L21" i="18"/>
  <c r="J21" i="18"/>
  <c r="DL20" i="18"/>
  <c r="DJ20" i="18"/>
  <c r="DH20" i="18"/>
  <c r="DF20" i="18"/>
  <c r="DD20" i="18"/>
  <c r="DB20" i="18"/>
  <c r="CZ20" i="18"/>
  <c r="CT20" i="18"/>
  <c r="CL20" i="18"/>
  <c r="CD20" i="18"/>
  <c r="BV20" i="18"/>
  <c r="BN20" i="18"/>
  <c r="BF20" i="18"/>
  <c r="AX20" i="18"/>
  <c r="AP20" i="18"/>
  <c r="AH20" i="18"/>
  <c r="Z20" i="18"/>
  <c r="O20" i="18"/>
  <c r="P20" i="18" s="1"/>
  <c r="Q20" i="18" s="1"/>
  <c r="R20" i="18" s="1"/>
  <c r="N20" i="18"/>
  <c r="L20" i="18"/>
  <c r="J20" i="18"/>
  <c r="CQ19" i="18"/>
  <c r="CR19" i="18" s="1"/>
  <c r="N8" i="25" s="1"/>
  <c r="CO19" i="18"/>
  <c r="CI19" i="18"/>
  <c r="CA19" i="18"/>
  <c r="CB19" i="18" s="1"/>
  <c r="L8" i="25" s="1"/>
  <c r="BS19" i="18"/>
  <c r="BT19" i="18" s="1"/>
  <c r="K8" i="25" s="1"/>
  <c r="BK19" i="18"/>
  <c r="BL19" i="18" s="1"/>
  <c r="J8" i="25" s="1"/>
  <c r="BI19" i="18"/>
  <c r="BC19" i="18"/>
  <c r="BD19" i="18" s="1"/>
  <c r="I8" i="25" s="1"/>
  <c r="AU19" i="18"/>
  <c r="AV19" i="18" s="1"/>
  <c r="AM19" i="18"/>
  <c r="AN19" i="18" s="1"/>
  <c r="G8" i="25" s="1"/>
  <c r="AK19" i="18"/>
  <c r="AE19" i="18"/>
  <c r="AG19" i="18" s="1"/>
  <c r="F8" i="25" s="1"/>
  <c r="AC19" i="18"/>
  <c r="W19" i="18"/>
  <c r="Y19" i="18" s="1"/>
  <c r="E8" i="25" s="1"/>
  <c r="DL18" i="18"/>
  <c r="DJ18" i="18"/>
  <c r="DH18" i="18"/>
  <c r="DF18" i="18"/>
  <c r="DD18" i="18"/>
  <c r="DB18" i="18"/>
  <c r="CZ18" i="18"/>
  <c r="CT18" i="18"/>
  <c r="CL18" i="18"/>
  <c r="CD18" i="18"/>
  <c r="BV18" i="18"/>
  <c r="BN18" i="18"/>
  <c r="BF18" i="18"/>
  <c r="AX18" i="18"/>
  <c r="AP18" i="18"/>
  <c r="AH18" i="18"/>
  <c r="Z18" i="18"/>
  <c r="O18" i="18"/>
  <c r="P18" i="18" s="1"/>
  <c r="Q18" i="18" s="1"/>
  <c r="R18" i="18" s="1"/>
  <c r="N18" i="18"/>
  <c r="J18" i="18"/>
  <c r="DL17" i="18"/>
  <c r="DJ17" i="18"/>
  <c r="DH17" i="18"/>
  <c r="DF17" i="18"/>
  <c r="DD17" i="18"/>
  <c r="DB17" i="18"/>
  <c r="CZ17" i="18"/>
  <c r="CT17" i="18"/>
  <c r="CL17" i="18"/>
  <c r="CD17" i="18"/>
  <c r="BV17" i="18"/>
  <c r="BN17" i="18"/>
  <c r="BF17" i="18"/>
  <c r="AX17" i="18"/>
  <c r="AP17" i="18"/>
  <c r="AH17" i="18"/>
  <c r="Z17" i="18"/>
  <c r="O17" i="18"/>
  <c r="P17" i="18" s="1"/>
  <c r="Q17" i="18" s="1"/>
  <c r="R17" i="18" s="1"/>
  <c r="N17" i="18"/>
  <c r="J17" i="18"/>
  <c r="CQ16" i="18"/>
  <c r="CI16" i="18"/>
  <c r="CA16" i="18"/>
  <c r="CB16" i="18" s="1"/>
  <c r="L7" i="25" s="1"/>
  <c r="BY16" i="18"/>
  <c r="BS16" i="18"/>
  <c r="BT16" i="18" s="1"/>
  <c r="K7" i="25" s="1"/>
  <c r="BQ16" i="18"/>
  <c r="BK16" i="18"/>
  <c r="BL16" i="18" s="1"/>
  <c r="J7" i="25" s="1"/>
  <c r="BC16" i="18"/>
  <c r="BD16" i="18" s="1"/>
  <c r="I7" i="25" s="1"/>
  <c r="AU16" i="18"/>
  <c r="AV16" i="18" s="1"/>
  <c r="H7" i="25" s="1"/>
  <c r="AS16" i="18"/>
  <c r="AM16" i="18"/>
  <c r="AN16" i="18" s="1"/>
  <c r="G7" i="25" s="1"/>
  <c r="AE16" i="18"/>
  <c r="AG16" i="18" s="1"/>
  <c r="F7" i="25" s="1"/>
  <c r="W16" i="18"/>
  <c r="Y16" i="18" s="1"/>
  <c r="E7" i="25" s="1"/>
  <c r="CT15" i="18"/>
  <c r="CL15" i="18"/>
  <c r="CD15" i="18"/>
  <c r="BV15" i="18"/>
  <c r="BN15" i="18"/>
  <c r="BF15" i="18"/>
  <c r="AX15" i="18"/>
  <c r="AP15" i="18"/>
  <c r="AH15" i="18"/>
  <c r="Z15" i="18"/>
  <c r="M15" i="18"/>
  <c r="DH15" i="18" s="1"/>
  <c r="K15" i="18"/>
  <c r="CT14" i="18"/>
  <c r="CO14" i="18"/>
  <c r="CL14" i="18"/>
  <c r="CG14" i="18"/>
  <c r="CD14" i="18"/>
  <c r="BY14" i="18"/>
  <c r="BV14" i="18"/>
  <c r="BQ14" i="18"/>
  <c r="BN14" i="18"/>
  <c r="BI14" i="18"/>
  <c r="BF14" i="18"/>
  <c r="BA14" i="18"/>
  <c r="AX14" i="18"/>
  <c r="AS14" i="18"/>
  <c r="AP14" i="18"/>
  <c r="AK14" i="18"/>
  <c r="AH14" i="18"/>
  <c r="AC14" i="18"/>
  <c r="Z14" i="18"/>
  <c r="U14" i="18"/>
  <c r="M14" i="18"/>
  <c r="DL14" i="18" s="1"/>
  <c r="L14" i="18"/>
  <c r="J14" i="18"/>
  <c r="DL13" i="18"/>
  <c r="DJ13" i="18"/>
  <c r="DH13" i="18"/>
  <c r="DF13" i="18"/>
  <c r="DD13" i="18"/>
  <c r="DB13" i="18"/>
  <c r="CZ13" i="18"/>
  <c r="CT13" i="18"/>
  <c r="CL13" i="18"/>
  <c r="CD13" i="18"/>
  <c r="BV13" i="18"/>
  <c r="BN13" i="18"/>
  <c r="BF13" i="18"/>
  <c r="AX13" i="18"/>
  <c r="AP13" i="18"/>
  <c r="AH13" i="18"/>
  <c r="Z13" i="18"/>
  <c r="O13" i="18"/>
  <c r="P13" i="18" s="1"/>
  <c r="Q13" i="18" s="1"/>
  <c r="R13" i="18" s="1"/>
  <c r="N13" i="18"/>
  <c r="L13" i="18"/>
  <c r="J13" i="18"/>
  <c r="DL12" i="18"/>
  <c r="DJ12" i="18"/>
  <c r="DH12" i="18"/>
  <c r="DF12" i="18"/>
  <c r="DD12" i="18"/>
  <c r="DB12" i="18"/>
  <c r="CZ12" i="18"/>
  <c r="CT12" i="18"/>
  <c r="CL12" i="18"/>
  <c r="CD12" i="18"/>
  <c r="BV12" i="18"/>
  <c r="BN12" i="18"/>
  <c r="BF12" i="18"/>
  <c r="AX12" i="18"/>
  <c r="AP12" i="18"/>
  <c r="AH12" i="18"/>
  <c r="Z12" i="18"/>
  <c r="O12" i="18"/>
  <c r="P12" i="18" s="1"/>
  <c r="Q12" i="18" s="1"/>
  <c r="R12" i="18" s="1"/>
  <c r="N12" i="18"/>
  <c r="L12" i="18"/>
  <c r="J12" i="18"/>
  <c r="DL11" i="18"/>
  <c r="DJ11" i="18"/>
  <c r="DH11" i="18"/>
  <c r="DF11" i="18"/>
  <c r="DD11" i="18"/>
  <c r="DB11" i="18"/>
  <c r="CZ11" i="18"/>
  <c r="CT11" i="18"/>
  <c r="CL11" i="18"/>
  <c r="CD11" i="18"/>
  <c r="BV11" i="18"/>
  <c r="BN11" i="18"/>
  <c r="BF11" i="18"/>
  <c r="AX11" i="18"/>
  <c r="AP11" i="18"/>
  <c r="AH11" i="18"/>
  <c r="Z11" i="18"/>
  <c r="O11" i="18"/>
  <c r="P11" i="18" s="1"/>
  <c r="Q11" i="18" s="1"/>
  <c r="R11" i="18" s="1"/>
  <c r="N11" i="18"/>
  <c r="L11" i="18"/>
  <c r="J11" i="18"/>
  <c r="DM10" i="18"/>
  <c r="CQ10" i="18"/>
  <c r="CR10" i="18" s="1"/>
  <c r="N4" i="25" s="1"/>
  <c r="CI10" i="18"/>
  <c r="CJ10" i="18" s="1"/>
  <c r="M4" i="25" s="1"/>
  <c r="CG10" i="18"/>
  <c r="CA10" i="18"/>
  <c r="CB10" i="18" s="1"/>
  <c r="L4" i="25" s="1"/>
  <c r="BS10" i="18"/>
  <c r="BT10" i="18" s="1"/>
  <c r="K4" i="25" s="1"/>
  <c r="BK10" i="18"/>
  <c r="BL10" i="18" s="1"/>
  <c r="J4" i="25" s="1"/>
  <c r="BI10" i="18"/>
  <c r="BC10" i="18"/>
  <c r="BD10" i="18" s="1"/>
  <c r="I4" i="25" s="1"/>
  <c r="BA10" i="18"/>
  <c r="AU10" i="18"/>
  <c r="AV10" i="18" s="1"/>
  <c r="H4" i="25" s="1"/>
  <c r="AM10" i="18"/>
  <c r="AN10" i="18" s="1"/>
  <c r="G4" i="25" s="1"/>
  <c r="AE10" i="18"/>
  <c r="AG10" i="18" s="1"/>
  <c r="F4" i="25" s="1"/>
  <c r="AC10" i="18"/>
  <c r="W10" i="18"/>
  <c r="Y10" i="18" s="1"/>
  <c r="E4" i="25" s="1"/>
  <c r="DL9" i="18"/>
  <c r="DJ9" i="18"/>
  <c r="DH9" i="18"/>
  <c r="DF9" i="18"/>
  <c r="DD9" i="18"/>
  <c r="DB9" i="18"/>
  <c r="CZ9" i="18"/>
  <c r="CT9" i="18"/>
  <c r="CL9" i="18"/>
  <c r="CD9" i="18"/>
  <c r="BV9" i="18"/>
  <c r="BN9" i="18"/>
  <c r="BF9" i="18"/>
  <c r="AX9" i="18"/>
  <c r="AP9" i="18"/>
  <c r="AH9" i="18"/>
  <c r="Z9" i="18"/>
  <c r="O9" i="18"/>
  <c r="P9" i="18" s="1"/>
  <c r="Q9" i="18" s="1"/>
  <c r="R9" i="18" s="1"/>
  <c r="N9" i="18"/>
  <c r="L9" i="18"/>
  <c r="J9" i="18"/>
  <c r="DL8" i="18"/>
  <c r="DJ8" i="18"/>
  <c r="DH8" i="18"/>
  <c r="DF8" i="18"/>
  <c r="DD8" i="18"/>
  <c r="DB8" i="18"/>
  <c r="CZ8" i="18"/>
  <c r="CT8" i="18"/>
  <c r="CL8" i="18"/>
  <c r="CD8" i="18"/>
  <c r="BV8" i="18"/>
  <c r="BN8" i="18"/>
  <c r="BF8" i="18"/>
  <c r="AX8" i="18"/>
  <c r="AP8" i="18"/>
  <c r="AH8" i="18"/>
  <c r="Z8" i="18"/>
  <c r="O8" i="18"/>
  <c r="P8" i="18" s="1"/>
  <c r="Q8" i="18" s="1"/>
  <c r="R8" i="18" s="1"/>
  <c r="N8" i="18"/>
  <c r="L8" i="18"/>
  <c r="J8" i="18"/>
  <c r="CQ7" i="18"/>
  <c r="CR7" i="18" s="1"/>
  <c r="CO7" i="18"/>
  <c r="CI7" i="18"/>
  <c r="CJ7" i="18" s="1"/>
  <c r="CA7" i="18"/>
  <c r="CB7" i="18" s="1"/>
  <c r="BS7" i="18"/>
  <c r="BT7" i="18" s="1"/>
  <c r="BQ7" i="18"/>
  <c r="BK7" i="18"/>
  <c r="BL7" i="18" s="1"/>
  <c r="BC7" i="18"/>
  <c r="BD7" i="18" s="1"/>
  <c r="BA7" i="18"/>
  <c r="AU7" i="18"/>
  <c r="AV7" i="18" s="1"/>
  <c r="AS7" i="18"/>
  <c r="AM7" i="18"/>
  <c r="AN7" i="18" s="1"/>
  <c r="AK7" i="18"/>
  <c r="AE7" i="18"/>
  <c r="AG7" i="18" s="1"/>
  <c r="AC7" i="18"/>
  <c r="W7" i="18"/>
  <c r="Y7" i="18" s="1"/>
  <c r="U7" i="18"/>
  <c r="DL6" i="18"/>
  <c r="DJ6" i="18"/>
  <c r="DH6" i="18"/>
  <c r="DF6" i="18"/>
  <c r="DD6" i="18"/>
  <c r="DB6" i="18"/>
  <c r="CZ6" i="18"/>
  <c r="CT6" i="18"/>
  <c r="CL6" i="18"/>
  <c r="CD6" i="18"/>
  <c r="BV6" i="18"/>
  <c r="BN6" i="18"/>
  <c r="BF6" i="18"/>
  <c r="AX6" i="18"/>
  <c r="AP6" i="18"/>
  <c r="AH6" i="18"/>
  <c r="Z6" i="18"/>
  <c r="O6" i="18"/>
  <c r="P6" i="18" s="1"/>
  <c r="Q6" i="18" s="1"/>
  <c r="R6" i="18" s="1"/>
  <c r="N6" i="18"/>
  <c r="L6" i="18"/>
  <c r="J6" i="18"/>
  <c r="DL5" i="18"/>
  <c r="DJ5" i="18"/>
  <c r="DH5" i="18"/>
  <c r="DF5" i="18"/>
  <c r="DD5" i="18"/>
  <c r="DB5" i="18"/>
  <c r="CZ5" i="18"/>
  <c r="CT5" i="18"/>
  <c r="CL5" i="18"/>
  <c r="CD5" i="18"/>
  <c r="BV5" i="18"/>
  <c r="BN5" i="18"/>
  <c r="BF5" i="18"/>
  <c r="AX5" i="18"/>
  <c r="AP5" i="18"/>
  <c r="AH5" i="18"/>
  <c r="Z5" i="18"/>
  <c r="O5" i="18"/>
  <c r="P5" i="18" s="1"/>
  <c r="Q5" i="18" s="1"/>
  <c r="R5" i="18" s="1"/>
  <c r="N5" i="18"/>
  <c r="L5" i="18"/>
  <c r="J5" i="18"/>
  <c r="CQ4" i="18"/>
  <c r="CR4" i="18" s="1"/>
  <c r="CI4" i="18"/>
  <c r="CJ4" i="18" s="1"/>
  <c r="CA4" i="18"/>
  <c r="CB4" i="18" s="1"/>
  <c r="BS4" i="18"/>
  <c r="BT4" i="18" s="1"/>
  <c r="BQ4" i="18"/>
  <c r="BK4" i="18"/>
  <c r="BL4" i="18" s="1"/>
  <c r="BI4" i="18"/>
  <c r="BC4" i="18"/>
  <c r="BD4" i="18" s="1"/>
  <c r="AU4" i="18"/>
  <c r="AV4" i="18" s="1"/>
  <c r="AM4" i="18"/>
  <c r="AN4" i="18" s="1"/>
  <c r="AK4" i="18"/>
  <c r="AE4" i="18"/>
  <c r="AG4" i="18" s="1"/>
  <c r="W4" i="18"/>
  <c r="Y4" i="18" s="1"/>
  <c r="CL3" i="18"/>
  <c r="BF3" i="18"/>
  <c r="BN3" i="18" s="1"/>
  <c r="Y3" i="18"/>
  <c r="AG3" i="18" s="1"/>
  <c r="AN3" i="18" s="1"/>
  <c r="AV3" i="18" s="1"/>
  <c r="BD3" i="18" s="1"/>
  <c r="BL3" i="18" s="1"/>
  <c r="BT3" i="18" s="1"/>
  <c r="CB3" i="18" s="1"/>
  <c r="CJ3" i="18" s="1"/>
  <c r="CR3" i="18" s="1"/>
  <c r="W3" i="18"/>
  <c r="AE3" i="18" s="1"/>
  <c r="AM3" i="18" s="1"/>
  <c r="AU3" i="18" s="1"/>
  <c r="BC3" i="18" s="1"/>
  <c r="BK3" i="18" s="1"/>
  <c r="BS3" i="18" s="1"/>
  <c r="CA3" i="18" s="1"/>
  <c r="CI3" i="18" s="1"/>
  <c r="CQ3" i="18" s="1"/>
  <c r="U3" i="18"/>
  <c r="AC3" i="18" s="1"/>
  <c r="AK3" i="18" s="1"/>
  <c r="AS3" i="18" s="1"/>
  <c r="BA3" i="18" s="1"/>
  <c r="BI3" i="18" s="1"/>
  <c r="BQ3" i="18" s="1"/>
  <c r="BY3" i="18" s="1"/>
  <c r="CG3" i="18" s="1"/>
  <c r="CO3" i="18" s="1"/>
  <c r="T3" i="18"/>
  <c r="AB3" i="18" s="1"/>
  <c r="AJ3" i="18" s="1"/>
  <c r="AR3" i="18" s="1"/>
  <c r="AZ3" i="18" s="1"/>
  <c r="BH3" i="18" s="1"/>
  <c r="BP3" i="18" s="1"/>
  <c r="BX3" i="18" s="1"/>
  <c r="CF3" i="18" s="1"/>
  <c r="CN3" i="18" s="1"/>
  <c r="F106" i="24"/>
  <c r="D106" i="24" s="1"/>
  <c r="F105" i="24"/>
  <c r="D105" i="24" s="1"/>
  <c r="E93" i="24"/>
  <c r="D93" i="24" s="1"/>
  <c r="D92" i="24"/>
  <c r="D90" i="24"/>
  <c r="D89" i="24"/>
  <c r="D88" i="24"/>
  <c r="E73" i="24"/>
  <c r="D73" i="24" s="1"/>
  <c r="D72" i="24"/>
  <c r="E71" i="24"/>
  <c r="D71" i="24" s="1"/>
  <c r="D70" i="24"/>
  <c r="D69" i="24"/>
  <c r="D68" i="24"/>
  <c r="E66" i="24"/>
  <c r="D56" i="24"/>
  <c r="D55" i="24"/>
  <c r="E53" i="24"/>
  <c r="D53" i="24" s="1"/>
  <c r="E50" i="24"/>
  <c r="D50" i="24" s="1"/>
  <c r="D49" i="24"/>
  <c r="D35" i="24"/>
  <c r="D14" i="24" s="1"/>
  <c r="F14" i="24" s="1"/>
  <c r="G14" i="24" s="1"/>
  <c r="D8" i="24"/>
  <c r="A12" i="9"/>
  <c r="A11" i="9"/>
  <c r="A10" i="9"/>
  <c r="A9" i="9"/>
  <c r="A8" i="9"/>
  <c r="A7" i="9"/>
  <c r="A6" i="9"/>
  <c r="A5" i="9"/>
  <c r="A4" i="9"/>
  <c r="A3" i="9"/>
  <c r="F93" i="25" l="1"/>
  <c r="J93" i="25"/>
  <c r="N93" i="25"/>
  <c r="E93" i="25"/>
  <c r="I93" i="25"/>
  <c r="M93" i="25"/>
  <c r="H137" i="12"/>
  <c r="Z9" i="6"/>
  <c r="F66" i="26"/>
  <c r="G108" i="25"/>
  <c r="G109" i="25" s="1"/>
  <c r="G113" i="25" s="1"/>
  <c r="D121" i="25" s="1"/>
  <c r="R67" i="24"/>
  <c r="CR63" i="20"/>
  <c r="R87" i="24" s="1"/>
  <c r="G81" i="27"/>
  <c r="H81" i="27"/>
  <c r="Z17" i="3"/>
  <c r="E50" i="27"/>
  <c r="Z4" i="3"/>
  <c r="E42" i="27"/>
  <c r="P16" i="3"/>
  <c r="Q16" i="3" s="1"/>
  <c r="E49" i="27"/>
  <c r="P15" i="3"/>
  <c r="E48" i="27"/>
  <c r="P21" i="3"/>
  <c r="Q21" i="3" s="1"/>
  <c r="Z7" i="3"/>
  <c r="E43" i="27"/>
  <c r="E25" i="24"/>
  <c r="E7" i="27"/>
  <c r="E8" i="27" s="1"/>
  <c r="CF12" i="19"/>
  <c r="E55" i="27"/>
  <c r="I38" i="27"/>
  <c r="H38" i="27"/>
  <c r="E38" i="27"/>
  <c r="G38" i="27"/>
  <c r="F38" i="27"/>
  <c r="J38" i="27"/>
  <c r="DL66" i="18"/>
  <c r="E35" i="27"/>
  <c r="DH72" i="18"/>
  <c r="H40" i="27"/>
  <c r="I40" i="27"/>
  <c r="J40" i="27"/>
  <c r="F40" i="27"/>
  <c r="G40" i="27"/>
  <c r="Z14" i="6"/>
  <c r="F69" i="26"/>
  <c r="Z15" i="6"/>
  <c r="F70" i="26"/>
  <c r="Z16" i="6"/>
  <c r="F71" i="26"/>
  <c r="Z17" i="6"/>
  <c r="F72" i="26"/>
  <c r="Z18" i="6"/>
  <c r="F73" i="26"/>
  <c r="Z4" i="6"/>
  <c r="F63" i="26"/>
  <c r="Z12" i="6"/>
  <c r="F67" i="26"/>
  <c r="Z13" i="6"/>
  <c r="F68" i="26"/>
  <c r="X42" i="4"/>
  <c r="E42" i="26"/>
  <c r="X52" i="4"/>
  <c r="G52" i="26"/>
  <c r="X53" i="4"/>
  <c r="E53" i="26"/>
  <c r="X56" i="4"/>
  <c r="I56" i="26"/>
  <c r="X57" i="4"/>
  <c r="I57" i="26"/>
  <c r="X58" i="4"/>
  <c r="I58" i="26"/>
  <c r="X59" i="4"/>
  <c r="I59" i="26"/>
  <c r="X60" i="4"/>
  <c r="I60" i="26"/>
  <c r="AB9" i="4"/>
  <c r="E16" i="26"/>
  <c r="X16" i="4"/>
  <c r="E18" i="26"/>
  <c r="AC11" i="5"/>
  <c r="G100" i="26"/>
  <c r="H100" i="26"/>
  <c r="AC29" i="5"/>
  <c r="H114" i="26"/>
  <c r="AA17" i="5"/>
  <c r="H104" i="26"/>
  <c r="AC23" i="5"/>
  <c r="G110" i="26"/>
  <c r="R33" i="5"/>
  <c r="H118" i="26"/>
  <c r="AC7" i="5"/>
  <c r="G99" i="26"/>
  <c r="H99" i="26"/>
  <c r="AC25" i="5"/>
  <c r="G112" i="26"/>
  <c r="DA15" i="20"/>
  <c r="G78" i="26"/>
  <c r="CR9" i="20"/>
  <c r="N64" i="25" s="1"/>
  <c r="O16" i="20"/>
  <c r="P16" i="20" s="1"/>
  <c r="Q16" i="20" s="1"/>
  <c r="R16" i="20" s="1"/>
  <c r="H79" i="26"/>
  <c r="G79" i="26"/>
  <c r="H9" i="25"/>
  <c r="H8" i="25"/>
  <c r="CO32" i="20"/>
  <c r="J32" i="20"/>
  <c r="R12" i="24"/>
  <c r="E10" i="23"/>
  <c r="J40" i="20"/>
  <c r="CR40" i="20"/>
  <c r="L40" i="20"/>
  <c r="CR52" i="18"/>
  <c r="L52" i="18"/>
  <c r="J16" i="18"/>
  <c r="CJ16" i="18"/>
  <c r="M7" i="25" s="1"/>
  <c r="L16" i="18"/>
  <c r="E8" i="23"/>
  <c r="BF43" i="20"/>
  <c r="AX5" i="20"/>
  <c r="BN5" i="20"/>
  <c r="BV32" i="20"/>
  <c r="E12" i="23"/>
  <c r="R66" i="24"/>
  <c r="AB52" i="4"/>
  <c r="AD4" i="19"/>
  <c r="BB4" i="19"/>
  <c r="BZ4" i="19"/>
  <c r="AJ16" i="19"/>
  <c r="S17" i="5"/>
  <c r="T17" i="5" s="1"/>
  <c r="U17" i="5" s="1"/>
  <c r="V17" i="5" s="1"/>
  <c r="O36" i="5"/>
  <c r="AP5" i="20"/>
  <c r="BN40" i="20"/>
  <c r="BN43" i="20"/>
  <c r="CD43" i="20"/>
  <c r="I66" i="24"/>
  <c r="O66" i="24"/>
  <c r="J7" i="19"/>
  <c r="BB22" i="19"/>
  <c r="K66" i="24"/>
  <c r="CT35" i="18"/>
  <c r="BF38" i="18"/>
  <c r="CL38" i="18"/>
  <c r="AP45" i="18"/>
  <c r="BV45" i="18"/>
  <c r="Q65" i="24"/>
  <c r="O20" i="8"/>
  <c r="M19" i="6"/>
  <c r="M20" i="6" s="1"/>
  <c r="E51" i="24" s="1"/>
  <c r="D51" i="24" s="1"/>
  <c r="P57" i="4"/>
  <c r="P6" i="4"/>
  <c r="P60" i="4"/>
  <c r="Z19" i="3"/>
  <c r="BN9" i="20"/>
  <c r="CD9" i="20"/>
  <c r="BF12" i="20"/>
  <c r="K50" i="20"/>
  <c r="Z9" i="20"/>
  <c r="BF9" i="20"/>
  <c r="CD23" i="20"/>
  <c r="X4" i="19"/>
  <c r="BH4" i="19"/>
  <c r="BT4" i="19"/>
  <c r="BB19" i="19"/>
  <c r="N66" i="24"/>
  <c r="M37" i="19"/>
  <c r="E69" i="27" s="1"/>
  <c r="M65" i="24"/>
  <c r="BV10" i="18"/>
  <c r="BV63" i="18"/>
  <c r="CD4" i="18"/>
  <c r="CT4" i="18"/>
  <c r="BF19" i="18"/>
  <c r="AX52" i="18"/>
  <c r="CD52" i="18"/>
  <c r="CT52" i="18"/>
  <c r="BF7" i="18"/>
  <c r="BN25" i="18"/>
  <c r="BV48" i="18"/>
  <c r="CB63" i="20"/>
  <c r="P87" i="24" s="1"/>
  <c r="P67" i="24"/>
  <c r="K29" i="19"/>
  <c r="CD29" i="19" s="1"/>
  <c r="AP9" i="20"/>
  <c r="M48" i="20"/>
  <c r="P65" i="24"/>
  <c r="BN7" i="18"/>
  <c r="CD7" i="18"/>
  <c r="AP10" i="18"/>
  <c r="BN10" i="18"/>
  <c r="DB14" i="18"/>
  <c r="E9" i="23"/>
  <c r="E13" i="23"/>
  <c r="W44" i="19"/>
  <c r="W45" i="19" s="1"/>
  <c r="AU44" i="19"/>
  <c r="AU45" i="19" s="1"/>
  <c r="M46" i="24" s="1"/>
  <c r="BS44" i="19"/>
  <c r="BS45" i="19" s="1"/>
  <c r="BS49" i="19" s="1"/>
  <c r="Q126" i="24" s="1"/>
  <c r="AD7" i="19"/>
  <c r="BB7" i="19"/>
  <c r="BZ7" i="19"/>
  <c r="X13" i="19"/>
  <c r="AV13" i="19"/>
  <c r="BT13" i="19"/>
  <c r="BH16" i="19"/>
  <c r="BT19" i="19"/>
  <c r="BT22" i="19"/>
  <c r="AH5" i="20"/>
  <c r="BV5" i="20"/>
  <c r="CL12" i="20"/>
  <c r="AX28" i="20"/>
  <c r="CD28" i="20"/>
  <c r="CT40" i="20"/>
  <c r="AH43" i="20"/>
  <c r="AX43" i="20"/>
  <c r="CL43" i="20"/>
  <c r="N24" i="3"/>
  <c r="W31" i="5"/>
  <c r="C6" i="23"/>
  <c r="P58" i="4"/>
  <c r="L4" i="6"/>
  <c r="K11" i="19"/>
  <c r="CD11" i="19" s="1"/>
  <c r="M38" i="19"/>
  <c r="CF38" i="19" s="1"/>
  <c r="M17" i="20"/>
  <c r="M38" i="20"/>
  <c r="J65" i="24"/>
  <c r="CD48" i="18"/>
  <c r="AX57" i="18"/>
  <c r="CD57" i="18"/>
  <c r="E11" i="23"/>
  <c r="J4" i="19"/>
  <c r="X7" i="19"/>
  <c r="BH7" i="19"/>
  <c r="BT7" i="19"/>
  <c r="AD13" i="19"/>
  <c r="AP13" i="19"/>
  <c r="BZ13" i="19"/>
  <c r="AP16" i="19"/>
  <c r="X19" i="19"/>
  <c r="AJ19" i="19"/>
  <c r="X22" i="19"/>
  <c r="AJ22" i="19"/>
  <c r="CD5" i="20"/>
  <c r="CT5" i="20"/>
  <c r="AX9" i="20"/>
  <c r="CL9" i="20"/>
  <c r="Z12" i="20"/>
  <c r="AX23" i="20"/>
  <c r="AP32" i="20"/>
  <c r="AH40" i="20"/>
  <c r="Z43" i="20"/>
  <c r="CT43" i="20"/>
  <c r="M46" i="20"/>
  <c r="N25" i="3"/>
  <c r="R17" i="5"/>
  <c r="R31" i="5"/>
  <c r="N64" i="4"/>
  <c r="N66" i="4" s="1"/>
  <c r="P47" i="4"/>
  <c r="AB56" i="4"/>
  <c r="P13" i="6"/>
  <c r="Q13" i="6" s="1"/>
  <c r="R13" i="6" s="1"/>
  <c r="S13" i="6" s="1"/>
  <c r="N20" i="8"/>
  <c r="BF4" i="18"/>
  <c r="CD10" i="18"/>
  <c r="CT25" i="18"/>
  <c r="CL57" i="18"/>
  <c r="CD63" i="18"/>
  <c r="AX10" i="18"/>
  <c r="Z35" i="18"/>
  <c r="CL35" i="18"/>
  <c r="CT38" i="18"/>
  <c r="CL52" i="18"/>
  <c r="K14" i="18"/>
  <c r="N14" i="18" s="1"/>
  <c r="AX19" i="18"/>
  <c r="AH25" i="18"/>
  <c r="AH45" i="18"/>
  <c r="DJ14" i="18"/>
  <c r="CD19" i="18"/>
  <c r="L65" i="24"/>
  <c r="AH4" i="18"/>
  <c r="AX4" i="18"/>
  <c r="Z10" i="18"/>
  <c r="AP16" i="18"/>
  <c r="BF16" i="18"/>
  <c r="CL16" i="18"/>
  <c r="AP19" i="18"/>
  <c r="Z22" i="18"/>
  <c r="AP22" i="18"/>
  <c r="DM24" i="18"/>
  <c r="Z25" i="18"/>
  <c r="DM27" i="18"/>
  <c r="M34" i="18"/>
  <c r="J35" i="18"/>
  <c r="BF35" i="18"/>
  <c r="CD35" i="18"/>
  <c r="AP38" i="18"/>
  <c r="DM42" i="18"/>
  <c r="Z45" i="18"/>
  <c r="AX48" i="18"/>
  <c r="CT48" i="18"/>
  <c r="E5" i="23"/>
  <c r="DM6" i="18"/>
  <c r="L10" i="18"/>
  <c r="L22" i="18"/>
  <c r="AX35" i="18"/>
  <c r="DM36" i="18"/>
  <c r="AP48" i="18"/>
  <c r="DM58" i="18"/>
  <c r="DM62" i="18"/>
  <c r="BN16" i="18"/>
  <c r="DM18" i="18"/>
  <c r="Z19" i="18"/>
  <c r="BV22" i="18"/>
  <c r="CL22" i="18"/>
  <c r="BV25" i="18"/>
  <c r="BN35" i="18"/>
  <c r="CD38" i="18"/>
  <c r="DM47" i="18"/>
  <c r="BF48" i="18"/>
  <c r="CL48" i="18"/>
  <c r="DM51" i="18"/>
  <c r="BV57" i="18"/>
  <c r="AX63" i="18"/>
  <c r="AV63" i="20"/>
  <c r="L87" i="24" s="1"/>
  <c r="L67" i="24"/>
  <c r="M28" i="20"/>
  <c r="W11" i="5"/>
  <c r="H31" i="10"/>
  <c r="H33" i="10" s="1"/>
  <c r="F81" i="11"/>
  <c r="F82" i="11" s="1"/>
  <c r="F83" i="11" s="1"/>
  <c r="F84" i="11" s="1"/>
  <c r="H140" i="12"/>
  <c r="I65" i="24"/>
  <c r="N65" i="24"/>
  <c r="M66" i="24"/>
  <c r="Z4" i="18"/>
  <c r="BN4" i="18"/>
  <c r="CL4" i="18"/>
  <c r="DM5" i="18"/>
  <c r="BV7" i="18"/>
  <c r="DM8" i="18"/>
  <c r="AH10" i="18"/>
  <c r="CL10" i="18"/>
  <c r="Z16" i="18"/>
  <c r="CD16" i="18"/>
  <c r="DM17" i="18"/>
  <c r="BN19" i="18"/>
  <c r="DM20" i="18"/>
  <c r="BF22" i="18"/>
  <c r="CD22" i="18"/>
  <c r="AX25" i="18"/>
  <c r="CD25" i="18"/>
  <c r="K30" i="18"/>
  <c r="AP35" i="18"/>
  <c r="DM37" i="18"/>
  <c r="Z38" i="18"/>
  <c r="AX38" i="18"/>
  <c r="BN38" i="18"/>
  <c r="DM44" i="18"/>
  <c r="BF45" i="18"/>
  <c r="CL45" i="18"/>
  <c r="BN48" i="18"/>
  <c r="AH52" i="18"/>
  <c r="BN52" i="18"/>
  <c r="DM56" i="18"/>
  <c r="CT57" i="18"/>
  <c r="DM59" i="18"/>
  <c r="DM61" i="18"/>
  <c r="AH63" i="18"/>
  <c r="DM64" i="18"/>
  <c r="DM65" i="18"/>
  <c r="O66" i="18"/>
  <c r="P66" i="18" s="1"/>
  <c r="Q66" i="18" s="1"/>
  <c r="R66" i="18" s="1"/>
  <c r="DJ66" i="18"/>
  <c r="DM69" i="18"/>
  <c r="O72" i="18"/>
  <c r="P72" i="18" s="1"/>
  <c r="Q72" i="18" s="1"/>
  <c r="R72" i="18" s="1"/>
  <c r="DF72" i="18"/>
  <c r="AV4" i="19"/>
  <c r="AV7" i="19"/>
  <c r="M11" i="19"/>
  <c r="O12" i="19"/>
  <c r="P12" i="19" s="1"/>
  <c r="Q12" i="19" s="1"/>
  <c r="R12" i="19" s="1"/>
  <c r="BN13" i="19"/>
  <c r="X16" i="19"/>
  <c r="BB16" i="19"/>
  <c r="BN16" i="19"/>
  <c r="J19" i="19"/>
  <c r="AD19" i="19"/>
  <c r="BH19" i="19"/>
  <c r="J22" i="19"/>
  <c r="AD22" i="19"/>
  <c r="BH22" i="19"/>
  <c r="M31" i="19"/>
  <c r="K34" i="19"/>
  <c r="CD34" i="19" s="1"/>
  <c r="O46" i="19"/>
  <c r="P46" i="19" s="1"/>
  <c r="Q46" i="19" s="1"/>
  <c r="R46" i="19" s="1"/>
  <c r="L5" i="20"/>
  <c r="AH9" i="20"/>
  <c r="J12" i="20"/>
  <c r="AH12" i="20"/>
  <c r="BN12" i="20"/>
  <c r="CT12" i="20"/>
  <c r="M22" i="20"/>
  <c r="G71" i="27" s="1"/>
  <c r="K22" i="20"/>
  <c r="Z23" i="20"/>
  <c r="BF23" i="20"/>
  <c r="CL23" i="20"/>
  <c r="AH28" i="20"/>
  <c r="BN28" i="20"/>
  <c r="CT28" i="20"/>
  <c r="AX32" i="20"/>
  <c r="CD32" i="20"/>
  <c r="AP40" i="20"/>
  <c r="BV40" i="20"/>
  <c r="K48" i="20"/>
  <c r="C5" i="23"/>
  <c r="N7" i="3"/>
  <c r="W17" i="5"/>
  <c r="W25" i="5"/>
  <c r="W29" i="5"/>
  <c r="O9" i="4"/>
  <c r="AB47" i="4"/>
  <c r="P53" i="4"/>
  <c r="AB57" i="4"/>
  <c r="P59" i="4"/>
  <c r="AB60" i="4"/>
  <c r="Q23" i="7"/>
  <c r="L9" i="6"/>
  <c r="K140" i="12"/>
  <c r="K137" i="12"/>
  <c r="M7" i="18"/>
  <c r="K25" i="19"/>
  <c r="CD25" i="19" s="1"/>
  <c r="M29" i="19"/>
  <c r="DA16" i="20"/>
  <c r="M20" i="20"/>
  <c r="M37" i="20"/>
  <c r="K37" i="20"/>
  <c r="S41" i="5"/>
  <c r="AB53" i="4"/>
  <c r="Z59" i="4"/>
  <c r="R65" i="24"/>
  <c r="AC4" i="18"/>
  <c r="CO4" i="18"/>
  <c r="AH7" i="18"/>
  <c r="BI7" i="18"/>
  <c r="CT7" i="18"/>
  <c r="U10" i="18"/>
  <c r="BF10" i="18"/>
  <c r="BQ10" i="18"/>
  <c r="DM12" i="18"/>
  <c r="BV16" i="18"/>
  <c r="AH19" i="18"/>
  <c r="CT19" i="18"/>
  <c r="U22" i="18"/>
  <c r="CG22" i="18"/>
  <c r="AC25" i="18"/>
  <c r="BI25" i="18"/>
  <c r="CO25" i="18"/>
  <c r="DM33" i="18"/>
  <c r="U35" i="18"/>
  <c r="BV35" i="18"/>
  <c r="J38" i="18"/>
  <c r="AK38" i="18"/>
  <c r="BV38" i="18"/>
  <c r="AC45" i="18"/>
  <c r="AX45" i="18"/>
  <c r="BQ45" i="18"/>
  <c r="AH48" i="18"/>
  <c r="CG48" i="18"/>
  <c r="Z52" i="18"/>
  <c r="AP52" i="18"/>
  <c r="AS52" i="18"/>
  <c r="BV52" i="18"/>
  <c r="BY52" i="18"/>
  <c r="DM53" i="18"/>
  <c r="DM55" i="18"/>
  <c r="AH57" i="18"/>
  <c r="BN57" i="18"/>
  <c r="BN63" i="18"/>
  <c r="CT63" i="18"/>
  <c r="N66" i="18"/>
  <c r="DB66" i="18"/>
  <c r="K67" i="18"/>
  <c r="DM71" i="18"/>
  <c r="AJ4" i="19"/>
  <c r="AJ7" i="19"/>
  <c r="BB13" i="19"/>
  <c r="AD16" i="19"/>
  <c r="K31" i="19"/>
  <c r="CD31" i="19" s="1"/>
  <c r="M36" i="19"/>
  <c r="E68" i="27" s="1"/>
  <c r="K38" i="19"/>
  <c r="CD38" i="19" s="1"/>
  <c r="AK5" i="20"/>
  <c r="BQ5" i="20"/>
  <c r="BA9" i="20"/>
  <c r="CG9" i="20"/>
  <c r="AP12" i="20"/>
  <c r="BV12" i="20"/>
  <c r="AH23" i="20"/>
  <c r="BN23" i="20"/>
  <c r="CT23" i="20"/>
  <c r="AP28" i="20"/>
  <c r="AS28" i="20"/>
  <c r="BV28" i="20"/>
  <c r="BY28" i="20"/>
  <c r="Z32" i="20"/>
  <c r="BF32" i="20"/>
  <c r="CL32" i="20"/>
  <c r="K35" i="20"/>
  <c r="M35" i="20"/>
  <c r="AX40" i="20"/>
  <c r="CD40" i="20"/>
  <c r="U43" i="20"/>
  <c r="BA43" i="20"/>
  <c r="CG43" i="20"/>
  <c r="K46" i="20"/>
  <c r="M50" i="20"/>
  <c r="O22" i="3"/>
  <c r="Z16" i="3"/>
  <c r="O23" i="3"/>
  <c r="E46" i="24" s="1"/>
  <c r="O7" i="5"/>
  <c r="Q36" i="5"/>
  <c r="W36" i="5" s="1"/>
  <c r="Z57" i="4"/>
  <c r="AB58" i="4"/>
  <c r="H138" i="12"/>
  <c r="F32" i="15"/>
  <c r="M34" i="19"/>
  <c r="E67" i="27" s="1"/>
  <c r="J9" i="20"/>
  <c r="BY7" i="18"/>
  <c r="DM9" i="18"/>
  <c r="AK10" i="18"/>
  <c r="DM11" i="18"/>
  <c r="AK16" i="18"/>
  <c r="BA19" i="18"/>
  <c r="DM21" i="18"/>
  <c r="K32" i="18"/>
  <c r="CO38" i="18"/>
  <c r="DM40" i="18"/>
  <c r="AK45" i="18"/>
  <c r="DM46" i="18"/>
  <c r="BA48" i="18"/>
  <c r="CO48" i="18"/>
  <c r="DM49" i="18"/>
  <c r="CG57" i="18"/>
  <c r="O82" i="18"/>
  <c r="P82" i="18" s="1"/>
  <c r="Q82" i="18" s="1"/>
  <c r="R82" i="18" s="1"/>
  <c r="BE4" i="19"/>
  <c r="BE7" i="19"/>
  <c r="M7" i="19"/>
  <c r="AA13" i="19"/>
  <c r="BW13" i="19"/>
  <c r="J16" i="19"/>
  <c r="M25" i="19"/>
  <c r="AF60" i="20"/>
  <c r="AF61" i="20" s="1"/>
  <c r="J47" i="24" s="1"/>
  <c r="BL60" i="20"/>
  <c r="BL61" i="20" s="1"/>
  <c r="N47" i="24" s="1"/>
  <c r="M4" i="20"/>
  <c r="AS5" i="20"/>
  <c r="BY5" i="20"/>
  <c r="U9" i="20"/>
  <c r="BI9" i="20"/>
  <c r="CO9" i="20"/>
  <c r="N16" i="20"/>
  <c r="K17" i="20"/>
  <c r="K20" i="20"/>
  <c r="L32" i="20"/>
  <c r="K38" i="20"/>
  <c r="N38" i="20" s="1"/>
  <c r="AC43" i="20"/>
  <c r="BI43" i="20"/>
  <c r="CO43" i="20"/>
  <c r="K52" i="20"/>
  <c r="M52" i="20"/>
  <c r="N4" i="3"/>
  <c r="R16" i="3"/>
  <c r="S16" i="3" s="1"/>
  <c r="T16" i="3" s="1"/>
  <c r="U16" i="3" s="1"/>
  <c r="O11" i="5"/>
  <c r="W23" i="5"/>
  <c r="P9" i="4"/>
  <c r="Z58" i="4"/>
  <c r="AB59" i="4"/>
  <c r="T4" i="6"/>
  <c r="AC4" i="6"/>
  <c r="I31" i="10"/>
  <c r="I32" i="10" s="1"/>
  <c r="I34" i="10" s="1"/>
  <c r="Q8" i="6"/>
  <c r="R8" i="6" s="1"/>
  <c r="S8" i="6" s="1"/>
  <c r="T9" i="6"/>
  <c r="P21" i="6"/>
  <c r="Q21" i="6" s="1"/>
  <c r="R21" i="6" s="1"/>
  <c r="S21" i="6" s="1"/>
  <c r="AC9" i="6"/>
  <c r="O13" i="6"/>
  <c r="N12" i="6"/>
  <c r="N14" i="6"/>
  <c r="O14" i="6" s="1"/>
  <c r="N15" i="6"/>
  <c r="O15" i="6" s="1"/>
  <c r="N16" i="6"/>
  <c r="O16" i="6" s="1"/>
  <c r="N17" i="6"/>
  <c r="N18" i="6"/>
  <c r="O18" i="6" s="1"/>
  <c r="O8" i="6"/>
  <c r="R23" i="7"/>
  <c r="S23" i="7" s="1"/>
  <c r="T23" i="7" s="1"/>
  <c r="U23" i="7" s="1"/>
  <c r="X18" i="4"/>
  <c r="Q18" i="4"/>
  <c r="R18" i="4" s="1"/>
  <c r="S18" i="4" s="1"/>
  <c r="T18" i="4" s="1"/>
  <c r="AB18" i="4"/>
  <c r="P18" i="4"/>
  <c r="X12" i="4"/>
  <c r="Q12" i="4"/>
  <c r="R12" i="4" s="1"/>
  <c r="S12" i="4" s="1"/>
  <c r="T12" i="4" s="1"/>
  <c r="AB12" i="4"/>
  <c r="P12" i="4"/>
  <c r="M64" i="4"/>
  <c r="Q4" i="4"/>
  <c r="R4" i="4" s="1"/>
  <c r="S4" i="4" s="1"/>
  <c r="T4" i="4" s="1"/>
  <c r="Q6" i="4"/>
  <c r="R6" i="4" s="1"/>
  <c r="S6" i="4" s="1"/>
  <c r="T6" i="4" s="1"/>
  <c r="Q16" i="4"/>
  <c r="R16" i="4" s="1"/>
  <c r="S16" i="4" s="1"/>
  <c r="T16" i="4" s="1"/>
  <c r="O18" i="4"/>
  <c r="AB4" i="4"/>
  <c r="AB6" i="4"/>
  <c r="AB16" i="4"/>
  <c r="AB42" i="4"/>
  <c r="P52" i="4"/>
  <c r="Q53" i="4"/>
  <c r="R53" i="4" s="1"/>
  <c r="S53" i="4" s="1"/>
  <c r="T53" i="4" s="1"/>
  <c r="P56" i="4"/>
  <c r="Q57" i="4"/>
  <c r="R57" i="4" s="1"/>
  <c r="S57" i="4" s="1"/>
  <c r="T57" i="4" s="1"/>
  <c r="Q58" i="4"/>
  <c r="R58" i="4" s="1"/>
  <c r="S58" i="4" s="1"/>
  <c r="T58" i="4" s="1"/>
  <c r="Q59" i="4"/>
  <c r="R59" i="4" s="1"/>
  <c r="S59" i="4" s="1"/>
  <c r="T59" i="4" s="1"/>
  <c r="Q60" i="4"/>
  <c r="R60" i="4" s="1"/>
  <c r="S60" i="4" s="1"/>
  <c r="T60" i="4" s="1"/>
  <c r="X4" i="4"/>
  <c r="X6" i="4"/>
  <c r="O12" i="4"/>
  <c r="P4" i="4"/>
  <c r="Q9" i="4"/>
  <c r="R9" i="4" s="1"/>
  <c r="S9" i="4" s="1"/>
  <c r="T9" i="4" s="1"/>
  <c r="X9" i="4"/>
  <c r="P16" i="4"/>
  <c r="P42" i="4"/>
  <c r="Q47" i="4"/>
  <c r="R47" i="4" s="1"/>
  <c r="S47" i="4" s="1"/>
  <c r="T47" i="4" s="1"/>
  <c r="X47" i="4"/>
  <c r="M63" i="4"/>
  <c r="Q42" i="4"/>
  <c r="R42" i="4" s="1"/>
  <c r="S42" i="4" s="1"/>
  <c r="T42" i="4" s="1"/>
  <c r="N63" i="4"/>
  <c r="Q52" i="4"/>
  <c r="R52" i="4" s="1"/>
  <c r="S52" i="4" s="1"/>
  <c r="T52" i="4" s="1"/>
  <c r="Q56" i="4"/>
  <c r="R56" i="4" s="1"/>
  <c r="S56" i="4" s="1"/>
  <c r="T56" i="4" s="1"/>
  <c r="AA41" i="5"/>
  <c r="AC41" i="5"/>
  <c r="P45" i="5"/>
  <c r="AA36" i="5"/>
  <c r="S36" i="5"/>
  <c r="T36" i="5" s="1"/>
  <c r="U36" i="5" s="1"/>
  <c r="V36" i="5" s="1"/>
  <c r="AC36" i="5"/>
  <c r="AG36" i="5"/>
  <c r="AG43" i="5" s="1"/>
  <c r="AA23" i="5"/>
  <c r="AA25" i="5"/>
  <c r="AD25" i="5" s="1"/>
  <c r="AA29" i="5"/>
  <c r="S7" i="5"/>
  <c r="W7" i="5"/>
  <c r="S11" i="5"/>
  <c r="T11" i="5" s="1"/>
  <c r="U11" i="5" s="1"/>
  <c r="V11" i="5" s="1"/>
  <c r="AC17" i="5"/>
  <c r="S23" i="5"/>
  <c r="T23" i="5" s="1"/>
  <c r="U23" i="5" s="1"/>
  <c r="V23" i="5" s="1"/>
  <c r="O25" i="5"/>
  <c r="S25" i="5"/>
  <c r="T25" i="5" s="1"/>
  <c r="U25" i="5" s="1"/>
  <c r="V25" i="5" s="1"/>
  <c r="AE25" i="5"/>
  <c r="S29" i="5"/>
  <c r="T29" i="5" s="1"/>
  <c r="U29" i="5" s="1"/>
  <c r="V29" i="5" s="1"/>
  <c r="AC31" i="5"/>
  <c r="AA33" i="5"/>
  <c r="T4" i="5"/>
  <c r="U4" i="5" s="1"/>
  <c r="V4" i="5" s="1"/>
  <c r="R7" i="5"/>
  <c r="R11" i="5"/>
  <c r="R23" i="5"/>
  <c r="R25" i="5"/>
  <c r="R29" i="5"/>
  <c r="AA31" i="5"/>
  <c r="S33" i="5"/>
  <c r="T33" i="5" s="1"/>
  <c r="U33" i="5" s="1"/>
  <c r="V33" i="5" s="1"/>
  <c r="W33" i="5"/>
  <c r="P42" i="5"/>
  <c r="AA7" i="5"/>
  <c r="AA11" i="5"/>
  <c r="AC33" i="5"/>
  <c r="S31" i="5"/>
  <c r="T31" i="5" s="1"/>
  <c r="U31" i="5" s="1"/>
  <c r="V31" i="5" s="1"/>
  <c r="R15" i="3"/>
  <c r="Z15" i="3"/>
  <c r="P17" i="3"/>
  <c r="Q17" i="3" s="1"/>
  <c r="Q19" i="3"/>
  <c r="R21" i="3"/>
  <c r="S21" i="3" s="1"/>
  <c r="T21" i="3" s="1"/>
  <c r="U21" i="3" s="1"/>
  <c r="Z21" i="3"/>
  <c r="Q15" i="3"/>
  <c r="R17" i="3"/>
  <c r="S17" i="3" s="1"/>
  <c r="T17" i="3" s="1"/>
  <c r="U17" i="3" s="1"/>
  <c r="E65" i="24"/>
  <c r="O62" i="20"/>
  <c r="P62" i="20" s="1"/>
  <c r="Q62" i="20" s="1"/>
  <c r="R62" i="20" s="1"/>
  <c r="I67" i="24"/>
  <c r="X63" i="20"/>
  <c r="M67" i="24"/>
  <c r="BD63" i="20"/>
  <c r="M87" i="24" s="1"/>
  <c r="Q67" i="24"/>
  <c r="CJ63" i="20"/>
  <c r="Q87" i="24" s="1"/>
  <c r="M12" i="20"/>
  <c r="AN60" i="20"/>
  <c r="AN61" i="20" s="1"/>
  <c r="BT60" i="20"/>
  <c r="BT61" i="20" s="1"/>
  <c r="AF57" i="20"/>
  <c r="J27" i="24" s="1"/>
  <c r="BL57" i="20"/>
  <c r="N27" i="24" s="1"/>
  <c r="M23" i="20"/>
  <c r="J67" i="24"/>
  <c r="AF63" i="20"/>
  <c r="J87" i="24" s="1"/>
  <c r="BL63" i="20"/>
  <c r="N87" i="24" s="1"/>
  <c r="N67" i="24"/>
  <c r="AV60" i="20"/>
  <c r="AV61" i="20" s="1"/>
  <c r="CB60" i="20"/>
  <c r="CB61" i="20" s="1"/>
  <c r="M32" i="20"/>
  <c r="AN63" i="20"/>
  <c r="K87" i="24" s="1"/>
  <c r="K67" i="24"/>
  <c r="BT63" i="20"/>
  <c r="O87" i="24" s="1"/>
  <c r="O67" i="24"/>
  <c r="X60" i="20"/>
  <c r="BD60" i="20"/>
  <c r="BD61" i="20" s="1"/>
  <c r="CJ60" i="20"/>
  <c r="CJ61" i="20" s="1"/>
  <c r="AV57" i="20"/>
  <c r="L27" i="24" s="1"/>
  <c r="CB57" i="20"/>
  <c r="P27" i="24" s="1"/>
  <c r="M43" i="20"/>
  <c r="BV23" i="20"/>
  <c r="Z28" i="20"/>
  <c r="BN32" i="20"/>
  <c r="BF40" i="20"/>
  <c r="CL40" i="20"/>
  <c r="BV43" i="20"/>
  <c r="K4" i="20"/>
  <c r="J5" i="20"/>
  <c r="L9" i="20"/>
  <c r="CT9" i="20"/>
  <c r="CY16" i="20"/>
  <c r="L23" i="20"/>
  <c r="J28" i="20"/>
  <c r="L43" i="20"/>
  <c r="BF5" i="20"/>
  <c r="CY15" i="20"/>
  <c r="AH32" i="20"/>
  <c r="Z40" i="20"/>
  <c r="M5" i="20"/>
  <c r="AC5" i="20"/>
  <c r="BI5" i="20"/>
  <c r="CO5" i="20"/>
  <c r="AS9" i="20"/>
  <c r="BY9" i="20"/>
  <c r="L12" i="20"/>
  <c r="U12" i="20"/>
  <c r="BA12" i="20"/>
  <c r="CG12" i="20"/>
  <c r="O15" i="20"/>
  <c r="P15" i="20" s="1"/>
  <c r="Q15" i="20" s="1"/>
  <c r="R15" i="20" s="1"/>
  <c r="AS23" i="20"/>
  <c r="BY23" i="20"/>
  <c r="AC28" i="20"/>
  <c r="BI28" i="20"/>
  <c r="CO28" i="20"/>
  <c r="BQ32" i="20"/>
  <c r="AC40" i="20"/>
  <c r="BI40" i="20"/>
  <c r="CO40" i="20"/>
  <c r="AS43" i="20"/>
  <c r="BY43" i="20"/>
  <c r="X57" i="20"/>
  <c r="I27" i="24" s="1"/>
  <c r="AN57" i="20"/>
  <c r="K27" i="24" s="1"/>
  <c r="BD57" i="20"/>
  <c r="M27" i="24" s="1"/>
  <c r="BT57" i="20"/>
  <c r="O27" i="24" s="1"/>
  <c r="CJ57" i="20"/>
  <c r="Q27" i="24" s="1"/>
  <c r="Z5" i="20"/>
  <c r="CL5" i="20"/>
  <c r="BV9" i="20"/>
  <c r="AX12" i="20"/>
  <c r="CD12" i="20"/>
  <c r="AP23" i="20"/>
  <c r="BF28" i="20"/>
  <c r="CL28" i="20"/>
  <c r="CT32" i="20"/>
  <c r="AP43" i="20"/>
  <c r="N15" i="20"/>
  <c r="J23" i="20"/>
  <c r="L28" i="20"/>
  <c r="J43" i="20"/>
  <c r="BY41" i="19"/>
  <c r="BY44" i="19"/>
  <c r="BY45" i="19" s="1"/>
  <c r="M4" i="19"/>
  <c r="I86" i="24"/>
  <c r="AI44" i="19"/>
  <c r="AI45" i="19" s="1"/>
  <c r="AI41" i="19"/>
  <c r="BM41" i="19"/>
  <c r="BM44" i="19"/>
  <c r="BM45" i="19" s="1"/>
  <c r="M19" i="19"/>
  <c r="E58" i="27" s="1"/>
  <c r="M22" i="19"/>
  <c r="E59" i="27" s="1"/>
  <c r="AC41" i="19"/>
  <c r="AC44" i="19"/>
  <c r="AC45" i="19" s="1"/>
  <c r="M86" i="24"/>
  <c r="N86" i="24"/>
  <c r="BA41" i="19"/>
  <c r="BA44" i="19"/>
  <c r="BA45" i="19" s="1"/>
  <c r="AO41" i="19"/>
  <c r="AO44" i="19"/>
  <c r="AO45" i="19" s="1"/>
  <c r="BG44" i="19"/>
  <c r="BG45" i="19" s="1"/>
  <c r="BG41" i="19"/>
  <c r="M13" i="19"/>
  <c r="E56" i="27" s="1"/>
  <c r="AP4" i="19"/>
  <c r="AP19" i="19"/>
  <c r="BN19" i="19"/>
  <c r="AP22" i="19"/>
  <c r="Q66" i="24"/>
  <c r="AA4" i="19"/>
  <c r="AY4" i="19"/>
  <c r="BW4" i="19"/>
  <c r="AA7" i="19"/>
  <c r="AY7" i="19"/>
  <c r="BW7" i="19"/>
  <c r="N12" i="19"/>
  <c r="CH12" i="19" s="1"/>
  <c r="L13" i="19"/>
  <c r="U13" i="19"/>
  <c r="AS13" i="19"/>
  <c r="BQ13" i="19"/>
  <c r="W41" i="19"/>
  <c r="AU41" i="19"/>
  <c r="BS41" i="19"/>
  <c r="BN4" i="19"/>
  <c r="AP7" i="19"/>
  <c r="BN7" i="19"/>
  <c r="AO47" i="19"/>
  <c r="L86" i="24" s="1"/>
  <c r="BM47" i="19"/>
  <c r="P86" i="24" s="1"/>
  <c r="F85" i="24" s="1"/>
  <c r="D85" i="24" s="1"/>
  <c r="L4" i="19"/>
  <c r="U4" i="19"/>
  <c r="AS4" i="19"/>
  <c r="BQ4" i="19"/>
  <c r="L7" i="19"/>
  <c r="U7" i="19"/>
  <c r="AS7" i="19"/>
  <c r="BQ7" i="19"/>
  <c r="AM13" i="19"/>
  <c r="AM41" i="19" s="1"/>
  <c r="BK13" i="19"/>
  <c r="BK41" i="19" s="1"/>
  <c r="L16" i="19"/>
  <c r="BT16" i="19"/>
  <c r="L19" i="19"/>
  <c r="L22" i="19"/>
  <c r="AJ13" i="19"/>
  <c r="BH13" i="19"/>
  <c r="BN22" i="19"/>
  <c r="AC47" i="19"/>
  <c r="J86" i="24" s="1"/>
  <c r="J13" i="19"/>
  <c r="Y76" i="18"/>
  <c r="Y79" i="18"/>
  <c r="AG79" i="18"/>
  <c r="AG80" i="18" s="1"/>
  <c r="AG84" i="18" s="1"/>
  <c r="AG76" i="18"/>
  <c r="M4" i="18"/>
  <c r="BD76" i="18"/>
  <c r="BD79" i="18"/>
  <c r="BD80" i="18" s="1"/>
  <c r="AN76" i="18"/>
  <c r="AN79" i="18"/>
  <c r="AN80" i="18" s="1"/>
  <c r="BL79" i="18"/>
  <c r="BL80" i="18" s="1"/>
  <c r="BL76" i="18"/>
  <c r="AV79" i="18"/>
  <c r="AV80" i="18" s="1"/>
  <c r="AV76" i="18"/>
  <c r="CB79" i="18"/>
  <c r="CB80" i="18" s="1"/>
  <c r="CB76" i="18"/>
  <c r="CO10" i="18"/>
  <c r="J10" i="18"/>
  <c r="CG25" i="18"/>
  <c r="J25" i="18"/>
  <c r="DJ15" i="18"/>
  <c r="DB15" i="18"/>
  <c r="N15" i="18"/>
  <c r="DL15" i="18"/>
  <c r="DD15" i="18"/>
  <c r="O15" i="18"/>
  <c r="P15" i="18" s="1"/>
  <c r="Q15" i="18" s="1"/>
  <c r="R15" i="18" s="1"/>
  <c r="DF15" i="18"/>
  <c r="BT25" i="18"/>
  <c r="L25" i="18"/>
  <c r="CJ48" i="18"/>
  <c r="L48" i="18"/>
  <c r="CG52" i="18"/>
  <c r="J52" i="18"/>
  <c r="AX7" i="18"/>
  <c r="M30" i="18"/>
  <c r="M67" i="18"/>
  <c r="E36" i="27" s="1"/>
  <c r="K65" i="24"/>
  <c r="O65" i="24"/>
  <c r="L4" i="18"/>
  <c r="U4" i="18"/>
  <c r="BA4" i="18"/>
  <c r="CG4" i="18"/>
  <c r="Z7" i="18"/>
  <c r="AP7" i="18"/>
  <c r="DM13" i="18"/>
  <c r="CZ15" i="18"/>
  <c r="AH16" i="18"/>
  <c r="AH22" i="18"/>
  <c r="AX22" i="18"/>
  <c r="DM23" i="18"/>
  <c r="DM31" i="18"/>
  <c r="AH38" i="18"/>
  <c r="DM39" i="18"/>
  <c r="M43" i="18"/>
  <c r="K43" i="18"/>
  <c r="J45" i="18"/>
  <c r="CD45" i="18"/>
  <c r="CT45" i="18"/>
  <c r="Z48" i="18"/>
  <c r="DM50" i="18"/>
  <c r="DM54" i="18"/>
  <c r="AP57" i="18"/>
  <c r="BF57" i="18"/>
  <c r="DM60" i="18"/>
  <c r="CL63" i="18"/>
  <c r="DM68" i="18"/>
  <c r="CO22" i="18"/>
  <c r="J22" i="18"/>
  <c r="CR16" i="18"/>
  <c r="N7" i="25" s="1"/>
  <c r="BQ19" i="18"/>
  <c r="J19" i="18"/>
  <c r="CJ19" i="18"/>
  <c r="L19" i="18"/>
  <c r="CR38" i="18"/>
  <c r="L38" i="18"/>
  <c r="BQ48" i="18"/>
  <c r="J48" i="18"/>
  <c r="CJ57" i="18"/>
  <c r="L57" i="18"/>
  <c r="BV4" i="18"/>
  <c r="K34" i="18"/>
  <c r="M41" i="18"/>
  <c r="AS4" i="18"/>
  <c r="BY4" i="18"/>
  <c r="CT10" i="18"/>
  <c r="AX16" i="18"/>
  <c r="BN22" i="18"/>
  <c r="CT22" i="18"/>
  <c r="CL25" i="18"/>
  <c r="M28" i="18"/>
  <c r="F23" i="27" s="1"/>
  <c r="K28" i="18"/>
  <c r="M32" i="18"/>
  <c r="F25" i="27" s="1"/>
  <c r="BN45" i="18"/>
  <c r="Z57" i="18"/>
  <c r="Z63" i="18"/>
  <c r="AP63" i="18"/>
  <c r="BF63" i="18"/>
  <c r="BQ63" i="18"/>
  <c r="J63" i="18"/>
  <c r="P73" i="18"/>
  <c r="Q73" i="18" s="1"/>
  <c r="R73" i="18" s="1"/>
  <c r="CR35" i="18"/>
  <c r="L35" i="18"/>
  <c r="CR45" i="18"/>
  <c r="L45" i="18"/>
  <c r="BQ57" i="18"/>
  <c r="J57" i="18"/>
  <c r="CJ63" i="18"/>
  <c r="L63" i="18"/>
  <c r="AP4" i="18"/>
  <c r="K41" i="18"/>
  <c r="J4" i="18"/>
  <c r="J7" i="18"/>
  <c r="CL7" i="18"/>
  <c r="M10" i="18"/>
  <c r="CT16" i="18"/>
  <c r="BV19" i="18"/>
  <c r="CL19" i="18"/>
  <c r="M22" i="18"/>
  <c r="AP25" i="18"/>
  <c r="BF25" i="18"/>
  <c r="DM26" i="18"/>
  <c r="DM29" i="18"/>
  <c r="AH35" i="18"/>
  <c r="BF52" i="18"/>
  <c r="M70" i="18"/>
  <c r="K70" i="18"/>
  <c r="O81" i="18"/>
  <c r="P81" i="18" s="1"/>
  <c r="Q81" i="18" s="1"/>
  <c r="R81" i="18" s="1"/>
  <c r="L7" i="18"/>
  <c r="CG7" i="18"/>
  <c r="AS10" i="18"/>
  <c r="BY10" i="18"/>
  <c r="O14" i="18"/>
  <c r="P14" i="18" s="1"/>
  <c r="Q14" i="18" s="1"/>
  <c r="R14" i="18" s="1"/>
  <c r="CZ14" i="18"/>
  <c r="DH14" i="18"/>
  <c r="AC16" i="18"/>
  <c r="BI16" i="18"/>
  <c r="CO16" i="18"/>
  <c r="U19" i="18"/>
  <c r="CG19" i="18"/>
  <c r="AS22" i="18"/>
  <c r="BY22" i="18"/>
  <c r="AK25" i="18"/>
  <c r="BQ25" i="18"/>
  <c r="AC35" i="18"/>
  <c r="BI35" i="18"/>
  <c r="CO35" i="18"/>
  <c r="AC38" i="18"/>
  <c r="CZ66" i="18"/>
  <c r="DH66" i="18"/>
  <c r="DD72" i="18"/>
  <c r="DL72" i="18"/>
  <c r="DF14" i="18"/>
  <c r="U16" i="18"/>
  <c r="BA16" i="18"/>
  <c r="CG16" i="18"/>
  <c r="AS19" i="18"/>
  <c r="BY19" i="18"/>
  <c r="AK22" i="18"/>
  <c r="BQ22" i="18"/>
  <c r="BA35" i="18"/>
  <c r="CG35" i="18"/>
  <c r="BA38" i="18"/>
  <c r="CG38" i="18"/>
  <c r="U45" i="18"/>
  <c r="BA45" i="18"/>
  <c r="CG45" i="18"/>
  <c r="AS48" i="18"/>
  <c r="BY48" i="18"/>
  <c r="AC52" i="18"/>
  <c r="BI52" i="18"/>
  <c r="CO52" i="18"/>
  <c r="AS57" i="18"/>
  <c r="BY57" i="18"/>
  <c r="AS63" i="18"/>
  <c r="BY63" i="18"/>
  <c r="DF66" i="18"/>
  <c r="N72" i="18"/>
  <c r="DB72" i="18"/>
  <c r="DJ72" i="18"/>
  <c r="DD14" i="18"/>
  <c r="DD66" i="18"/>
  <c r="CZ72" i="18"/>
  <c r="D33" i="24"/>
  <c r="D12" i="24" s="1"/>
  <c r="F12" i="24" s="1"/>
  <c r="G12" i="24" s="1"/>
  <c r="O11" i="24" s="1"/>
  <c r="D114" i="24"/>
  <c r="D118" i="24" s="1"/>
  <c r="D120" i="24" s="1"/>
  <c r="D102" i="24" s="1"/>
  <c r="C144" i="24" s="1"/>
  <c r="K138" i="12" l="1"/>
  <c r="E132" i="24" s="1"/>
  <c r="D132" i="24" s="1"/>
  <c r="I125" i="26"/>
  <c r="H110" i="26"/>
  <c r="H124" i="26" s="1"/>
  <c r="G124" i="26"/>
  <c r="G24" i="27"/>
  <c r="H24" i="27"/>
  <c r="I24" i="27"/>
  <c r="DJ7" i="18"/>
  <c r="H18" i="27"/>
  <c r="J18" i="27"/>
  <c r="E18" i="27"/>
  <c r="F18" i="27"/>
  <c r="G18" i="27"/>
  <c r="CZ34" i="18"/>
  <c r="E26" i="27"/>
  <c r="J21" i="27"/>
  <c r="F21" i="27"/>
  <c r="G21" i="27"/>
  <c r="H21" i="27"/>
  <c r="I21" i="27"/>
  <c r="E21" i="27"/>
  <c r="H29" i="27"/>
  <c r="I29" i="27"/>
  <c r="E29" i="27"/>
  <c r="E41" i="27" s="1"/>
  <c r="J29" i="27"/>
  <c r="J41" i="27" s="1"/>
  <c r="F29" i="27"/>
  <c r="F41" i="27" s="1"/>
  <c r="G29" i="27"/>
  <c r="E45" i="24"/>
  <c r="E127" i="26"/>
  <c r="E128" i="26" s="1"/>
  <c r="D133" i="26" s="1"/>
  <c r="B2" i="34" s="1"/>
  <c r="Z26" i="6"/>
  <c r="B4" i="23" s="1"/>
  <c r="F4" i="23" s="1"/>
  <c r="J73" i="27"/>
  <c r="F73" i="27"/>
  <c r="G73" i="27"/>
  <c r="H73" i="27"/>
  <c r="I73" i="27"/>
  <c r="H85" i="26"/>
  <c r="G74" i="27"/>
  <c r="G90" i="26"/>
  <c r="G79" i="27"/>
  <c r="H79" i="27"/>
  <c r="H83" i="26"/>
  <c r="G72" i="27"/>
  <c r="H72" i="27"/>
  <c r="I72" i="27"/>
  <c r="J72" i="27"/>
  <c r="F72" i="27"/>
  <c r="CF11" i="19"/>
  <c r="E54" i="27"/>
  <c r="O25" i="19"/>
  <c r="P25" i="19" s="1"/>
  <c r="Q25" i="19" s="1"/>
  <c r="R25" i="19" s="1"/>
  <c r="E60" i="27"/>
  <c r="O7" i="19"/>
  <c r="P7" i="19" s="1"/>
  <c r="Q7" i="19" s="1"/>
  <c r="R7" i="19" s="1"/>
  <c r="E53" i="27"/>
  <c r="CF29" i="19"/>
  <c r="E64" i="27"/>
  <c r="R48" i="25"/>
  <c r="T48" i="25" s="1"/>
  <c r="X48" i="25" s="1"/>
  <c r="E57" i="27"/>
  <c r="CF31" i="19"/>
  <c r="E65" i="27"/>
  <c r="I7" i="26"/>
  <c r="I39" i="27"/>
  <c r="J39" i="27"/>
  <c r="F39" i="27"/>
  <c r="E39" i="27"/>
  <c r="G39" i="27"/>
  <c r="H39" i="27"/>
  <c r="F127" i="26"/>
  <c r="F128" i="26" s="1"/>
  <c r="D134" i="26" s="1"/>
  <c r="B6" i="34" s="1"/>
  <c r="CY52" i="20"/>
  <c r="H95" i="26"/>
  <c r="I95" i="26"/>
  <c r="G95" i="26"/>
  <c r="DA35" i="20"/>
  <c r="G86" i="26"/>
  <c r="DA48" i="20"/>
  <c r="H92" i="26"/>
  <c r="DA4" i="20"/>
  <c r="G74" i="26"/>
  <c r="H74" i="26"/>
  <c r="DA46" i="20"/>
  <c r="G91" i="26"/>
  <c r="H91" i="26"/>
  <c r="DG28" i="20"/>
  <c r="H84" i="26"/>
  <c r="DA17" i="20"/>
  <c r="H80" i="26"/>
  <c r="DA20" i="20"/>
  <c r="H81" i="26"/>
  <c r="DG22" i="20"/>
  <c r="G82" i="26"/>
  <c r="CY37" i="20"/>
  <c r="G87" i="26"/>
  <c r="G75" i="26"/>
  <c r="H75" i="26"/>
  <c r="H77" i="26"/>
  <c r="G77" i="26"/>
  <c r="DC50" i="20"/>
  <c r="G94" i="26"/>
  <c r="H94" i="26"/>
  <c r="I94" i="26"/>
  <c r="O38" i="20"/>
  <c r="P38" i="20" s="1"/>
  <c r="Q38" i="20" s="1"/>
  <c r="R38" i="20" s="1"/>
  <c r="H88" i="26"/>
  <c r="M40" i="20"/>
  <c r="DI40" i="20" s="1"/>
  <c r="N83" i="25"/>
  <c r="CR60" i="20"/>
  <c r="CR61" i="20" s="1"/>
  <c r="CR65" i="20" s="1"/>
  <c r="R127" i="24" s="1"/>
  <c r="M9" i="20"/>
  <c r="O9" i="20" s="1"/>
  <c r="P9" i="20" s="1"/>
  <c r="Q9" i="20" s="1"/>
  <c r="R9" i="20" s="1"/>
  <c r="N37" i="19"/>
  <c r="CH37" i="19" s="1"/>
  <c r="I10" i="26"/>
  <c r="CF34" i="19"/>
  <c r="I8" i="26"/>
  <c r="O36" i="19"/>
  <c r="P36" i="19" s="1"/>
  <c r="Q36" i="19" s="1"/>
  <c r="R36" i="19" s="1"/>
  <c r="I9" i="26"/>
  <c r="M52" i="18"/>
  <c r="DL52" i="18" s="1"/>
  <c r="N31" i="25"/>
  <c r="M63" i="18"/>
  <c r="M33" i="25"/>
  <c r="M45" i="18"/>
  <c r="DD45" i="18" s="1"/>
  <c r="N29" i="25"/>
  <c r="M19" i="18"/>
  <c r="M8" i="25"/>
  <c r="M25" i="18"/>
  <c r="K10" i="25"/>
  <c r="M35" i="18"/>
  <c r="N21" i="25"/>
  <c r="M57" i="18"/>
  <c r="M32" i="25"/>
  <c r="M38" i="18"/>
  <c r="N22" i="25"/>
  <c r="M48" i="18"/>
  <c r="DB48" i="18" s="1"/>
  <c r="M30" i="25"/>
  <c r="CR57" i="20"/>
  <c r="R27" i="24" s="1"/>
  <c r="F27" i="24" s="1"/>
  <c r="S12" i="24"/>
  <c r="K32" i="20"/>
  <c r="N32" i="20" s="1"/>
  <c r="N36" i="19"/>
  <c r="CH36" i="19" s="1"/>
  <c r="K40" i="20"/>
  <c r="M16" i="18"/>
  <c r="Q46" i="24"/>
  <c r="CY48" i="20"/>
  <c r="O50" i="20"/>
  <c r="P50" i="20" s="1"/>
  <c r="Q50" i="20" s="1"/>
  <c r="R50" i="20" s="1"/>
  <c r="U60" i="20"/>
  <c r="U61" i="20" s="1"/>
  <c r="U65" i="20" s="1"/>
  <c r="BQ60" i="20"/>
  <c r="BQ61" i="20" s="1"/>
  <c r="BQ65" i="20" s="1"/>
  <c r="AU49" i="19"/>
  <c r="M126" i="24" s="1"/>
  <c r="O4" i="20"/>
  <c r="P4" i="20" s="1"/>
  <c r="Q4" i="20" s="1"/>
  <c r="R4" i="20" s="1"/>
  <c r="P19" i="6"/>
  <c r="Q19" i="6" s="1"/>
  <c r="R19" i="6" s="1"/>
  <c r="S19" i="6" s="1"/>
  <c r="O37" i="19"/>
  <c r="P37" i="19" s="1"/>
  <c r="Q37" i="19" s="1"/>
  <c r="R37" i="19" s="1"/>
  <c r="O31" i="19"/>
  <c r="P31" i="19" s="1"/>
  <c r="Q31" i="19" s="1"/>
  <c r="R31" i="19" s="1"/>
  <c r="CF37" i="19"/>
  <c r="O17" i="20"/>
  <c r="P17" i="20" s="1"/>
  <c r="Q17" i="20" s="1"/>
  <c r="R17" i="20" s="1"/>
  <c r="DA50" i="20"/>
  <c r="O52" i="20"/>
  <c r="P52" i="20" s="1"/>
  <c r="Q52" i="20" s="1"/>
  <c r="R52" i="20" s="1"/>
  <c r="O35" i="20"/>
  <c r="P35" i="20" s="1"/>
  <c r="Q35" i="20" s="1"/>
  <c r="R35" i="20" s="1"/>
  <c r="O22" i="20"/>
  <c r="P22" i="20" s="1"/>
  <c r="Q22" i="20" s="1"/>
  <c r="R22" i="20" s="1"/>
  <c r="O20" i="20"/>
  <c r="P20" i="20" s="1"/>
  <c r="Q20" i="20" s="1"/>
  <c r="R20" i="20" s="1"/>
  <c r="CY17" i="20"/>
  <c r="N22" i="20"/>
  <c r="DK28" i="20"/>
  <c r="O48" i="20"/>
  <c r="P48" i="20" s="1"/>
  <c r="Q48" i="20" s="1"/>
  <c r="R48" i="20" s="1"/>
  <c r="CF7" i="19"/>
  <c r="N31" i="19"/>
  <c r="CH31" i="19" s="1"/>
  <c r="DA52" i="20"/>
  <c r="E32" i="24"/>
  <c r="D32" i="24" s="1"/>
  <c r="D11" i="24" s="1"/>
  <c r="F11" i="24" s="1"/>
  <c r="G11" i="24" s="1"/>
  <c r="O8" i="24" s="1"/>
  <c r="I33" i="10"/>
  <c r="I36" i="10" s="1"/>
  <c r="I40" i="10" s="1"/>
  <c r="E52" i="24"/>
  <c r="D52" i="24" s="1"/>
  <c r="BA60" i="20"/>
  <c r="BA61" i="20" s="1"/>
  <c r="BA65" i="20" s="1"/>
  <c r="AS60" i="20"/>
  <c r="AS61" i="20" s="1"/>
  <c r="AS65" i="20" s="1"/>
  <c r="N46" i="20"/>
  <c r="N37" i="20"/>
  <c r="N50" i="20"/>
  <c r="O46" i="20"/>
  <c r="P46" i="20" s="1"/>
  <c r="Q46" i="20" s="1"/>
  <c r="R46" i="20" s="1"/>
  <c r="CY46" i="20"/>
  <c r="N4" i="20"/>
  <c r="O37" i="20"/>
  <c r="P37" i="20" s="1"/>
  <c r="Q37" i="20" s="1"/>
  <c r="R37" i="20" s="1"/>
  <c r="CY4" i="20"/>
  <c r="H32" i="10"/>
  <c r="H34" i="10" s="1"/>
  <c r="E31" i="24"/>
  <c r="D31" i="24" s="1"/>
  <c r="D10" i="24" s="1"/>
  <c r="F10" i="24" s="1"/>
  <c r="G10" i="24" s="1"/>
  <c r="O14" i="24" s="1"/>
  <c r="M24" i="6"/>
  <c r="K43" i="20"/>
  <c r="N43" i="20" s="1"/>
  <c r="K23" i="20"/>
  <c r="N23" i="20" s="1"/>
  <c r="K12" i="20"/>
  <c r="N12" i="20" s="1"/>
  <c r="N52" i="20"/>
  <c r="N35" i="20"/>
  <c r="N20" i="20"/>
  <c r="DI28" i="20"/>
  <c r="N11" i="19"/>
  <c r="CH11" i="19" s="1"/>
  <c r="O34" i="19"/>
  <c r="P34" i="19" s="1"/>
  <c r="Q34" i="19" s="1"/>
  <c r="R34" i="19" s="1"/>
  <c r="O38" i="19"/>
  <c r="P38" i="19" s="1"/>
  <c r="Q38" i="19" s="1"/>
  <c r="R38" i="19" s="1"/>
  <c r="F66" i="24"/>
  <c r="D66" i="24" s="1"/>
  <c r="BE41" i="19"/>
  <c r="O34" i="18"/>
  <c r="P34" i="18" s="1"/>
  <c r="Q34" i="18" s="1"/>
  <c r="R34" i="18" s="1"/>
  <c r="DJ34" i="18"/>
  <c r="DL34" i="18"/>
  <c r="N29" i="19"/>
  <c r="CH29" i="19" s="1"/>
  <c r="N25" i="19"/>
  <c r="CH25" i="19" s="1"/>
  <c r="CO57" i="20"/>
  <c r="O28" i="3"/>
  <c r="DF34" i="18"/>
  <c r="DB34" i="18"/>
  <c r="N38" i="19"/>
  <c r="CH38" i="19" s="1"/>
  <c r="BK44" i="19"/>
  <c r="BK45" i="19" s="1"/>
  <c r="BK49" i="19" s="1"/>
  <c r="O29" i="19"/>
  <c r="P29" i="19" s="1"/>
  <c r="Q29" i="19" s="1"/>
  <c r="R29" i="19" s="1"/>
  <c r="CF25" i="19"/>
  <c r="N17" i="20"/>
  <c r="CY35" i="20"/>
  <c r="CY20" i="20"/>
  <c r="DC52" i="20"/>
  <c r="DE28" i="20"/>
  <c r="Q22" i="3"/>
  <c r="Q42" i="5"/>
  <c r="Q43" i="5" s="1"/>
  <c r="Q48" i="5" s="1"/>
  <c r="Z69" i="4"/>
  <c r="B5" i="23" s="1"/>
  <c r="DH34" i="18"/>
  <c r="N34" i="18"/>
  <c r="DD34" i="18"/>
  <c r="DH7" i="18"/>
  <c r="N34" i="19"/>
  <c r="CH34" i="19" s="1"/>
  <c r="N48" i="20"/>
  <c r="DM28" i="20"/>
  <c r="R36" i="5"/>
  <c r="AF65" i="20"/>
  <c r="J127" i="24" s="1"/>
  <c r="AG44" i="19"/>
  <c r="AG45" i="19" s="1"/>
  <c r="AG49" i="19" s="1"/>
  <c r="K48" i="18"/>
  <c r="AC79" i="18"/>
  <c r="AC80" i="18" s="1"/>
  <c r="AC84" i="18" s="1"/>
  <c r="BI76" i="18"/>
  <c r="DL7" i="18"/>
  <c r="DM72" i="18"/>
  <c r="AK76" i="18"/>
  <c r="O7" i="18"/>
  <c r="P7" i="18" s="1"/>
  <c r="Q7" i="18" s="1"/>
  <c r="R7" i="18" s="1"/>
  <c r="CZ7" i="18"/>
  <c r="DB7" i="18"/>
  <c r="DD7" i="18"/>
  <c r="DF7" i="18"/>
  <c r="BY57" i="20"/>
  <c r="AC60" i="20"/>
  <c r="AC61" i="20" s="1"/>
  <c r="AC65" i="20" s="1"/>
  <c r="BQ57" i="20"/>
  <c r="P22" i="3"/>
  <c r="AG41" i="19"/>
  <c r="K57" i="18"/>
  <c r="K19" i="18"/>
  <c r="CO76" i="18"/>
  <c r="K7" i="18"/>
  <c r="N7" i="18" s="1"/>
  <c r="BQ76" i="18"/>
  <c r="F65" i="24"/>
  <c r="D65" i="24" s="1"/>
  <c r="BT79" i="18"/>
  <c r="BT80" i="18" s="1"/>
  <c r="BT84" i="18" s="1"/>
  <c r="O125" i="24" s="1"/>
  <c r="K13" i="19"/>
  <c r="CD13" i="19" s="1"/>
  <c r="CF36" i="19"/>
  <c r="O11" i="19"/>
  <c r="P11" i="19" s="1"/>
  <c r="Q11" i="19" s="1"/>
  <c r="R11" i="19" s="1"/>
  <c r="AK57" i="20"/>
  <c r="BI57" i="20"/>
  <c r="CY50" i="20"/>
  <c r="DA37" i="20"/>
  <c r="DA28" i="20"/>
  <c r="CY28" i="20"/>
  <c r="T41" i="5"/>
  <c r="U41" i="5" s="1"/>
  <c r="V41" i="5" s="1"/>
  <c r="S44" i="5"/>
  <c r="T44" i="5" s="1"/>
  <c r="U44" i="5" s="1"/>
  <c r="V44" i="5" s="1"/>
  <c r="AC43" i="5"/>
  <c r="B7" i="23" s="1"/>
  <c r="AA43" i="5"/>
  <c r="K63" i="18"/>
  <c r="BA57" i="20"/>
  <c r="AS57" i="20"/>
  <c r="O28" i="20"/>
  <c r="P28" i="20" s="1"/>
  <c r="Q28" i="20" s="1"/>
  <c r="R28" i="20" s="1"/>
  <c r="BE44" i="19"/>
  <c r="BE45" i="19" s="1"/>
  <c r="BE49" i="19" s="1"/>
  <c r="F86" i="24"/>
  <c r="D86" i="24" s="1"/>
  <c r="F67" i="24"/>
  <c r="D16" i="24"/>
  <c r="F16" i="24" s="1"/>
  <c r="G16" i="24" s="1"/>
  <c r="O15" i="24" s="1"/>
  <c r="H36" i="10"/>
  <c r="AC17" i="6"/>
  <c r="P17" i="6"/>
  <c r="Q17" i="6" s="1"/>
  <c r="R17" i="6" s="1"/>
  <c r="S17" i="6" s="1"/>
  <c r="P12" i="6"/>
  <c r="AC12" i="6"/>
  <c r="O12" i="6"/>
  <c r="AC16" i="6"/>
  <c r="P16" i="6"/>
  <c r="Q16" i="6" s="1"/>
  <c r="R16" i="6" s="1"/>
  <c r="S16" i="6" s="1"/>
  <c r="AC18" i="6"/>
  <c r="P18" i="6"/>
  <c r="Q18" i="6" s="1"/>
  <c r="R18" i="6" s="1"/>
  <c r="S18" i="6" s="1"/>
  <c r="P14" i="6"/>
  <c r="Q14" i="6" s="1"/>
  <c r="R14" i="6" s="1"/>
  <c r="S14" i="6" s="1"/>
  <c r="AC14" i="6"/>
  <c r="O17" i="6"/>
  <c r="N19" i="6"/>
  <c r="P15" i="6"/>
  <c r="Q15" i="6" s="1"/>
  <c r="R15" i="6" s="1"/>
  <c r="S15" i="6" s="1"/>
  <c r="AC15" i="6"/>
  <c r="E28" i="24"/>
  <c r="D28" i="24" s="1"/>
  <c r="D7" i="24" s="1"/>
  <c r="F7" i="24" s="1"/>
  <c r="G7" i="24" s="1"/>
  <c r="P63" i="4"/>
  <c r="E48" i="24"/>
  <c r="D48" i="24" s="1"/>
  <c r="M66" i="4"/>
  <c r="Q63" i="4"/>
  <c r="R63" i="4" s="1"/>
  <c r="S63" i="4" s="1"/>
  <c r="T63" i="4" s="1"/>
  <c r="X69" i="4"/>
  <c r="B3" i="23" s="1"/>
  <c r="F3" i="23" s="1"/>
  <c r="Q64" i="4"/>
  <c r="R64" i="4" s="1"/>
  <c r="S64" i="4" s="1"/>
  <c r="T64" i="4" s="1"/>
  <c r="AB69" i="4"/>
  <c r="P43" i="5"/>
  <c r="S43" i="5"/>
  <c r="T7" i="5"/>
  <c r="U7" i="5" s="1"/>
  <c r="V7" i="5" s="1"/>
  <c r="AH25" i="5"/>
  <c r="AH43" i="5" s="1"/>
  <c r="AH45" i="5"/>
  <c r="AE43" i="5"/>
  <c r="AE45" i="5"/>
  <c r="C11" i="23" s="1"/>
  <c r="P46" i="5"/>
  <c r="E87" i="24" s="1"/>
  <c r="E67" i="24"/>
  <c r="S42" i="5"/>
  <c r="T42" i="5" s="1"/>
  <c r="U42" i="5" s="1"/>
  <c r="V42" i="5" s="1"/>
  <c r="P23" i="3"/>
  <c r="P28" i="3" s="1"/>
  <c r="R23" i="3"/>
  <c r="S15" i="3"/>
  <c r="T15" i="3" s="1"/>
  <c r="U15" i="3" s="1"/>
  <c r="R22" i="3"/>
  <c r="S22" i="3" s="1"/>
  <c r="T22" i="3" s="1"/>
  <c r="U22" i="3" s="1"/>
  <c r="B8" i="23"/>
  <c r="F8" i="23" s="1"/>
  <c r="B9" i="23"/>
  <c r="B10" i="23"/>
  <c r="B13" i="23"/>
  <c r="B12" i="23"/>
  <c r="O63" i="20"/>
  <c r="P63" i="20" s="1"/>
  <c r="Q63" i="20" s="1"/>
  <c r="R63" i="20" s="1"/>
  <c r="I87" i="24"/>
  <c r="F87" i="24" s="1"/>
  <c r="CB65" i="20"/>
  <c r="P127" i="24" s="1"/>
  <c r="P47" i="24"/>
  <c r="BT65" i="20"/>
  <c r="O127" i="24" s="1"/>
  <c r="O47" i="24"/>
  <c r="AC57" i="20"/>
  <c r="CG60" i="20"/>
  <c r="CG61" i="20" s="1"/>
  <c r="CG65" i="20" s="1"/>
  <c r="BI60" i="20"/>
  <c r="BI61" i="20" s="1"/>
  <c r="BI65" i="20" s="1"/>
  <c r="K5" i="20"/>
  <c r="N5" i="20" s="1"/>
  <c r="AK60" i="20"/>
  <c r="AK61" i="20" s="1"/>
  <c r="AK65" i="20" s="1"/>
  <c r="BY60" i="20"/>
  <c r="BY61" i="20" s="1"/>
  <c r="BY65" i="20" s="1"/>
  <c r="U57" i="20"/>
  <c r="CG57" i="20"/>
  <c r="BL65" i="20"/>
  <c r="N127" i="24" s="1"/>
  <c r="DA43" i="20"/>
  <c r="CY43" i="20"/>
  <c r="DG43" i="20"/>
  <c r="O43" i="20"/>
  <c r="P43" i="20" s="1"/>
  <c r="Q43" i="20" s="1"/>
  <c r="R43" i="20" s="1"/>
  <c r="DI43" i="20"/>
  <c r="M47" i="24"/>
  <c r="BD65" i="20"/>
  <c r="M127" i="24" s="1"/>
  <c r="O5" i="20"/>
  <c r="P5" i="20" s="1"/>
  <c r="Q5" i="20" s="1"/>
  <c r="R5" i="20" s="1"/>
  <c r="CY5" i="20"/>
  <c r="DA5" i="20"/>
  <c r="CJ65" i="20"/>
  <c r="Q127" i="24" s="1"/>
  <c r="Q47" i="24"/>
  <c r="X61" i="20"/>
  <c r="K28" i="20"/>
  <c r="N28" i="20" s="1"/>
  <c r="CO60" i="20"/>
  <c r="CO61" i="20" s="1"/>
  <c r="CO65" i="20" s="1"/>
  <c r="K9" i="20"/>
  <c r="CY32" i="20"/>
  <c r="DA32" i="20"/>
  <c r="DG32" i="20"/>
  <c r="O32" i="20"/>
  <c r="P32" i="20" s="1"/>
  <c r="Q32" i="20" s="1"/>
  <c r="R32" i="20" s="1"/>
  <c r="AV65" i="20"/>
  <c r="L127" i="24" s="1"/>
  <c r="L47" i="24"/>
  <c r="DK23" i="20"/>
  <c r="DA23" i="20"/>
  <c r="CY23" i="20"/>
  <c r="DM23" i="20"/>
  <c r="DE23" i="20"/>
  <c r="O23" i="20"/>
  <c r="P23" i="20" s="1"/>
  <c r="Q23" i="20" s="1"/>
  <c r="R23" i="20" s="1"/>
  <c r="DI23" i="20"/>
  <c r="DG23" i="20"/>
  <c r="AN65" i="20"/>
  <c r="K127" i="24" s="1"/>
  <c r="K47" i="24"/>
  <c r="O12" i="20"/>
  <c r="P12" i="20" s="1"/>
  <c r="Q12" i="20" s="1"/>
  <c r="R12" i="20" s="1"/>
  <c r="DA12" i="20"/>
  <c r="CY12" i="20"/>
  <c r="O46" i="24"/>
  <c r="BG49" i="19"/>
  <c r="O126" i="24" s="1"/>
  <c r="O45" i="19"/>
  <c r="W49" i="19"/>
  <c r="I46" i="24"/>
  <c r="O19" i="19"/>
  <c r="P19" i="19" s="1"/>
  <c r="Q19" i="19" s="1"/>
  <c r="R19" i="19" s="1"/>
  <c r="CF19" i="19"/>
  <c r="BM49" i="19"/>
  <c r="P126" i="24" s="1"/>
  <c r="P46" i="24"/>
  <c r="M41" i="19"/>
  <c r="O4" i="19"/>
  <c r="M42" i="19"/>
  <c r="CF4" i="19"/>
  <c r="U44" i="19"/>
  <c r="U45" i="19" s="1"/>
  <c r="U49" i="19" s="1"/>
  <c r="U41" i="19"/>
  <c r="AA44" i="19"/>
  <c r="AA45" i="19" s="1"/>
  <c r="AA49" i="19" s="1"/>
  <c r="AA41" i="19"/>
  <c r="CF13" i="19"/>
  <c r="O13" i="19"/>
  <c r="P13" i="19" s="1"/>
  <c r="Q13" i="19" s="1"/>
  <c r="R13" i="19" s="1"/>
  <c r="O22" i="19"/>
  <c r="P22" i="19" s="1"/>
  <c r="Q22" i="19" s="1"/>
  <c r="R22" i="19" s="1"/>
  <c r="CF22" i="19"/>
  <c r="K46" i="24"/>
  <c r="AI49" i="19"/>
  <c r="K126" i="24" s="1"/>
  <c r="K22" i="19"/>
  <c r="CD22" i="19" s="1"/>
  <c r="O44" i="19"/>
  <c r="AM44" i="19"/>
  <c r="AM45" i="19" s="1"/>
  <c r="AM49" i="19" s="1"/>
  <c r="AS41" i="19"/>
  <c r="AS44" i="19"/>
  <c r="AS45" i="19" s="1"/>
  <c r="AS49" i="19" s="1"/>
  <c r="AY44" i="19"/>
  <c r="AY45" i="19" s="1"/>
  <c r="AY49" i="19" s="1"/>
  <c r="AY41" i="19"/>
  <c r="K19" i="19"/>
  <c r="CD19" i="19" s="1"/>
  <c r="K7" i="19"/>
  <c r="BQ41" i="19"/>
  <c r="BQ44" i="19"/>
  <c r="BQ45" i="19" s="1"/>
  <c r="BQ49" i="19" s="1"/>
  <c r="K4" i="19"/>
  <c r="CD4" i="19" s="1"/>
  <c r="BW41" i="19"/>
  <c r="BW44" i="19"/>
  <c r="BW45" i="19" s="1"/>
  <c r="BW49" i="19" s="1"/>
  <c r="AO49" i="19"/>
  <c r="L126" i="24" s="1"/>
  <c r="L46" i="24"/>
  <c r="BA49" i="19"/>
  <c r="N126" i="24" s="1"/>
  <c r="N46" i="24"/>
  <c r="AC49" i="19"/>
  <c r="J126" i="24" s="1"/>
  <c r="J46" i="24"/>
  <c r="BY49" i="19"/>
  <c r="R126" i="24" s="1"/>
  <c r="R46" i="24"/>
  <c r="O47" i="19"/>
  <c r="P47" i="19" s="1"/>
  <c r="Q47" i="19" s="1"/>
  <c r="R47" i="19" s="1"/>
  <c r="DL10" i="18"/>
  <c r="O10" i="18"/>
  <c r="P10" i="18" s="1"/>
  <c r="Q10" i="18" s="1"/>
  <c r="R10" i="18" s="1"/>
  <c r="O28" i="18"/>
  <c r="P28" i="18" s="1"/>
  <c r="Q28" i="18" s="1"/>
  <c r="R28" i="18" s="1"/>
  <c r="CZ28" i="18"/>
  <c r="DM28" i="18" s="1"/>
  <c r="DL28" i="18"/>
  <c r="N28" i="18"/>
  <c r="AS79" i="18"/>
  <c r="AS80" i="18" s="1"/>
  <c r="AS84" i="18" s="1"/>
  <c r="AS76" i="18"/>
  <c r="BA79" i="18"/>
  <c r="BA80" i="18" s="1"/>
  <c r="BA84" i="18" s="1"/>
  <c r="BA76" i="18"/>
  <c r="AV84" i="18"/>
  <c r="L125" i="24" s="1"/>
  <c r="L45" i="24"/>
  <c r="AN84" i="18"/>
  <c r="K125" i="24" s="1"/>
  <c r="K45" i="24"/>
  <c r="BD84" i="18"/>
  <c r="M125" i="24" s="1"/>
  <c r="M45" i="24"/>
  <c r="DJ4" i="18"/>
  <c r="DB4" i="18"/>
  <c r="DL4" i="18"/>
  <c r="DD4" i="18"/>
  <c r="O4" i="18"/>
  <c r="DH4" i="18"/>
  <c r="DF4" i="18"/>
  <c r="CZ4" i="18"/>
  <c r="DH22" i="18"/>
  <c r="CZ22" i="18"/>
  <c r="DJ22" i="18"/>
  <c r="DB22" i="18"/>
  <c r="DL22" i="18"/>
  <c r="DD22" i="18"/>
  <c r="O22" i="18"/>
  <c r="P22" i="18" s="1"/>
  <c r="Q22" i="18" s="1"/>
  <c r="R22" i="18" s="1"/>
  <c r="DF22" i="18"/>
  <c r="BY79" i="18"/>
  <c r="BY80" i="18" s="1"/>
  <c r="BY84" i="18" s="1"/>
  <c r="BY76" i="18"/>
  <c r="DL43" i="18"/>
  <c r="DD43" i="18"/>
  <c r="O43" i="18"/>
  <c r="P43" i="18" s="1"/>
  <c r="Q43" i="18" s="1"/>
  <c r="R43" i="18" s="1"/>
  <c r="DF43" i="18"/>
  <c r="DH43" i="18"/>
  <c r="CZ43" i="18"/>
  <c r="DB43" i="18"/>
  <c r="N43" i="18"/>
  <c r="DJ43" i="18"/>
  <c r="CG79" i="18"/>
  <c r="CG80" i="18" s="1"/>
  <c r="CG84" i="18" s="1"/>
  <c r="CG76" i="18"/>
  <c r="DF30" i="18"/>
  <c r="DH30" i="18"/>
  <c r="CZ30" i="18"/>
  <c r="DJ30" i="18"/>
  <c r="DB30" i="18"/>
  <c r="N30" i="18"/>
  <c r="DD30" i="18"/>
  <c r="DL30" i="18"/>
  <c r="O30" i="18"/>
  <c r="P30" i="18" s="1"/>
  <c r="Q30" i="18" s="1"/>
  <c r="R30" i="18" s="1"/>
  <c r="BL84" i="18"/>
  <c r="N125" i="24" s="1"/>
  <c r="N45" i="24"/>
  <c r="Y80" i="18"/>
  <c r="K45" i="18"/>
  <c r="K35" i="18"/>
  <c r="BI79" i="18"/>
  <c r="BI80" i="18" s="1"/>
  <c r="BI84" i="18" s="1"/>
  <c r="AC76" i="18"/>
  <c r="K10" i="18"/>
  <c r="N10" i="18" s="1"/>
  <c r="CJ76" i="18"/>
  <c r="BT76" i="18"/>
  <c r="K52" i="18"/>
  <c r="K38" i="18"/>
  <c r="CO79" i="18"/>
  <c r="CO80" i="18" s="1"/>
  <c r="CO84" i="18" s="1"/>
  <c r="DM15" i="18"/>
  <c r="BQ79" i="18"/>
  <c r="BQ80" i="18" s="1"/>
  <c r="BQ84" i="18" s="1"/>
  <c r="CJ79" i="18"/>
  <c r="CJ80" i="18" s="1"/>
  <c r="DF32" i="18"/>
  <c r="DH32" i="18"/>
  <c r="CZ32" i="18"/>
  <c r="DJ32" i="18"/>
  <c r="DB32" i="18"/>
  <c r="N32" i="18"/>
  <c r="DL32" i="18"/>
  <c r="O32" i="18"/>
  <c r="P32" i="18" s="1"/>
  <c r="Q32" i="18" s="1"/>
  <c r="R32" i="18" s="1"/>
  <c r="DD32" i="18"/>
  <c r="DL41" i="18"/>
  <c r="DD41" i="18"/>
  <c r="O41" i="18"/>
  <c r="P41" i="18" s="1"/>
  <c r="Q41" i="18" s="1"/>
  <c r="R41" i="18" s="1"/>
  <c r="DF41" i="18"/>
  <c r="DH41" i="18"/>
  <c r="CZ41" i="18"/>
  <c r="DJ41" i="18"/>
  <c r="DB41" i="18"/>
  <c r="N41" i="18"/>
  <c r="CB84" i="18"/>
  <c r="P125" i="24" s="1"/>
  <c r="P45" i="24"/>
  <c r="J125" i="24"/>
  <c r="J45" i="24"/>
  <c r="DM66" i="18"/>
  <c r="K25" i="18"/>
  <c r="AK79" i="18"/>
  <c r="AK80" i="18" s="1"/>
  <c r="AK84" i="18" s="1"/>
  <c r="CR79" i="18"/>
  <c r="CR80" i="18" s="1"/>
  <c r="DL70" i="18"/>
  <c r="DD70" i="18"/>
  <c r="O70" i="18"/>
  <c r="P70" i="18" s="1"/>
  <c r="Q70" i="18" s="1"/>
  <c r="R70" i="18" s="1"/>
  <c r="DF70" i="18"/>
  <c r="DH70" i="18"/>
  <c r="CZ70" i="18"/>
  <c r="DJ70" i="18"/>
  <c r="DB70" i="18"/>
  <c r="N70" i="18"/>
  <c r="U79" i="18"/>
  <c r="U80" i="18" s="1"/>
  <c r="U84" i="18" s="1"/>
  <c r="U76" i="18"/>
  <c r="DF67" i="18"/>
  <c r="DH67" i="18"/>
  <c r="CZ67" i="18"/>
  <c r="DJ67" i="18"/>
  <c r="DB67" i="18"/>
  <c r="N67" i="18"/>
  <c r="DD67" i="18"/>
  <c r="DL67" i="18"/>
  <c r="O67" i="18"/>
  <c r="P67" i="18" s="1"/>
  <c r="Q67" i="18" s="1"/>
  <c r="R67" i="18" s="1"/>
  <c r="K16" i="18"/>
  <c r="DM14" i="18"/>
  <c r="K4" i="18"/>
  <c r="N4" i="18" s="1"/>
  <c r="K22" i="18"/>
  <c r="N22" i="18" s="1"/>
  <c r="CR76" i="18"/>
  <c r="E27" i="24"/>
  <c r="S11" i="24"/>
  <c r="R11" i="24"/>
  <c r="V48" i="25" l="1"/>
  <c r="S54" i="25" s="1"/>
  <c r="I47" i="25" s="1"/>
  <c r="H96" i="26"/>
  <c r="I33" i="27"/>
  <c r="J33" i="27"/>
  <c r="G33" i="27"/>
  <c r="H33" i="27"/>
  <c r="F33" i="27"/>
  <c r="O25" i="18"/>
  <c r="F22" i="27"/>
  <c r="G96" i="26"/>
  <c r="E70" i="27"/>
  <c r="G41" i="27"/>
  <c r="H41" i="27"/>
  <c r="I41" i="27"/>
  <c r="M77" i="18"/>
  <c r="CZ52" i="18"/>
  <c r="DM52" i="18" s="1"/>
  <c r="CY9" i="20"/>
  <c r="CY58" i="20" s="1"/>
  <c r="D6" i="23" s="1"/>
  <c r="O38" i="18"/>
  <c r="P38" i="18" s="1"/>
  <c r="Q38" i="18" s="1"/>
  <c r="R38" i="18" s="1"/>
  <c r="E28" i="27"/>
  <c r="CZ35" i="18"/>
  <c r="DM35" i="18" s="1"/>
  <c r="E27" i="27"/>
  <c r="DL19" i="18"/>
  <c r="H20" i="27"/>
  <c r="I20" i="27"/>
  <c r="J20" i="27"/>
  <c r="F20" i="27"/>
  <c r="G20" i="27"/>
  <c r="DJ63" i="18"/>
  <c r="E31" i="27"/>
  <c r="E34" i="27"/>
  <c r="O16" i="18"/>
  <c r="P16" i="18" s="1"/>
  <c r="Q16" i="18" s="1"/>
  <c r="R16" i="18" s="1"/>
  <c r="H19" i="27"/>
  <c r="I19" i="27"/>
  <c r="I83" i="27" s="1"/>
  <c r="G19" i="27"/>
  <c r="DD57" i="18"/>
  <c r="DH25" i="18"/>
  <c r="M58" i="20"/>
  <c r="M57" i="20"/>
  <c r="CZ38" i="18"/>
  <c r="DM38" i="18" s="1"/>
  <c r="O60" i="20"/>
  <c r="N40" i="20"/>
  <c r="DB25" i="18"/>
  <c r="DJ57" i="18"/>
  <c r="H78" i="27"/>
  <c r="G78" i="27"/>
  <c r="R47" i="24"/>
  <c r="F46" i="24" s="1"/>
  <c r="D46" i="24" s="1"/>
  <c r="DJ48" i="18"/>
  <c r="I127" i="26"/>
  <c r="I128" i="26" s="1"/>
  <c r="D137" i="26" s="1"/>
  <c r="DD19" i="18"/>
  <c r="DB63" i="18"/>
  <c r="O40" i="20"/>
  <c r="P40" i="20" s="1"/>
  <c r="Q40" i="20" s="1"/>
  <c r="R40" i="20" s="1"/>
  <c r="G89" i="26"/>
  <c r="G127" i="26" s="1"/>
  <c r="G128" i="26" s="1"/>
  <c r="D136" i="26" s="1"/>
  <c r="DC58" i="20"/>
  <c r="H127" i="26"/>
  <c r="H128" i="26" s="1"/>
  <c r="D135" i="26" s="1"/>
  <c r="B7" i="34" s="1"/>
  <c r="DA9" i="20"/>
  <c r="DA58" i="20" s="1"/>
  <c r="D7" i="23" s="1"/>
  <c r="F7" i="23" s="1"/>
  <c r="N9" i="20"/>
  <c r="CZ25" i="18"/>
  <c r="CZ57" i="18"/>
  <c r="DH48" i="18"/>
  <c r="DD25" i="18"/>
  <c r="DL57" i="18"/>
  <c r="O52" i="18"/>
  <c r="P52" i="18" s="1"/>
  <c r="Q52" i="18" s="1"/>
  <c r="R52" i="18" s="1"/>
  <c r="DL48" i="18"/>
  <c r="DL45" i="18"/>
  <c r="DF25" i="18"/>
  <c r="N25" i="18"/>
  <c r="O57" i="18"/>
  <c r="P57" i="18" s="1"/>
  <c r="Q57" i="18" s="1"/>
  <c r="R57" i="18" s="1"/>
  <c r="N52" i="18"/>
  <c r="O48" i="18"/>
  <c r="P48" i="18" s="1"/>
  <c r="Q48" i="18" s="1"/>
  <c r="R48" i="18" s="1"/>
  <c r="CZ45" i="18"/>
  <c r="DM45" i="18" s="1"/>
  <c r="DL25" i="18"/>
  <c r="DJ25" i="18"/>
  <c r="DF57" i="18"/>
  <c r="DB57" i="18"/>
  <c r="DL35" i="18"/>
  <c r="N45" i="18"/>
  <c r="CZ48" i="18"/>
  <c r="DD48" i="18"/>
  <c r="O45" i="18"/>
  <c r="P45" i="18" s="1"/>
  <c r="Q45" i="18" s="1"/>
  <c r="R45" i="18" s="1"/>
  <c r="N57" i="18"/>
  <c r="N48" i="18"/>
  <c r="P25" i="18"/>
  <c r="Q25" i="18" s="1"/>
  <c r="R25" i="18" s="1"/>
  <c r="DH57" i="18"/>
  <c r="DF48" i="18"/>
  <c r="DH19" i="18"/>
  <c r="DF63" i="18"/>
  <c r="S53" i="25"/>
  <c r="H47" i="25" s="1"/>
  <c r="S49" i="25"/>
  <c r="E47" i="25" s="1"/>
  <c r="DL38" i="18"/>
  <c r="O19" i="18"/>
  <c r="P19" i="18" s="1"/>
  <c r="Q19" i="18" s="1"/>
  <c r="R19" i="18" s="1"/>
  <c r="DJ19" i="18"/>
  <c r="CZ63" i="18"/>
  <c r="DL63" i="18"/>
  <c r="O35" i="18"/>
  <c r="P35" i="18" s="1"/>
  <c r="Q35" i="18" s="1"/>
  <c r="R35" i="18" s="1"/>
  <c r="N38" i="18"/>
  <c r="DF19" i="18"/>
  <c r="DB19" i="18"/>
  <c r="DH63" i="18"/>
  <c r="DD63" i="18"/>
  <c r="N35" i="18"/>
  <c r="CZ19" i="18"/>
  <c r="O63" i="18"/>
  <c r="P63" i="18" s="1"/>
  <c r="Q63" i="18" s="1"/>
  <c r="R63" i="18" s="1"/>
  <c r="N63" i="18"/>
  <c r="N19" i="18"/>
  <c r="R14" i="24"/>
  <c r="S14" i="24"/>
  <c r="DJ16" i="18"/>
  <c r="DD16" i="18"/>
  <c r="DF16" i="18"/>
  <c r="N16" i="18"/>
  <c r="CZ16" i="18"/>
  <c r="DH16" i="18"/>
  <c r="DL16" i="18"/>
  <c r="DB16" i="18"/>
  <c r="DK58" i="20"/>
  <c r="DM58" i="20"/>
  <c r="DE58" i="20"/>
  <c r="R8" i="24"/>
  <c r="S8" i="24"/>
  <c r="B6" i="23"/>
  <c r="N13" i="19"/>
  <c r="CH13" i="19" s="1"/>
  <c r="DG58" i="20"/>
  <c r="N4" i="19"/>
  <c r="CH4" i="19" s="1"/>
  <c r="D27" i="24"/>
  <c r="D6" i="24" s="1"/>
  <c r="F6" i="24" s="1"/>
  <c r="G6" i="24" s="1"/>
  <c r="O7" i="24" s="1"/>
  <c r="D67" i="24"/>
  <c r="D74" i="24" s="1"/>
  <c r="D78" i="24" s="1"/>
  <c r="D80" i="24" s="1"/>
  <c r="D62" i="24" s="1"/>
  <c r="DM34" i="18"/>
  <c r="O45" i="24"/>
  <c r="R42" i="5"/>
  <c r="DM7" i="18"/>
  <c r="DM70" i="18"/>
  <c r="B11" i="23"/>
  <c r="AC26" i="6"/>
  <c r="AC29" i="6" s="1"/>
  <c r="G4" i="23" s="1"/>
  <c r="N22" i="19"/>
  <c r="CH22" i="19" s="1"/>
  <c r="O79" i="18"/>
  <c r="DI58" i="20"/>
  <c r="D87" i="24"/>
  <c r="D94" i="24" s="1"/>
  <c r="D98" i="24" s="1"/>
  <c r="D100" i="24" s="1"/>
  <c r="H40" i="10"/>
  <c r="R15" i="24"/>
  <c r="S15" i="24"/>
  <c r="N20" i="6"/>
  <c r="N24" i="6" s="1"/>
  <c r="O19" i="6"/>
  <c r="Q12" i="6"/>
  <c r="R12" i="6" s="1"/>
  <c r="S12" i="6" s="1"/>
  <c r="P20" i="6"/>
  <c r="Q66" i="4"/>
  <c r="R66" i="4" s="1"/>
  <c r="S66" i="4" s="1"/>
  <c r="T66" i="4" s="1"/>
  <c r="E128" i="24"/>
  <c r="D128" i="24" s="1"/>
  <c r="P48" i="5"/>
  <c r="E47" i="24"/>
  <c r="T43" i="5"/>
  <c r="U43" i="5" s="1"/>
  <c r="V43" i="5" s="1"/>
  <c r="E127" i="24"/>
  <c r="S23" i="3"/>
  <c r="T23" i="3" s="1"/>
  <c r="U23" i="3" s="1"/>
  <c r="E126" i="24"/>
  <c r="N23" i="3"/>
  <c r="O61" i="20"/>
  <c r="X65" i="20"/>
  <c r="I47" i="24"/>
  <c r="CD52" i="19"/>
  <c r="N19" i="19"/>
  <c r="CH19" i="19" s="1"/>
  <c r="CD7" i="19"/>
  <c r="CF52" i="19" s="1"/>
  <c r="N7" i="19"/>
  <c r="CH7" i="19" s="1"/>
  <c r="O41" i="19"/>
  <c r="P41" i="19" s="1"/>
  <c r="Q41" i="19" s="1"/>
  <c r="R41" i="19" s="1"/>
  <c r="P4" i="19"/>
  <c r="Q4" i="19" s="1"/>
  <c r="R4" i="19" s="1"/>
  <c r="O42" i="19"/>
  <c r="P42" i="19" s="1"/>
  <c r="Q42" i="19" s="1"/>
  <c r="R42" i="19" s="1"/>
  <c r="O49" i="19"/>
  <c r="I126" i="24"/>
  <c r="F126" i="24" s="1"/>
  <c r="DM4" i="18"/>
  <c r="P4" i="18"/>
  <c r="Q4" i="18" s="1"/>
  <c r="R4" i="18" s="1"/>
  <c r="R45" i="24"/>
  <c r="CR84" i="18"/>
  <c r="R125" i="24" s="1"/>
  <c r="DM41" i="18"/>
  <c r="DM32" i="18"/>
  <c r="DM30" i="18"/>
  <c r="DM43" i="18"/>
  <c r="CJ84" i="18"/>
  <c r="Q125" i="24" s="1"/>
  <c r="Q45" i="24"/>
  <c r="DM67" i="18"/>
  <c r="DM22" i="18"/>
  <c r="Y84" i="18"/>
  <c r="O80" i="18"/>
  <c r="I45" i="24"/>
  <c r="E26" i="24"/>
  <c r="I26" i="24" s="1"/>
  <c r="S59" i="25" l="1"/>
  <c r="M47" i="25" s="1"/>
  <c r="M108" i="25" s="1"/>
  <c r="M109" i="25" s="1"/>
  <c r="M113" i="25" s="1"/>
  <c r="D117" i="25" s="1"/>
  <c r="S51" i="25"/>
  <c r="S58" i="25"/>
  <c r="L47" i="25" s="1"/>
  <c r="S50" i="25"/>
  <c r="F47" i="25" s="1"/>
  <c r="S56" i="25"/>
  <c r="J47" i="25" s="1"/>
  <c r="J108" i="25" s="1"/>
  <c r="J109" i="25" s="1"/>
  <c r="J113" i="25" s="1"/>
  <c r="D124" i="25" s="1"/>
  <c r="S57" i="25"/>
  <c r="K47" i="25" s="1"/>
  <c r="K108" i="25" s="1"/>
  <c r="K109" i="25" s="1"/>
  <c r="K113" i="25" s="1"/>
  <c r="D125" i="25" s="1"/>
  <c r="S60" i="25"/>
  <c r="N47" i="25" s="1"/>
  <c r="N108" i="25" s="1"/>
  <c r="N109" i="25" s="1"/>
  <c r="N113" i="25" s="1"/>
  <c r="D118" i="25" s="1"/>
  <c r="J83" i="27"/>
  <c r="J84" i="27" s="1"/>
  <c r="D88" i="27" s="1"/>
  <c r="B4" i="34" s="1"/>
  <c r="F83" i="27"/>
  <c r="F84" i="27" s="1"/>
  <c r="D92" i="27" s="1"/>
  <c r="B12" i="34" s="1"/>
  <c r="H83" i="27"/>
  <c r="H84" i="27" s="1"/>
  <c r="D91" i="27" s="1"/>
  <c r="B11" i="34" s="1"/>
  <c r="G83" i="27"/>
  <c r="G84" i="27" s="1"/>
  <c r="D90" i="27" s="1"/>
  <c r="B8" i="34" s="1"/>
  <c r="B10" i="34"/>
  <c r="B9" i="34"/>
  <c r="E83" i="27"/>
  <c r="E84" i="27" s="1"/>
  <c r="D89" i="27" s="1"/>
  <c r="B5" i="34" s="1"/>
  <c r="I108" i="25"/>
  <c r="I109" i="25" s="1"/>
  <c r="I113" i="25" s="1"/>
  <c r="D122" i="25" s="1"/>
  <c r="E108" i="25"/>
  <c r="E109" i="25" s="1"/>
  <c r="E113" i="25" s="1"/>
  <c r="D120" i="25" s="1"/>
  <c r="H108" i="25"/>
  <c r="H109" i="25" s="1"/>
  <c r="H113" i="25" s="1"/>
  <c r="D126" i="25" s="1"/>
  <c r="L108" i="25"/>
  <c r="L109" i="25" s="1"/>
  <c r="L113" i="25" s="1"/>
  <c r="D119" i="25" s="1"/>
  <c r="F108" i="25"/>
  <c r="F109" i="25" s="1"/>
  <c r="F113" i="25" s="1"/>
  <c r="D123" i="25" s="1"/>
  <c r="E125" i="24"/>
  <c r="I84" i="27"/>
  <c r="D87" i="27" s="1"/>
  <c r="B3" i="34" s="1"/>
  <c r="N57" i="20"/>
  <c r="DM25" i="18"/>
  <c r="F47" i="24"/>
  <c r="D47" i="24" s="1"/>
  <c r="DI87" i="18"/>
  <c r="D13" i="23" s="1"/>
  <c r="F13" i="23" s="1"/>
  <c r="DM57" i="18"/>
  <c r="DK87" i="18"/>
  <c r="D5" i="23" s="1"/>
  <c r="F5" i="23" s="1"/>
  <c r="O57" i="20"/>
  <c r="P57" i="20" s="1"/>
  <c r="Q57" i="20" s="1"/>
  <c r="R57" i="20" s="1"/>
  <c r="O58" i="20"/>
  <c r="P58" i="20" s="1"/>
  <c r="Q58" i="20" s="1"/>
  <c r="R58" i="20" s="1"/>
  <c r="DM48" i="18"/>
  <c r="O76" i="18"/>
  <c r="P76" i="18" s="1"/>
  <c r="Q76" i="18" s="1"/>
  <c r="R76" i="18" s="1"/>
  <c r="O77" i="18"/>
  <c r="P77" i="18" s="1"/>
  <c r="Q77" i="18" s="1"/>
  <c r="R77" i="18" s="1"/>
  <c r="DC87" i="18"/>
  <c r="D10" i="23" s="1"/>
  <c r="F10" i="23" s="1"/>
  <c r="DM63" i="18"/>
  <c r="DM19" i="18"/>
  <c r="DE87" i="18"/>
  <c r="D11" i="23" s="1"/>
  <c r="F11" i="23" s="1"/>
  <c r="DA87" i="18"/>
  <c r="D9" i="23" s="1"/>
  <c r="F9" i="23" s="1"/>
  <c r="CY87" i="18"/>
  <c r="D8" i="23" s="1"/>
  <c r="DM16" i="18"/>
  <c r="DG87" i="18"/>
  <c r="D12" i="23" s="1"/>
  <c r="F12" i="23" s="1"/>
  <c r="F6" i="23"/>
  <c r="D82" i="24"/>
  <c r="C143" i="24" s="1"/>
  <c r="D126" i="24"/>
  <c r="F45" i="24"/>
  <c r="D45" i="24" s="1"/>
  <c r="Q20" i="6"/>
  <c r="R20" i="6" s="1"/>
  <c r="S20" i="6" s="1"/>
  <c r="E131" i="24"/>
  <c r="D131" i="24" s="1"/>
  <c r="O65" i="20"/>
  <c r="I127" i="24"/>
  <c r="F127" i="24" s="1"/>
  <c r="D127" i="24" s="1"/>
  <c r="O84" i="18"/>
  <c r="I125" i="24"/>
  <c r="F125" i="24" s="1"/>
  <c r="J26" i="24"/>
  <c r="K26" i="24" s="1"/>
  <c r="L26" i="24" s="1"/>
  <c r="M26" i="24" s="1"/>
  <c r="N26" i="24" s="1"/>
  <c r="O26" i="24" s="1"/>
  <c r="P26" i="24" s="1"/>
  <c r="Q26" i="24" s="1"/>
  <c r="R26" i="24" s="1"/>
  <c r="I25" i="24" s="1"/>
  <c r="S7" i="24"/>
  <c r="R7" i="24"/>
  <c r="D125" i="24" l="1"/>
  <c r="D134" i="24" s="1"/>
  <c r="C145" i="24" s="1"/>
  <c r="D54" i="24"/>
  <c r="D58" i="24" s="1"/>
  <c r="D60" i="24" s="1"/>
  <c r="D42" i="24" s="1"/>
  <c r="J25" i="24"/>
  <c r="K25" i="24" s="1"/>
  <c r="L25" i="24" s="1"/>
  <c r="M25" i="24" s="1"/>
  <c r="N25" i="24" s="1"/>
  <c r="O25" i="24" s="1"/>
  <c r="P25" i="24" s="1"/>
  <c r="Q25" i="24" s="1"/>
  <c r="R25" i="24" s="1"/>
  <c r="F26" i="24"/>
  <c r="D26" i="24" s="1"/>
  <c r="D5" i="24" s="1"/>
  <c r="F5" i="24" s="1"/>
  <c r="G5" i="24" s="1"/>
  <c r="O6" i="24" s="1"/>
  <c r="F25" i="24" l="1"/>
  <c r="D25" i="24" s="1"/>
  <c r="D4" i="24" s="1"/>
  <c r="F4" i="24" s="1"/>
  <c r="F22" i="24"/>
  <c r="D138" i="24"/>
  <c r="D140" i="24" s="1"/>
  <c r="D122" i="24" s="1"/>
  <c r="S6" i="24"/>
  <c r="R6" i="24"/>
  <c r="G4" i="24" l="1"/>
  <c r="D34" i="24"/>
  <c r="D13" i="24" s="1"/>
  <c r="O5" i="24" l="1"/>
  <c r="O9" i="24" s="1"/>
  <c r="Q9" i="24" s="1"/>
  <c r="D38" i="24"/>
  <c r="R5" i="24" l="1"/>
  <c r="S5" i="24"/>
  <c r="Q5" i="24" s="1"/>
  <c r="D40" i="24"/>
  <c r="D17" i="24"/>
  <c r="Q6" i="24" l="1"/>
  <c r="Q7" i="24" s="1"/>
  <c r="Q13" i="24" s="1"/>
  <c r="Q14" i="24" s="1"/>
  <c r="Q12" i="24" s="1"/>
  <c r="Q15" i="24" s="1"/>
  <c r="D22" i="24"/>
  <c r="E22" i="24" s="1"/>
  <c r="D19" i="24"/>
  <c r="F19" i="24" s="1"/>
  <c r="Q11" i="24" l="1"/>
  <c r="Q8" i="24" s="1"/>
</calcChain>
</file>

<file path=xl/comments1.xml><?xml version="1.0" encoding="utf-8"?>
<comments xmlns="http://schemas.openxmlformats.org/spreadsheetml/2006/main">
  <authors>
    <author>徐梦薇/Mengwei Xu</author>
  </authors>
  <commentList>
    <comment ref="B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t>
        </r>
        <r>
          <rPr>
            <sz val="9"/>
            <color indexed="81"/>
            <rFont val="Tahoma"/>
            <family val="2"/>
          </rPr>
          <t>HR</t>
        </r>
        <r>
          <rPr>
            <sz val="9"/>
            <color indexed="81"/>
            <rFont val="宋体"/>
            <family val="3"/>
            <charset val="134"/>
          </rPr>
          <t>提供分公司数据得出结论</t>
        </r>
      </text>
    </comment>
    <comment ref="B2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找财务刘敏和</t>
        </r>
        <r>
          <rPr>
            <sz val="9"/>
            <color indexed="81"/>
            <rFont val="Tahoma"/>
            <family val="2"/>
          </rPr>
          <t>IT</t>
        </r>
        <r>
          <rPr>
            <sz val="9"/>
            <color indexed="81"/>
            <rFont val="宋体"/>
            <family val="3"/>
            <charset val="134"/>
          </rPr>
          <t xml:space="preserve">刷数
</t>
        </r>
      </text>
    </comment>
    <comment ref="B7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查台账</t>
        </r>
      </text>
    </comment>
  </commentList>
</comments>
</file>

<file path=xl/comments10.xml><?xml version="1.0" encoding="utf-8"?>
<comments xmlns="http://schemas.openxmlformats.org/spreadsheetml/2006/main">
  <authors>
    <author>徐梦薇/Mengwei Xu</author>
  </authors>
  <commentList>
    <comment ref="M36" authorId="0">
      <text>
        <r>
          <rPr>
            <b/>
            <sz val="9"/>
            <color indexed="81"/>
            <rFont val="宋体"/>
            <family val="3"/>
            <charset val="134"/>
          </rPr>
          <t>徐梦薇</t>
        </r>
        <r>
          <rPr>
            <b/>
            <sz val="9"/>
            <color indexed="81"/>
            <rFont val="Tahoma"/>
            <family val="2"/>
          </rPr>
          <t>/Mengwei Xu:</t>
        </r>
        <r>
          <rPr>
            <sz val="9"/>
            <color indexed="81"/>
            <rFont val="Tahoma"/>
            <family val="2"/>
          </rPr>
          <t xml:space="preserve">
0.0003%</t>
        </r>
      </text>
    </comment>
    <comment ref="M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已与财务沟通，因为</t>
        </r>
        <r>
          <rPr>
            <sz val="9"/>
            <color indexed="81"/>
            <rFont val="Tahoma"/>
            <family val="2"/>
          </rPr>
          <t>lifeAsia</t>
        </r>
        <r>
          <rPr>
            <sz val="9"/>
            <color indexed="81"/>
            <rFont val="宋体"/>
            <family val="3"/>
            <charset val="134"/>
          </rPr>
          <t>系统</t>
        </r>
        <r>
          <rPr>
            <sz val="9"/>
            <color indexed="81"/>
            <rFont val="宋体"/>
            <family val="3"/>
            <charset val="134"/>
          </rPr>
          <t>原因造成的出账错误</t>
        </r>
      </text>
    </comment>
    <comment ref="O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List>
</comments>
</file>

<file path=xl/comments11.xml><?xml version="1.0" encoding="utf-8"?>
<comments xmlns="http://schemas.openxmlformats.org/spreadsheetml/2006/main">
  <authors>
    <author>徐梦薇/Mengwei Xu</author>
  </authors>
  <commentList>
    <comment ref="D8" authorId="0">
      <text>
        <r>
          <rPr>
            <b/>
            <sz val="9"/>
            <color indexed="81"/>
            <rFont val="宋体"/>
            <family val="3"/>
            <charset val="134"/>
          </rPr>
          <t>徐梦薇</t>
        </r>
        <r>
          <rPr>
            <b/>
            <sz val="9"/>
            <color indexed="81"/>
            <rFont val="Tahoma"/>
            <family val="2"/>
          </rPr>
          <t>/Mengwei Xu:</t>
        </r>
        <r>
          <rPr>
            <sz val="9"/>
            <color indexed="81"/>
            <rFont val="Tahoma"/>
            <family val="2"/>
          </rPr>
          <t xml:space="preserve">
2019 Q1</t>
        </r>
        <r>
          <rPr>
            <sz val="9"/>
            <color indexed="81"/>
            <rFont val="宋体"/>
            <family val="3"/>
            <charset val="134"/>
          </rPr>
          <t>过期</t>
        </r>
      </text>
    </comment>
    <comment ref="L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新入职员工</t>
        </r>
      </text>
    </comment>
    <comment ref="J13" authorId="0">
      <text>
        <r>
          <rPr>
            <b/>
            <sz val="9"/>
            <color indexed="81"/>
            <rFont val="宋体"/>
            <family val="3"/>
            <charset val="134"/>
          </rPr>
          <t>徐梦薇</t>
        </r>
        <r>
          <rPr>
            <b/>
            <sz val="9"/>
            <color indexed="81"/>
            <rFont val="Tahoma"/>
            <family val="2"/>
          </rPr>
          <t>/Mengwei Xu:</t>
        </r>
        <r>
          <rPr>
            <sz val="9"/>
            <color indexed="81"/>
            <rFont val="Tahoma"/>
            <family val="2"/>
          </rPr>
          <t xml:space="preserve">
17Q2</t>
        </r>
        <r>
          <rPr>
            <sz val="9"/>
            <color indexed="81"/>
            <rFont val="宋体"/>
            <family val="3"/>
            <charset val="134"/>
          </rPr>
          <t>已过期</t>
        </r>
      </text>
    </comment>
  </commentList>
</comments>
</file>

<file path=xl/comments12.xml><?xml version="1.0" encoding="utf-8"?>
<comments xmlns="http://schemas.openxmlformats.org/spreadsheetml/2006/main">
  <authors>
    <author>徐梦薇</author>
  </authors>
  <commentList>
    <comment ref="L4"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手填
</t>
        </r>
      </text>
    </comment>
    <comment ref="L20"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M20"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L21"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M21"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List>
</comments>
</file>

<file path=xl/comments13.xml><?xml version="1.0" encoding="utf-8"?>
<comments xmlns="http://schemas.openxmlformats.org/spreadsheetml/2006/main">
  <authors>
    <author>刘辉</author>
  </authors>
  <commentList>
    <comment ref="J9" authorId="0">
      <text>
        <r>
          <rPr>
            <b/>
            <sz val="9"/>
            <color indexed="81"/>
            <rFont val="宋体"/>
            <family val="3"/>
            <charset val="134"/>
          </rPr>
          <t>公司未收到表扬或处罚，因此，得基础分1分。</t>
        </r>
      </text>
    </comment>
    <comment ref="K9" authorId="0">
      <text>
        <r>
          <rPr>
            <b/>
            <sz val="9"/>
            <color indexed="81"/>
            <rFont val="宋体"/>
            <family val="3"/>
            <charset val="134"/>
          </rPr>
          <t>公司未收到表扬或处罚，因此，得基础分1分。</t>
        </r>
      </text>
    </comment>
    <comment ref="J11" authorId="0">
      <text>
        <r>
          <rPr>
            <b/>
            <sz val="9"/>
            <color indexed="81"/>
            <rFont val="宋体"/>
            <family val="3"/>
            <charset val="134"/>
          </rPr>
          <t>公司存在交易对手风险评估、识别和管控制度，并未突出交易对手欺诈风险。</t>
        </r>
      </text>
    </comment>
    <comment ref="K11" authorId="0">
      <text>
        <r>
          <rPr>
            <b/>
            <sz val="9"/>
            <color indexed="81"/>
            <rFont val="宋体"/>
            <family val="3"/>
            <charset val="134"/>
          </rPr>
          <t>公司存在交易对手风险评估、识别和管控制度，并未突出交易对手欺诈风险。</t>
        </r>
      </text>
    </comment>
  </commentList>
</comments>
</file>

<file path=xl/comments14.xml><?xml version="1.0" encoding="utf-8"?>
<comments xmlns="http://schemas.openxmlformats.org/spreadsheetml/2006/main">
  <authors>
    <author>刘辉</author>
  </authors>
  <commentList>
    <comment ref="G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H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I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List>
</comments>
</file>

<file path=xl/comments15.xml><?xml version="1.0" encoding="utf-8"?>
<comments xmlns="http://schemas.openxmlformats.org/spreadsheetml/2006/main">
  <authors>
    <author>徐梦薇</author>
  </authors>
  <commentList>
    <comment ref="H18" authorId="0">
      <text>
        <r>
          <rPr>
            <b/>
            <sz val="9"/>
            <color indexed="81"/>
            <rFont val="宋体"/>
            <family val="3"/>
            <charset val="134"/>
          </rPr>
          <t>徐梦薇</t>
        </r>
        <r>
          <rPr>
            <b/>
            <sz val="9"/>
            <color indexed="81"/>
            <rFont val="Tahoma"/>
            <family val="2"/>
          </rPr>
          <t>:</t>
        </r>
        <r>
          <rPr>
            <sz val="9"/>
            <color indexed="81"/>
            <rFont val="Tahoma"/>
            <family val="2"/>
          </rPr>
          <t xml:space="preserve">
2071</t>
        </r>
        <r>
          <rPr>
            <sz val="9"/>
            <color indexed="81"/>
            <rFont val="宋体"/>
            <family val="3"/>
            <charset val="134"/>
          </rPr>
          <t>年</t>
        </r>
        <r>
          <rPr>
            <sz val="9"/>
            <color indexed="81"/>
            <rFont val="Tahoma"/>
            <family val="2"/>
          </rPr>
          <t>6</t>
        </r>
        <r>
          <rPr>
            <sz val="9"/>
            <color indexed="81"/>
            <rFont val="宋体"/>
            <family val="3"/>
            <charset val="134"/>
          </rPr>
          <t>月</t>
        </r>
        <r>
          <rPr>
            <sz val="9"/>
            <color indexed="81"/>
            <rFont val="Tahoma"/>
            <family val="2"/>
          </rPr>
          <t>21</t>
        </r>
        <r>
          <rPr>
            <sz val="9"/>
            <color indexed="81"/>
            <rFont val="宋体"/>
            <family val="3"/>
            <charset val="134"/>
          </rPr>
          <t>日发布、</t>
        </r>
        <r>
          <rPr>
            <sz val="9"/>
            <color indexed="81"/>
            <rFont val="Tahoma"/>
            <family val="2"/>
          </rPr>
          <t>2017</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t>
        </r>
        <r>
          <rPr>
            <sz val="9"/>
            <color indexed="81"/>
            <rFont val="宋体"/>
            <family val="3"/>
            <charset val="134"/>
          </rPr>
          <t>日生效
《恒安标准人寿董事及高管人员培训管理办法》（负责部门</t>
        </r>
        <r>
          <rPr>
            <sz val="9"/>
            <color indexed="81"/>
            <rFont val="Tahoma"/>
            <family val="2"/>
          </rPr>
          <t>:</t>
        </r>
        <r>
          <rPr>
            <sz val="9"/>
            <color indexed="81"/>
            <rFont val="宋体"/>
            <family val="3"/>
            <charset val="134"/>
          </rPr>
          <t xml:space="preserve">人力资源部）
</t>
        </r>
      </text>
    </comment>
  </commentList>
</comments>
</file>

<file path=xl/comments2.xml><?xml version="1.0" encoding="utf-8"?>
<comments xmlns="http://schemas.openxmlformats.org/spreadsheetml/2006/main">
  <authors>
    <author>徐梦薇/Mengwei Xu</author>
  </authors>
  <commentList>
    <comment ref="G8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江苏</t>
        </r>
      </text>
    </comment>
  </commentList>
</comments>
</file>

<file path=xl/comments3.xml><?xml version="1.0" encoding="utf-8"?>
<comments xmlns="http://schemas.openxmlformats.org/spreadsheetml/2006/main">
  <authors>
    <author>徐梦薇/Mengwei Xu</author>
  </authors>
  <commentList>
    <comment ref="H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有监管发现的</t>
        </r>
      </text>
    </comment>
    <comment ref="B4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更新公式
</t>
        </r>
      </text>
    </comment>
    <comment ref="B47" authorId="0">
      <text>
        <r>
          <rPr>
            <b/>
            <sz val="9"/>
            <color indexed="81"/>
            <rFont val="宋体"/>
            <family val="3"/>
            <charset val="134"/>
          </rPr>
          <t>徐梦薇</t>
        </r>
        <r>
          <rPr>
            <b/>
            <sz val="9"/>
            <color indexed="81"/>
            <rFont val="Tahoma"/>
            <family val="2"/>
          </rPr>
          <t>/Mengwei Xu:</t>
        </r>
        <r>
          <rPr>
            <sz val="9"/>
            <color indexed="81"/>
            <rFont val="Tahoma"/>
            <family val="2"/>
          </rPr>
          <t xml:space="preserve">
10</t>
        </r>
        <r>
          <rPr>
            <sz val="9"/>
            <color indexed="81"/>
            <rFont val="宋体"/>
            <family val="3"/>
            <charset val="134"/>
          </rPr>
          <t xml:space="preserve">家分公司排序
</t>
        </r>
      </text>
    </comment>
    <comment ref="B9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每季度找</t>
        </r>
        <r>
          <rPr>
            <sz val="9"/>
            <color indexed="81"/>
            <rFont val="Tahoma"/>
            <family val="2"/>
          </rPr>
          <t>HR</t>
        </r>
        <r>
          <rPr>
            <sz val="9"/>
            <color indexed="81"/>
            <rFont val="宋体"/>
            <family val="3"/>
            <charset val="134"/>
          </rPr>
          <t>王晨提供追责台账</t>
        </r>
      </text>
    </comment>
    <comment ref="B9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 ref="B10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List>
</comments>
</file>

<file path=xl/comments4.xml><?xml version="1.0" encoding="utf-8"?>
<comments xmlns="http://schemas.openxmlformats.org/spreadsheetml/2006/main">
  <authors>
    <author>徐梦薇/Mengwei Xu</author>
  </authors>
  <commentList>
    <comment ref="G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五家以下分公司存在的问题
</t>
        </r>
      </text>
    </comment>
    <comment ref="H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五家分公司以上存在的问题</t>
        </r>
      </text>
    </comment>
    <comment ref="G8" authorId="0">
      <text>
        <r>
          <rPr>
            <b/>
            <sz val="9"/>
            <color indexed="81"/>
            <rFont val="宋体"/>
            <family val="3"/>
            <charset val="134"/>
          </rPr>
          <t>徐梦薇</t>
        </r>
        <r>
          <rPr>
            <b/>
            <sz val="9"/>
            <color indexed="81"/>
            <rFont val="Tahoma"/>
            <family val="2"/>
          </rPr>
          <t>/Mengwei Xu:</t>
        </r>
        <r>
          <rPr>
            <sz val="9"/>
            <color indexed="81"/>
            <rFont val="Tahoma"/>
            <family val="2"/>
          </rPr>
          <t xml:space="preserve">
10</t>
        </r>
        <r>
          <rPr>
            <sz val="9"/>
            <color indexed="81"/>
            <rFont val="宋体"/>
            <family val="3"/>
            <charset val="134"/>
          </rPr>
          <t xml:space="preserve">家分公司排序
</t>
        </r>
      </text>
    </comment>
    <comment ref="G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 ref="G1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List>
</comments>
</file>

<file path=xl/comments5.xml><?xml version="1.0" encoding="utf-8"?>
<comments xmlns="http://schemas.openxmlformats.org/spreadsheetml/2006/main">
  <authors>
    <author>徐梦薇/Mengwei Xu</author>
    <author>pe0826</author>
    <author>徐梦薇</author>
    <author>刘辉</author>
    <author>Mr.Wu</author>
  </authors>
  <commentList>
    <comment ref="AB5" authorId="0">
      <text>
        <r>
          <rPr>
            <b/>
            <sz val="9"/>
            <color indexed="81"/>
            <rFont val="宋体"/>
            <family val="3"/>
            <charset val="134"/>
          </rPr>
          <t>徐梦薇</t>
        </r>
        <r>
          <rPr>
            <b/>
            <sz val="9"/>
            <color indexed="81"/>
            <rFont val="Tahoma"/>
            <family val="2"/>
          </rPr>
          <t>/Mengwei Xu:</t>
        </r>
        <r>
          <rPr>
            <sz val="9"/>
            <color indexed="81"/>
            <rFont val="Tahoma"/>
            <family val="2"/>
          </rPr>
          <t xml:space="preserve">
5.7</t>
        </r>
        <r>
          <rPr>
            <sz val="9"/>
            <color indexed="81"/>
            <rFont val="宋体"/>
            <family val="3"/>
            <charset val="134"/>
          </rPr>
          <t>天分总经理助理薛梅离职；</t>
        </r>
      </text>
    </comment>
    <comment ref="AE5" authorId="0">
      <text>
        <r>
          <rPr>
            <b/>
            <sz val="9"/>
            <color indexed="81"/>
            <rFont val="宋体"/>
            <family val="3"/>
            <charset val="134"/>
          </rPr>
          <t>徐梦薇</t>
        </r>
        <r>
          <rPr>
            <b/>
            <sz val="9"/>
            <color indexed="81"/>
            <rFont val="Tahoma"/>
            <family val="2"/>
          </rPr>
          <t>/Mengwei Xu:</t>
        </r>
        <r>
          <rPr>
            <sz val="9"/>
            <color indexed="81"/>
            <rFont val="Tahoma"/>
            <family val="2"/>
          </rPr>
          <t xml:space="preserve">
5.7</t>
        </r>
        <r>
          <rPr>
            <sz val="9"/>
            <color indexed="81"/>
            <rFont val="宋体"/>
            <family val="3"/>
            <charset val="134"/>
          </rPr>
          <t>天分总经理助理薛梅离职；</t>
        </r>
      </text>
    </comment>
    <comment ref="AZ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由手工维护台账进行计算后得出</t>
        </r>
      </text>
    </comment>
    <comment ref="BH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原淄博中心支公司总经理车杰于</t>
        </r>
        <r>
          <rPr>
            <sz val="9"/>
            <color indexed="81"/>
            <rFont val="Tahoma"/>
            <family val="2"/>
          </rPr>
          <t>2018/5/10</t>
        </r>
        <r>
          <rPr>
            <sz val="9"/>
            <color indexed="81"/>
            <rFont val="宋体"/>
            <family val="3"/>
            <charset val="134"/>
          </rPr>
          <t>离职转外勤</t>
        </r>
      </text>
    </comment>
    <comment ref="BK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临沂：王展</t>
        </r>
        <r>
          <rPr>
            <sz val="9"/>
            <color indexed="81"/>
            <rFont val="Tahoma"/>
            <family val="2"/>
          </rPr>
          <t xml:space="preserve">2017/10/15  </t>
        </r>
        <r>
          <rPr>
            <sz val="9"/>
            <color indexed="81"/>
            <rFont val="宋体"/>
            <family val="3"/>
            <charset val="134"/>
          </rPr>
          <t>济南：齐宏杰</t>
        </r>
        <r>
          <rPr>
            <sz val="9"/>
            <color indexed="81"/>
            <rFont val="Tahoma"/>
            <family val="2"/>
          </rPr>
          <t xml:space="preserve">2017/11/28  </t>
        </r>
        <r>
          <rPr>
            <sz val="9"/>
            <color indexed="81"/>
            <rFont val="宋体"/>
            <family val="3"/>
            <charset val="134"/>
          </rPr>
          <t>淄博：车杰</t>
        </r>
        <r>
          <rPr>
            <sz val="9"/>
            <color indexed="81"/>
            <rFont val="Tahoma"/>
            <family val="2"/>
          </rPr>
          <t xml:space="preserve">2018/5/10        </t>
        </r>
        <r>
          <rPr>
            <sz val="9"/>
            <color indexed="81"/>
            <rFont val="宋体"/>
            <family val="3"/>
            <charset val="134"/>
          </rPr>
          <t>临沂：刘勇</t>
        </r>
        <r>
          <rPr>
            <sz val="9"/>
            <color indexed="81"/>
            <rFont val="Tahoma"/>
            <family val="2"/>
          </rPr>
          <t>2018/9/2</t>
        </r>
      </text>
    </comment>
    <comment ref="BP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付玉涛总于</t>
        </r>
        <r>
          <rPr>
            <sz val="9"/>
            <color indexed="81"/>
            <rFont val="Tahoma"/>
            <family val="2"/>
          </rPr>
          <t>20180601</t>
        </r>
        <r>
          <rPr>
            <sz val="9"/>
            <color indexed="81"/>
            <rFont val="宋体"/>
            <family val="3"/>
            <charset val="134"/>
          </rPr>
          <t>由总经理助理异动至团险业务总监</t>
        </r>
      </text>
    </comment>
    <comment ref="BV5" authorId="0">
      <text>
        <r>
          <rPr>
            <b/>
            <sz val="9"/>
            <color indexed="81"/>
            <rFont val="宋体"/>
            <family val="3"/>
            <charset val="134"/>
          </rPr>
          <t>徐梦薇</t>
        </r>
        <r>
          <rPr>
            <b/>
            <sz val="9"/>
            <color indexed="81"/>
            <rFont val="Tahoma"/>
            <family val="2"/>
          </rPr>
          <t>/Mengwei Xu:</t>
        </r>
        <r>
          <rPr>
            <sz val="9"/>
            <color indexed="81"/>
            <rFont val="Tahoma"/>
            <family val="2"/>
          </rPr>
          <t xml:space="preserve">
Q2:</t>
        </r>
        <r>
          <rPr>
            <sz val="9"/>
            <color indexed="81"/>
            <rFont val="宋体"/>
            <family val="3"/>
            <charset val="134"/>
          </rPr>
          <t>总经理助理付玉涛于</t>
        </r>
        <r>
          <rPr>
            <sz val="9"/>
            <color indexed="81"/>
            <rFont val="Tahoma"/>
            <family val="2"/>
          </rPr>
          <t>20180601</t>
        </r>
        <r>
          <rPr>
            <sz val="9"/>
            <color indexed="81"/>
            <rFont val="宋体"/>
            <family val="3"/>
            <charset val="134"/>
          </rPr>
          <t>由总经理助理异动至团险业务总监</t>
        </r>
        <r>
          <rPr>
            <sz val="9"/>
            <color indexed="81"/>
            <rFont val="Tahoma"/>
            <family val="2"/>
          </rPr>
          <t xml:space="preserve">     
Q3:</t>
        </r>
        <r>
          <rPr>
            <sz val="9"/>
            <color indexed="81"/>
            <rFont val="宋体"/>
            <family val="3"/>
            <charset val="134"/>
          </rPr>
          <t>总经理助理秦岩于</t>
        </r>
        <r>
          <rPr>
            <sz val="9"/>
            <color indexed="81"/>
            <rFont val="Tahoma"/>
            <family val="2"/>
          </rPr>
          <t>20180821</t>
        </r>
        <r>
          <rPr>
            <sz val="9"/>
            <color indexed="81"/>
            <rFont val="宋体"/>
            <family val="3"/>
            <charset val="134"/>
          </rPr>
          <t>离职</t>
        </r>
      </text>
    </comment>
    <comment ref="CD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漯河中心支公司负责人段可、三门峡中心支公司负责人朱林最后工作日均为</t>
        </r>
        <r>
          <rPr>
            <sz val="9"/>
            <color indexed="81"/>
            <rFont val="Tahoma"/>
            <family val="2"/>
          </rPr>
          <t>2018-8-31</t>
        </r>
      </text>
    </comment>
    <comment ref="CF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广分总经理助理兼银保渠道负责人梁巧玲</t>
        </r>
        <r>
          <rPr>
            <sz val="9"/>
            <color indexed="81"/>
            <rFont val="Tahoma"/>
            <family val="2"/>
          </rPr>
          <t>2017-12-29</t>
        </r>
        <r>
          <rPr>
            <sz val="9"/>
            <color indexed="81"/>
            <rFont val="宋体"/>
            <family val="3"/>
            <charset val="134"/>
          </rPr>
          <t>离职
广分江门中心支公司总经理甘建荣</t>
        </r>
        <r>
          <rPr>
            <sz val="9"/>
            <color indexed="81"/>
            <rFont val="Tahoma"/>
            <family val="2"/>
          </rPr>
          <t>2018-03-16</t>
        </r>
        <r>
          <rPr>
            <sz val="9"/>
            <color indexed="81"/>
            <rFont val="宋体"/>
            <family val="3"/>
            <charset val="134"/>
          </rPr>
          <t>离职</t>
        </r>
      </text>
    </comment>
    <comment ref="CI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广分总经理助理兼银保渠道负责人梁巧玲</t>
        </r>
        <r>
          <rPr>
            <sz val="9"/>
            <color indexed="81"/>
            <rFont val="Tahoma"/>
            <family val="2"/>
          </rPr>
          <t>2017-12-29</t>
        </r>
        <r>
          <rPr>
            <sz val="9"/>
            <color indexed="81"/>
            <rFont val="宋体"/>
            <family val="3"/>
            <charset val="134"/>
          </rPr>
          <t>离职
广分江门中心支公司总经理甘建荣</t>
        </r>
        <r>
          <rPr>
            <sz val="9"/>
            <color indexed="81"/>
            <rFont val="Tahoma"/>
            <family val="2"/>
          </rPr>
          <t>2018-03-16</t>
        </r>
        <r>
          <rPr>
            <sz val="9"/>
            <color indexed="81"/>
            <rFont val="宋体"/>
            <family val="3"/>
            <charset val="134"/>
          </rPr>
          <t>离职</t>
        </r>
      </text>
    </comment>
    <comment ref="CN5"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t>
        </r>
        <r>
          <rPr>
            <sz val="9"/>
            <color indexed="81"/>
            <rFont val="Tahoma"/>
            <family val="2"/>
          </rPr>
          <t>2018Q1</t>
        </r>
        <r>
          <rPr>
            <sz val="9"/>
            <color indexed="81"/>
            <rFont val="宋体"/>
            <family val="3"/>
            <charset val="134"/>
          </rPr>
          <t>反馈数据中达州中支负责人张龙</t>
        </r>
        <r>
          <rPr>
            <sz val="9"/>
            <color indexed="81"/>
            <rFont val="Tahoma"/>
            <family val="2"/>
          </rPr>
          <t>2017-5-19</t>
        </r>
        <r>
          <rPr>
            <sz val="9"/>
            <color indexed="81"/>
            <rFont val="宋体"/>
            <family val="3"/>
            <charset val="134"/>
          </rPr>
          <t>最后工作日，</t>
        </r>
        <r>
          <rPr>
            <sz val="9"/>
            <color indexed="81"/>
            <rFont val="Tahoma"/>
            <family val="2"/>
          </rPr>
          <t>2018Q2</t>
        </r>
        <r>
          <rPr>
            <sz val="9"/>
            <color indexed="81"/>
            <rFont val="宋体"/>
            <family val="3"/>
            <charset val="134"/>
          </rPr>
          <t xml:space="preserve">无此类岗位人员离职。
</t>
        </r>
      </text>
    </comment>
    <comment ref="CT5"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t>
        </r>
        <r>
          <rPr>
            <sz val="9"/>
            <color indexed="81"/>
            <rFont val="Tahoma"/>
            <family val="2"/>
          </rPr>
          <t>2018Q2</t>
        </r>
        <r>
          <rPr>
            <sz val="9"/>
            <color indexed="81"/>
            <rFont val="宋体"/>
            <family val="3"/>
            <charset val="134"/>
          </rPr>
          <t>无此类岗位人员离职；</t>
        </r>
        <r>
          <rPr>
            <sz val="9"/>
            <color indexed="81"/>
            <rFont val="Tahoma"/>
            <family val="2"/>
          </rPr>
          <t>2018Q3</t>
        </r>
        <r>
          <rPr>
            <sz val="9"/>
            <color indexed="81"/>
            <rFont val="宋体"/>
            <family val="3"/>
            <charset val="134"/>
          </rPr>
          <t>反馈数据中南充中支负责人李建欣</t>
        </r>
        <r>
          <rPr>
            <sz val="9"/>
            <color indexed="81"/>
            <rFont val="Tahoma"/>
            <family val="2"/>
          </rPr>
          <t>2018-09-28</t>
        </r>
        <r>
          <rPr>
            <sz val="9"/>
            <color indexed="81"/>
            <rFont val="宋体"/>
            <family val="3"/>
            <charset val="134"/>
          </rPr>
          <t>最后工作日。</t>
        </r>
      </text>
    </comment>
    <comment ref="AB6" authorId="0">
      <text>
        <r>
          <rPr>
            <b/>
            <sz val="9"/>
            <color indexed="81"/>
            <rFont val="宋体"/>
            <family val="3"/>
            <charset val="134"/>
          </rPr>
          <t>徐梦薇</t>
        </r>
        <r>
          <rPr>
            <b/>
            <sz val="9"/>
            <color indexed="81"/>
            <rFont val="Tahoma"/>
            <family val="2"/>
          </rPr>
          <t>/Mengwei Xu:</t>
        </r>
        <r>
          <rPr>
            <sz val="9"/>
            <color indexed="81"/>
            <rFont val="Tahoma"/>
            <family val="2"/>
          </rPr>
          <t>剔除</t>
        </r>
        <r>
          <rPr>
            <sz val="9"/>
            <color indexed="81"/>
            <rFont val="宋体"/>
            <family val="3"/>
            <charset val="134"/>
          </rPr>
          <t>石家庄中支王赤宇</t>
        </r>
      </text>
    </comment>
    <comment ref="BF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中心支公司主要负责人统计口径调整，新增南通中支总经理助理吴毅敏；徐州中支副总经理王艳娟。</t>
        </r>
      </text>
    </comment>
    <comment ref="BH6" authorId="0">
      <text>
        <r>
          <rPr>
            <b/>
            <sz val="9"/>
            <color indexed="81"/>
            <rFont val="宋体"/>
            <family val="3"/>
            <charset val="134"/>
          </rPr>
          <t>山分：崔涛、郑恒永、王洪燕                               济南：潘若建                                                           烟台：刘敬斌
济宁：李建英
潍坊：董海东
临沂：刘勇
威海：郑寿智
泰安：王竣
枣庄：王静
德州：秦文霞</t>
        </r>
      </text>
    </comment>
    <comment ref="BK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山分：崔涛、郑恒永、王洪燕</t>
        </r>
        <r>
          <rPr>
            <sz val="9"/>
            <color indexed="81"/>
            <rFont val="Tahoma"/>
            <family val="2"/>
          </rPr>
          <t xml:space="preserve">                               </t>
        </r>
        <r>
          <rPr>
            <sz val="9"/>
            <color indexed="81"/>
            <rFont val="宋体"/>
            <family val="3"/>
            <charset val="134"/>
          </rPr>
          <t>济南：潘若建</t>
        </r>
        <r>
          <rPr>
            <sz val="9"/>
            <color indexed="81"/>
            <rFont val="Tahoma"/>
            <family val="2"/>
          </rPr>
          <t xml:space="preserve">                                                           </t>
        </r>
        <r>
          <rPr>
            <sz val="9"/>
            <color indexed="81"/>
            <rFont val="宋体"/>
            <family val="3"/>
            <charset val="134"/>
          </rPr>
          <t>烟台：刘敬斌
济宁：李建英
潍坊：董海东
威海：郑寿智
泰安：王竣
枣庄：王静
德州：秦文霞</t>
        </r>
        <r>
          <rPr>
            <sz val="9"/>
            <color indexed="81"/>
            <rFont val="Tahoma"/>
            <family val="2"/>
          </rPr>
          <t xml:space="preserve">            </t>
        </r>
        <r>
          <rPr>
            <sz val="9"/>
            <color indexed="81"/>
            <rFont val="宋体"/>
            <family val="3"/>
            <charset val="134"/>
          </rPr>
          <t>淄博：许森</t>
        </r>
      </text>
    </comment>
    <comment ref="BP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付玉涛总于</t>
        </r>
        <r>
          <rPr>
            <sz val="9"/>
            <color indexed="81"/>
            <rFont val="Tahoma"/>
            <family val="2"/>
          </rPr>
          <t>20180601</t>
        </r>
        <r>
          <rPr>
            <sz val="9"/>
            <color indexed="81"/>
            <rFont val="宋体"/>
            <family val="3"/>
            <charset val="134"/>
          </rPr>
          <t>由总经理助理异动至团险业务总监</t>
        </r>
      </text>
    </comment>
    <comment ref="BS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付玉涛总于</t>
        </r>
        <r>
          <rPr>
            <sz val="9"/>
            <color indexed="81"/>
            <rFont val="Tahoma"/>
            <family val="2"/>
          </rPr>
          <t>20180601</t>
        </r>
        <r>
          <rPr>
            <sz val="9"/>
            <color indexed="81"/>
            <rFont val="宋体"/>
            <family val="3"/>
            <charset val="134"/>
          </rPr>
          <t>由总经理助理异动至团险业务总监</t>
        </r>
      </text>
    </comment>
    <comment ref="CF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省级分公司总经理室成员为</t>
        </r>
        <r>
          <rPr>
            <sz val="9"/>
            <color indexed="81"/>
            <rFont val="Tahoma"/>
            <family val="2"/>
          </rPr>
          <t>2</t>
        </r>
        <r>
          <rPr>
            <sz val="9"/>
            <color indexed="81"/>
            <rFont val="宋体"/>
            <family val="3"/>
            <charset val="134"/>
          </rPr>
          <t>人，中心支公司主要负责人为</t>
        </r>
        <r>
          <rPr>
            <sz val="9"/>
            <color indexed="81"/>
            <rFont val="Tahoma"/>
            <family val="2"/>
          </rPr>
          <t>2</t>
        </r>
        <r>
          <rPr>
            <sz val="9"/>
            <color indexed="81"/>
            <rFont val="宋体"/>
            <family val="3"/>
            <charset val="134"/>
          </rPr>
          <t>人，合共</t>
        </r>
        <r>
          <rPr>
            <sz val="9"/>
            <color indexed="81"/>
            <rFont val="Tahoma"/>
            <family val="2"/>
          </rPr>
          <t>4</t>
        </r>
        <r>
          <rPr>
            <sz val="9"/>
            <color indexed="81"/>
            <rFont val="宋体"/>
            <family val="3"/>
            <charset val="134"/>
          </rPr>
          <t>人</t>
        </r>
      </text>
    </comment>
    <comment ref="CI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省级分公司总经理室成员为</t>
        </r>
        <r>
          <rPr>
            <sz val="9"/>
            <color indexed="81"/>
            <rFont val="Tahoma"/>
            <family val="2"/>
          </rPr>
          <t>2</t>
        </r>
        <r>
          <rPr>
            <sz val="9"/>
            <color indexed="81"/>
            <rFont val="宋体"/>
            <family val="3"/>
            <charset val="134"/>
          </rPr>
          <t>人，中心支公司主要负责人为</t>
        </r>
        <r>
          <rPr>
            <sz val="9"/>
            <color indexed="81"/>
            <rFont val="Tahoma"/>
            <family val="2"/>
          </rPr>
          <t>2</t>
        </r>
        <r>
          <rPr>
            <sz val="9"/>
            <color indexed="81"/>
            <rFont val="宋体"/>
            <family val="3"/>
            <charset val="134"/>
          </rPr>
          <t>人，合共</t>
        </r>
        <r>
          <rPr>
            <sz val="9"/>
            <color indexed="81"/>
            <rFont val="Tahoma"/>
            <family val="2"/>
          </rPr>
          <t>4</t>
        </r>
        <r>
          <rPr>
            <sz val="9"/>
            <color indexed="81"/>
            <rFont val="宋体"/>
            <family val="3"/>
            <charset val="134"/>
          </rPr>
          <t>人</t>
        </r>
      </text>
    </comment>
    <comment ref="CN6" authorId="0">
      <text>
        <r>
          <rPr>
            <b/>
            <sz val="9"/>
            <color indexed="81"/>
            <rFont val="宋体"/>
            <family val="3"/>
            <charset val="134"/>
          </rPr>
          <t>徐梦薇</t>
        </r>
        <r>
          <rPr>
            <b/>
            <sz val="9"/>
            <color indexed="81"/>
            <rFont val="Tahoma"/>
            <family val="2"/>
          </rPr>
          <t>/Mengwei Xu:</t>
        </r>
        <r>
          <rPr>
            <sz val="9"/>
            <color indexed="81"/>
            <rFont val="Tahoma"/>
            <family val="2"/>
          </rPr>
          <t xml:space="preserve">
2</t>
        </r>
        <r>
          <rPr>
            <sz val="9"/>
            <color indexed="81"/>
            <rFont val="宋体"/>
            <family val="3"/>
            <charset val="134"/>
          </rPr>
          <t>、</t>
        </r>
        <r>
          <rPr>
            <sz val="9"/>
            <color indexed="81"/>
            <rFont val="Tahoma"/>
            <family val="2"/>
          </rPr>
          <t>2018Q2</t>
        </r>
        <r>
          <rPr>
            <sz val="9"/>
            <color indexed="81"/>
            <rFont val="宋体"/>
            <family val="3"/>
            <charset val="134"/>
          </rPr>
          <t>反馈数据比</t>
        </r>
        <r>
          <rPr>
            <sz val="9"/>
            <color indexed="81"/>
            <rFont val="Tahoma"/>
            <family val="2"/>
          </rPr>
          <t>2018Q1</t>
        </r>
        <r>
          <rPr>
            <sz val="9"/>
            <color indexed="81"/>
            <rFont val="宋体"/>
            <family val="3"/>
            <charset val="134"/>
          </rPr>
          <t>反馈的数据多了自贡中支的文建科。</t>
        </r>
      </text>
    </comment>
    <comment ref="CQ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由铂金系统导出数据统计得出（曾毅，晏成怀，万宇，何凯，文建科）。</t>
        </r>
      </text>
    </comment>
    <comment ref="AB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去除了石家庄人数，其次，原个险培训负责人白春蕊</t>
        </r>
        <r>
          <rPr>
            <sz val="9"/>
            <color indexed="81"/>
            <rFont val="Tahoma"/>
            <family val="2"/>
          </rPr>
          <t>6.15</t>
        </r>
        <r>
          <rPr>
            <sz val="9"/>
            <color indexed="81"/>
            <rFont val="宋体"/>
            <family val="3"/>
            <charset val="134"/>
          </rPr>
          <t>离职</t>
        </r>
      </text>
    </comment>
    <comment ref="AE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去除了石家庄人数，其次，原个险培训负责人白春蕊</t>
        </r>
        <r>
          <rPr>
            <sz val="9"/>
            <color indexed="81"/>
            <rFont val="Tahoma"/>
            <family val="2"/>
          </rPr>
          <t>6.15</t>
        </r>
        <r>
          <rPr>
            <sz val="9"/>
            <color indexed="81"/>
            <rFont val="宋体"/>
            <family val="3"/>
            <charset val="134"/>
          </rPr>
          <t>离职</t>
        </r>
      </text>
    </comment>
    <comment ref="AH8" authorId="1">
      <text>
        <r>
          <rPr>
            <b/>
            <sz val="9"/>
            <color indexed="81"/>
            <rFont val="宋体"/>
            <family val="2"/>
            <charset val="134"/>
          </rPr>
          <t xml:space="preserve">个险培训部负责人到岗，个险人力发展部、个险督导部3季度新设
</t>
        </r>
      </text>
    </comment>
    <comment ref="AJ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分公司</t>
        </r>
        <r>
          <rPr>
            <sz val="9"/>
            <color indexed="81"/>
            <rFont val="Tahoma"/>
            <family val="2"/>
          </rPr>
          <t>ID3</t>
        </r>
        <r>
          <rPr>
            <sz val="9"/>
            <color indexed="81"/>
            <rFont val="宋体"/>
            <family val="3"/>
            <charset val="134"/>
          </rPr>
          <t>、分公司</t>
        </r>
        <r>
          <rPr>
            <sz val="9"/>
            <color indexed="81"/>
            <rFont val="Tahoma"/>
            <family val="2"/>
          </rPr>
          <t>AD1</t>
        </r>
        <r>
          <rPr>
            <sz val="9"/>
            <color indexed="81"/>
            <rFont val="宋体"/>
            <family val="3"/>
            <charset val="134"/>
          </rPr>
          <t>、分公司</t>
        </r>
        <r>
          <rPr>
            <sz val="9"/>
            <color indexed="81"/>
            <rFont val="Tahoma"/>
            <family val="2"/>
          </rPr>
          <t>RP1</t>
        </r>
        <r>
          <rPr>
            <sz val="9"/>
            <color indexed="81"/>
            <rFont val="宋体"/>
            <family val="3"/>
            <charset val="134"/>
          </rPr>
          <t>、分公司</t>
        </r>
        <r>
          <rPr>
            <sz val="9"/>
            <color indexed="81"/>
            <rFont val="Tahoma"/>
            <family val="2"/>
          </rPr>
          <t>CS1</t>
        </r>
        <r>
          <rPr>
            <sz val="9"/>
            <color indexed="81"/>
            <rFont val="宋体"/>
            <family val="3"/>
            <charset val="134"/>
          </rPr>
          <t>、沈阳</t>
        </r>
        <r>
          <rPr>
            <sz val="9"/>
            <color indexed="81"/>
            <rFont val="Tahoma"/>
            <family val="2"/>
          </rPr>
          <t>1</t>
        </r>
        <r>
          <rPr>
            <sz val="9"/>
            <color indexed="81"/>
            <rFont val="宋体"/>
            <family val="3"/>
            <charset val="134"/>
          </rPr>
          <t>、铁岭</t>
        </r>
        <r>
          <rPr>
            <sz val="9"/>
            <color indexed="81"/>
            <rFont val="Tahoma"/>
            <family val="2"/>
          </rPr>
          <t>1</t>
        </r>
        <r>
          <rPr>
            <sz val="9"/>
            <color indexed="81"/>
            <rFont val="宋体"/>
            <family val="3"/>
            <charset val="134"/>
          </rPr>
          <t>、抚顺</t>
        </r>
        <r>
          <rPr>
            <sz val="9"/>
            <color indexed="81"/>
            <rFont val="Tahoma"/>
            <family val="2"/>
          </rPr>
          <t>1</t>
        </r>
        <r>
          <rPr>
            <sz val="9"/>
            <color indexed="81"/>
            <rFont val="宋体"/>
            <family val="3"/>
            <charset val="134"/>
          </rPr>
          <t>、锦州</t>
        </r>
        <r>
          <rPr>
            <sz val="9"/>
            <color indexed="81"/>
            <rFont val="Tahoma"/>
            <family val="2"/>
          </rPr>
          <t>2</t>
        </r>
        <r>
          <rPr>
            <sz val="9"/>
            <color indexed="81"/>
            <rFont val="宋体"/>
            <family val="3"/>
            <charset val="134"/>
          </rPr>
          <t>、丹东</t>
        </r>
        <r>
          <rPr>
            <sz val="9"/>
            <color indexed="81"/>
            <rFont val="Tahoma"/>
            <family val="2"/>
          </rPr>
          <t>2</t>
        </r>
        <r>
          <rPr>
            <sz val="9"/>
            <color indexed="81"/>
            <rFont val="宋体"/>
            <family val="3"/>
            <charset val="134"/>
          </rPr>
          <t>、辽阳</t>
        </r>
        <r>
          <rPr>
            <sz val="9"/>
            <color indexed="81"/>
            <rFont val="Tahoma"/>
            <family val="2"/>
          </rPr>
          <t>2</t>
        </r>
        <r>
          <rPr>
            <sz val="9"/>
            <color indexed="81"/>
            <rFont val="宋体"/>
            <family val="3"/>
            <charset val="134"/>
          </rPr>
          <t>、本溪</t>
        </r>
        <r>
          <rPr>
            <sz val="9"/>
            <color indexed="81"/>
            <rFont val="Tahoma"/>
            <family val="2"/>
          </rPr>
          <t>2</t>
        </r>
      </text>
    </comment>
    <comment ref="AM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分公司</t>
        </r>
        <r>
          <rPr>
            <sz val="9"/>
            <color indexed="81"/>
            <rFont val="Tahoma"/>
            <family val="2"/>
          </rPr>
          <t>ID3</t>
        </r>
        <r>
          <rPr>
            <sz val="9"/>
            <color indexed="81"/>
            <rFont val="宋体"/>
            <family val="3"/>
            <charset val="134"/>
          </rPr>
          <t>、分公司</t>
        </r>
        <r>
          <rPr>
            <sz val="9"/>
            <color indexed="81"/>
            <rFont val="Tahoma"/>
            <family val="2"/>
          </rPr>
          <t>AD1</t>
        </r>
        <r>
          <rPr>
            <sz val="9"/>
            <color indexed="81"/>
            <rFont val="宋体"/>
            <family val="3"/>
            <charset val="134"/>
          </rPr>
          <t>、分公司</t>
        </r>
        <r>
          <rPr>
            <sz val="9"/>
            <color indexed="81"/>
            <rFont val="Tahoma"/>
            <family val="2"/>
          </rPr>
          <t>RP1</t>
        </r>
        <r>
          <rPr>
            <sz val="9"/>
            <color indexed="81"/>
            <rFont val="宋体"/>
            <family val="3"/>
            <charset val="134"/>
          </rPr>
          <t>、分公司</t>
        </r>
        <r>
          <rPr>
            <sz val="9"/>
            <color indexed="81"/>
            <rFont val="Tahoma"/>
            <family val="2"/>
          </rPr>
          <t>CS1</t>
        </r>
        <r>
          <rPr>
            <sz val="9"/>
            <color indexed="81"/>
            <rFont val="宋体"/>
            <family val="3"/>
            <charset val="134"/>
          </rPr>
          <t>、沈阳</t>
        </r>
        <r>
          <rPr>
            <sz val="9"/>
            <color indexed="81"/>
            <rFont val="Tahoma"/>
            <family val="2"/>
          </rPr>
          <t>1</t>
        </r>
        <r>
          <rPr>
            <sz val="9"/>
            <color indexed="81"/>
            <rFont val="宋体"/>
            <family val="3"/>
            <charset val="134"/>
          </rPr>
          <t>、铁岭</t>
        </r>
        <r>
          <rPr>
            <sz val="9"/>
            <color indexed="81"/>
            <rFont val="Tahoma"/>
            <family val="2"/>
          </rPr>
          <t>1</t>
        </r>
        <r>
          <rPr>
            <sz val="9"/>
            <color indexed="81"/>
            <rFont val="宋体"/>
            <family val="3"/>
            <charset val="134"/>
          </rPr>
          <t>、抚顺</t>
        </r>
        <r>
          <rPr>
            <sz val="9"/>
            <color indexed="81"/>
            <rFont val="Tahoma"/>
            <family val="2"/>
          </rPr>
          <t>1</t>
        </r>
        <r>
          <rPr>
            <sz val="9"/>
            <color indexed="81"/>
            <rFont val="宋体"/>
            <family val="3"/>
            <charset val="134"/>
          </rPr>
          <t>、锦州</t>
        </r>
        <r>
          <rPr>
            <sz val="9"/>
            <color indexed="81"/>
            <rFont val="Tahoma"/>
            <family val="2"/>
          </rPr>
          <t>2</t>
        </r>
        <r>
          <rPr>
            <sz val="9"/>
            <color indexed="81"/>
            <rFont val="宋体"/>
            <family val="3"/>
            <charset val="134"/>
          </rPr>
          <t>、丹东</t>
        </r>
        <r>
          <rPr>
            <sz val="9"/>
            <color indexed="81"/>
            <rFont val="Tahoma"/>
            <family val="2"/>
          </rPr>
          <t>2</t>
        </r>
        <r>
          <rPr>
            <sz val="9"/>
            <color indexed="81"/>
            <rFont val="宋体"/>
            <family val="3"/>
            <charset val="134"/>
          </rPr>
          <t>、辽阳</t>
        </r>
        <r>
          <rPr>
            <sz val="9"/>
            <color indexed="81"/>
            <rFont val="Tahoma"/>
            <family val="2"/>
          </rPr>
          <t>2</t>
        </r>
        <r>
          <rPr>
            <sz val="9"/>
            <color indexed="81"/>
            <rFont val="宋体"/>
            <family val="3"/>
            <charset val="134"/>
          </rPr>
          <t>、本溪</t>
        </r>
        <r>
          <rPr>
            <sz val="9"/>
            <color indexed="81"/>
            <rFont val="Tahoma"/>
            <family val="2"/>
          </rPr>
          <t>2</t>
        </r>
      </text>
    </comment>
    <comment ref="AX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统一口径，加入续期负责人和个险培训负责人</t>
        </r>
      </text>
    </comment>
    <comment ref="AZ8" authorId="1">
      <text>
        <r>
          <rPr>
            <b/>
            <sz val="9"/>
            <color indexed="81"/>
            <rFont val="宋体"/>
            <family val="3"/>
            <charset val="134"/>
          </rPr>
          <t>方炜、张晨华、袁成林、周洁、郅慧、陶小华、郑小丽、龚细明、尤建芳、朱波、沈耀平、徐莉、吴毅敏、洪艺菲、张彪、王旺、陈子剑</t>
        </r>
      </text>
    </comment>
    <comment ref="BC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BH8" authorId="1">
      <text>
        <r>
          <rPr>
            <b/>
            <sz val="9"/>
            <color indexed="81"/>
            <rFont val="宋体"/>
            <family val="3"/>
            <charset val="134"/>
          </rPr>
          <t>山东省分公司客户服务部负责人赵建元
山东省分公司多元行销负责人王洪燕
山东省分公司银保渠道负责人曲兴华
山东省分公司续期保费部负责人梁仕永
山东省分公司个险销售支持部负责人陈艳
山东省分公司个险培训部负责人黄莎
山东省分公司个险业务发展部负责人刘震
烟台中心支公司团险渠道负责人曹爱文
济宁中心支公司团险渠道负责人刘小利
济宁中心支公司个险业务发展部负责人陈智川
淄博中心支公司个险业务发展部负责人许森
潍坊中心支公司个险业务发展部负责人王俊娜
枣庄中心支公司个险业务发展部负责人周全伟
威海中心支公司个险发展部负责人李广升
德州中心支公司个险培训部负责人胡萍萍
德州中心支公司个险业务发展部负责人任龙飞
泰安中心支公司个险业务发展部负责人李明军
临沂中心支公司个险业务发展部负责人张杰</t>
        </r>
      </text>
    </comment>
    <comment ref="BK8" authorId="0">
      <text>
        <r>
          <rPr>
            <b/>
            <sz val="9"/>
            <color indexed="81"/>
            <rFont val="宋体"/>
            <family val="3"/>
            <charset val="134"/>
          </rPr>
          <t>徐梦薇</t>
        </r>
        <r>
          <rPr>
            <b/>
            <sz val="9"/>
            <color indexed="81"/>
            <rFont val="Tahoma"/>
            <family val="2"/>
          </rPr>
          <t>/Mengwei Xu:</t>
        </r>
        <r>
          <rPr>
            <sz val="9"/>
            <color indexed="81"/>
            <rFont val="宋体"/>
            <family val="3"/>
            <charset val="134"/>
          </rPr>
          <t xml:space="preserve">
山东省分公司客户服务部负责人赵建元
山东省分公司多元行销负责人王洪燕
山东省分公司续期保费部负责人梁仕永
山东省分公司个险销售支持部负责人陈艳
山东省分公司个险培训部负责人杨凯
山东省分公司个险人力发展部负责人李庆福
山东省分公司个险业务发展部负责人刘震
</t>
        </r>
        <r>
          <rPr>
            <sz val="9"/>
            <color indexed="81"/>
            <rFont val="Tahoma"/>
            <family val="2"/>
          </rPr>
          <t xml:space="preserve"> </t>
        </r>
        <r>
          <rPr>
            <sz val="9"/>
            <color indexed="81"/>
            <rFont val="宋体"/>
            <family val="3"/>
            <charset val="134"/>
          </rPr>
          <t>烟台中心支公司个险业务发展部负责人焦修伟
烟台中心支公司团险渠道负责人曹爱文
烟台中心支公司个险培训部负责人于晓荣
济宁中心支公司团险渠道负责人刘小利
济宁中心支公司个险业务发展部负责人陈智川
潍坊中心支公司个险业务发展部负责人王俊娜
枣庄中心支公司个险业务发展部负责人周全伟
威海中心支公司个险业务发展部负责人李广升
德州中心支公司个险培训部负责人胡萍萍
德州中心支公司个险业务发展部负责人任龙飞
泰安中心支公司个险业务发展部负责人李明军
临沂中心支公司个险业务发展部负责人张杰</t>
        </r>
      </text>
    </comment>
    <comment ref="BP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续期</t>
        </r>
        <r>
          <rPr>
            <sz val="9"/>
            <color indexed="81"/>
            <rFont val="Tahoma"/>
            <family val="2"/>
          </rPr>
          <t xml:space="preserve">1 </t>
        </r>
        <r>
          <rPr>
            <sz val="9"/>
            <color indexed="81"/>
            <rFont val="宋体"/>
            <family val="3"/>
            <charset val="134"/>
          </rPr>
          <t>客服</t>
        </r>
        <r>
          <rPr>
            <sz val="9"/>
            <color indexed="81"/>
            <rFont val="Tahoma"/>
            <family val="2"/>
          </rPr>
          <t>1</t>
        </r>
      </text>
    </comment>
    <comment ref="BS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续期</t>
        </r>
        <r>
          <rPr>
            <sz val="9"/>
            <color indexed="81"/>
            <rFont val="Tahoma"/>
            <family val="2"/>
          </rPr>
          <t xml:space="preserve">1 </t>
        </r>
        <r>
          <rPr>
            <sz val="9"/>
            <color indexed="81"/>
            <rFont val="宋体"/>
            <family val="3"/>
            <charset val="134"/>
          </rPr>
          <t>客服</t>
        </r>
        <r>
          <rPr>
            <sz val="9"/>
            <color indexed="81"/>
            <rFont val="Tahoma"/>
            <family val="2"/>
          </rPr>
          <t>1</t>
        </r>
      </text>
    </comment>
    <comment ref="BX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部门负责人个人简历</t>
        </r>
      </text>
    </comment>
    <comment ref="CA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部门负责人个人简历</t>
        </r>
      </text>
    </comment>
    <comment ref="CN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t>
        </r>
        <r>
          <rPr>
            <sz val="9"/>
            <color indexed="81"/>
            <rFont val="宋体"/>
            <family val="3"/>
            <charset val="134"/>
          </rPr>
          <t>尹冬，银保</t>
        </r>
        <r>
          <rPr>
            <sz val="9"/>
            <color indexed="81"/>
            <rFont val="Tahoma"/>
            <family val="2"/>
          </rPr>
          <t>-</t>
        </r>
        <r>
          <rPr>
            <sz val="9"/>
            <color indexed="81"/>
            <rFont val="宋体"/>
            <family val="3"/>
            <charset val="134"/>
          </rPr>
          <t>黄娟，客户</t>
        </r>
        <r>
          <rPr>
            <sz val="9"/>
            <color indexed="81"/>
            <rFont val="Tahoma"/>
            <family val="2"/>
          </rPr>
          <t>-</t>
        </r>
        <r>
          <rPr>
            <sz val="9"/>
            <color indexed="81"/>
            <rFont val="宋体"/>
            <family val="3"/>
            <charset val="134"/>
          </rPr>
          <t>黎伟，</t>
        </r>
        <r>
          <rPr>
            <sz val="9"/>
            <color indexed="81"/>
            <rFont val="Tahoma"/>
            <family val="2"/>
          </rPr>
          <t>SC</t>
        </r>
        <r>
          <rPr>
            <sz val="9"/>
            <color indexed="81"/>
            <rFont val="宋体"/>
            <family val="3"/>
            <charset val="134"/>
          </rPr>
          <t>培训</t>
        </r>
        <r>
          <rPr>
            <sz val="9"/>
            <color indexed="81"/>
            <rFont val="Tahoma"/>
            <family val="2"/>
          </rPr>
          <t>-</t>
        </r>
        <r>
          <rPr>
            <sz val="9"/>
            <color indexed="81"/>
            <rFont val="宋体"/>
            <family val="3"/>
            <charset val="134"/>
          </rPr>
          <t>胡妲，</t>
        </r>
        <r>
          <rPr>
            <sz val="9"/>
            <color indexed="81"/>
            <rFont val="Tahoma"/>
            <family val="2"/>
          </rPr>
          <t>SC</t>
        </r>
        <r>
          <rPr>
            <sz val="9"/>
            <color indexed="81"/>
            <rFont val="宋体"/>
            <family val="3"/>
            <charset val="134"/>
          </rPr>
          <t>业务</t>
        </r>
        <r>
          <rPr>
            <sz val="9"/>
            <color indexed="81"/>
            <rFont val="Tahoma"/>
            <family val="2"/>
          </rPr>
          <t>-</t>
        </r>
        <r>
          <rPr>
            <sz val="9"/>
            <color indexed="81"/>
            <rFont val="宋体"/>
            <family val="3"/>
            <charset val="134"/>
          </rPr>
          <t>晏成怀；</t>
        </r>
        <r>
          <rPr>
            <sz val="9"/>
            <color indexed="81"/>
            <rFont val="Tahoma"/>
            <family val="2"/>
          </rPr>
          <t>SC</t>
        </r>
        <r>
          <rPr>
            <sz val="9"/>
            <color indexed="81"/>
            <rFont val="宋体"/>
            <family val="3"/>
            <charset val="134"/>
          </rPr>
          <t>销支</t>
        </r>
        <r>
          <rPr>
            <sz val="9"/>
            <color indexed="81"/>
            <rFont val="Tahoma"/>
            <family val="2"/>
          </rPr>
          <t>-</t>
        </r>
        <r>
          <rPr>
            <sz val="9"/>
            <color indexed="81"/>
            <rFont val="宋体"/>
            <family val="3"/>
            <charset val="134"/>
          </rPr>
          <t>万宇；</t>
        </r>
        <r>
          <rPr>
            <sz val="9"/>
            <color indexed="81"/>
            <rFont val="Tahoma"/>
            <family val="2"/>
          </rPr>
          <t>LS</t>
        </r>
        <r>
          <rPr>
            <sz val="9"/>
            <color indexed="81"/>
            <rFont val="宋体"/>
            <family val="3"/>
            <charset val="134"/>
          </rPr>
          <t>业务</t>
        </r>
        <r>
          <rPr>
            <sz val="9"/>
            <color indexed="81"/>
            <rFont val="Tahoma"/>
            <family val="2"/>
          </rPr>
          <t>-</t>
        </r>
        <r>
          <rPr>
            <sz val="9"/>
            <color indexed="81"/>
            <rFont val="宋体"/>
            <family val="3"/>
            <charset val="134"/>
          </rPr>
          <t>张晓波，</t>
        </r>
        <r>
          <rPr>
            <sz val="9"/>
            <color indexed="81"/>
            <rFont val="Tahoma"/>
            <family val="2"/>
          </rPr>
          <t>LS</t>
        </r>
        <r>
          <rPr>
            <sz val="9"/>
            <color indexed="81"/>
            <rFont val="宋体"/>
            <family val="3"/>
            <charset val="134"/>
          </rPr>
          <t>培训</t>
        </r>
        <r>
          <rPr>
            <sz val="9"/>
            <color indexed="81"/>
            <rFont val="Tahoma"/>
            <family val="2"/>
          </rPr>
          <t>-</t>
        </r>
        <r>
          <rPr>
            <sz val="9"/>
            <color indexed="81"/>
            <rFont val="宋体"/>
            <family val="3"/>
            <charset val="134"/>
          </rPr>
          <t>唐文佳；</t>
        </r>
        <r>
          <rPr>
            <sz val="9"/>
            <color indexed="81"/>
            <rFont val="Tahoma"/>
            <family val="2"/>
          </rPr>
          <t>DZ-</t>
        </r>
        <r>
          <rPr>
            <sz val="9"/>
            <color indexed="81"/>
            <rFont val="宋体"/>
            <family val="3"/>
            <charset val="134"/>
          </rPr>
          <t>李美安，</t>
        </r>
        <r>
          <rPr>
            <sz val="9"/>
            <color indexed="81"/>
            <rFont val="Tahoma"/>
            <family val="2"/>
          </rPr>
          <t>NC-</t>
        </r>
        <r>
          <rPr>
            <sz val="9"/>
            <color indexed="81"/>
            <rFont val="宋体"/>
            <family val="3"/>
            <charset val="134"/>
          </rPr>
          <t>谭春丽，</t>
        </r>
        <r>
          <rPr>
            <sz val="9"/>
            <color indexed="81"/>
            <rFont val="Tahoma"/>
            <family val="2"/>
          </rPr>
          <t>NC-</t>
        </r>
        <r>
          <rPr>
            <sz val="9"/>
            <color indexed="81"/>
            <rFont val="宋体"/>
            <family val="3"/>
            <charset val="134"/>
          </rPr>
          <t>王蓉，</t>
        </r>
        <r>
          <rPr>
            <sz val="9"/>
            <color indexed="81"/>
            <rFont val="Tahoma"/>
            <family val="2"/>
          </rPr>
          <t>ZG-</t>
        </r>
        <r>
          <rPr>
            <sz val="9"/>
            <color indexed="81"/>
            <rFont val="宋体"/>
            <family val="3"/>
            <charset val="134"/>
          </rPr>
          <t>王强，</t>
        </r>
        <r>
          <rPr>
            <sz val="9"/>
            <color indexed="81"/>
            <rFont val="Tahoma"/>
            <family val="2"/>
          </rPr>
          <t>ZG</t>
        </r>
        <r>
          <rPr>
            <sz val="9"/>
            <color indexed="81"/>
            <rFont val="宋体"/>
            <family val="3"/>
            <charset val="134"/>
          </rPr>
          <t>：王梦兰）</t>
        </r>
      </text>
    </comment>
    <comment ref="CQ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t>
        </r>
        <r>
          <rPr>
            <sz val="9"/>
            <color indexed="81"/>
            <rFont val="宋体"/>
            <family val="3"/>
            <charset val="134"/>
          </rPr>
          <t>尹冬，银保</t>
        </r>
        <r>
          <rPr>
            <sz val="9"/>
            <color indexed="81"/>
            <rFont val="Tahoma"/>
            <family val="2"/>
          </rPr>
          <t>-</t>
        </r>
        <r>
          <rPr>
            <sz val="9"/>
            <color indexed="81"/>
            <rFont val="宋体"/>
            <family val="3"/>
            <charset val="134"/>
          </rPr>
          <t>黄娟，客户</t>
        </r>
        <r>
          <rPr>
            <sz val="9"/>
            <color indexed="81"/>
            <rFont val="Tahoma"/>
            <family val="2"/>
          </rPr>
          <t>-</t>
        </r>
        <r>
          <rPr>
            <sz val="9"/>
            <color indexed="81"/>
            <rFont val="宋体"/>
            <family val="3"/>
            <charset val="134"/>
          </rPr>
          <t>黎伟，</t>
        </r>
        <r>
          <rPr>
            <sz val="9"/>
            <color indexed="81"/>
            <rFont val="Tahoma"/>
            <family val="2"/>
          </rPr>
          <t>SC</t>
        </r>
        <r>
          <rPr>
            <sz val="9"/>
            <color indexed="81"/>
            <rFont val="宋体"/>
            <family val="3"/>
            <charset val="134"/>
          </rPr>
          <t>培训</t>
        </r>
        <r>
          <rPr>
            <sz val="9"/>
            <color indexed="81"/>
            <rFont val="Tahoma"/>
            <family val="2"/>
          </rPr>
          <t>-</t>
        </r>
        <r>
          <rPr>
            <sz val="9"/>
            <color indexed="81"/>
            <rFont val="宋体"/>
            <family val="3"/>
            <charset val="134"/>
          </rPr>
          <t>胡妲，</t>
        </r>
        <r>
          <rPr>
            <sz val="9"/>
            <color indexed="81"/>
            <rFont val="Tahoma"/>
            <family val="2"/>
          </rPr>
          <t>SC</t>
        </r>
        <r>
          <rPr>
            <sz val="9"/>
            <color indexed="81"/>
            <rFont val="宋体"/>
            <family val="3"/>
            <charset val="134"/>
          </rPr>
          <t>业务</t>
        </r>
        <r>
          <rPr>
            <sz val="9"/>
            <color indexed="81"/>
            <rFont val="Tahoma"/>
            <family val="2"/>
          </rPr>
          <t>-</t>
        </r>
        <r>
          <rPr>
            <sz val="9"/>
            <color indexed="81"/>
            <rFont val="宋体"/>
            <family val="3"/>
            <charset val="134"/>
          </rPr>
          <t>晏成怀；</t>
        </r>
        <r>
          <rPr>
            <sz val="9"/>
            <color indexed="81"/>
            <rFont val="Tahoma"/>
            <family val="2"/>
          </rPr>
          <t>SC</t>
        </r>
        <r>
          <rPr>
            <sz val="9"/>
            <color indexed="81"/>
            <rFont val="宋体"/>
            <family val="3"/>
            <charset val="134"/>
          </rPr>
          <t>人力</t>
        </r>
        <r>
          <rPr>
            <sz val="9"/>
            <color indexed="81"/>
            <rFont val="Tahoma"/>
            <family val="2"/>
          </rPr>
          <t>-</t>
        </r>
        <r>
          <rPr>
            <sz val="9"/>
            <color indexed="81"/>
            <rFont val="宋体"/>
            <family val="3"/>
            <charset val="134"/>
          </rPr>
          <t>甘勋；</t>
        </r>
        <r>
          <rPr>
            <sz val="9"/>
            <color indexed="81"/>
            <rFont val="Tahoma"/>
            <family val="2"/>
          </rPr>
          <t>LS</t>
        </r>
        <r>
          <rPr>
            <sz val="9"/>
            <color indexed="81"/>
            <rFont val="宋体"/>
            <family val="3"/>
            <charset val="134"/>
          </rPr>
          <t>业务</t>
        </r>
        <r>
          <rPr>
            <sz val="9"/>
            <color indexed="81"/>
            <rFont val="Tahoma"/>
            <family val="2"/>
          </rPr>
          <t>-</t>
        </r>
        <r>
          <rPr>
            <sz val="9"/>
            <color indexed="81"/>
            <rFont val="宋体"/>
            <family val="3"/>
            <charset val="134"/>
          </rPr>
          <t>张晓波，</t>
        </r>
        <r>
          <rPr>
            <sz val="9"/>
            <color indexed="81"/>
            <rFont val="Tahoma"/>
            <family val="2"/>
          </rPr>
          <t>LS</t>
        </r>
        <r>
          <rPr>
            <sz val="9"/>
            <color indexed="81"/>
            <rFont val="宋体"/>
            <family val="3"/>
            <charset val="134"/>
          </rPr>
          <t>培训</t>
        </r>
        <r>
          <rPr>
            <sz val="9"/>
            <color indexed="81"/>
            <rFont val="Tahoma"/>
            <family val="2"/>
          </rPr>
          <t>-</t>
        </r>
        <r>
          <rPr>
            <sz val="9"/>
            <color indexed="81"/>
            <rFont val="宋体"/>
            <family val="3"/>
            <charset val="134"/>
          </rPr>
          <t>唐文佳；</t>
        </r>
        <r>
          <rPr>
            <sz val="9"/>
            <color indexed="81"/>
            <rFont val="Tahoma"/>
            <family val="2"/>
          </rPr>
          <t>DZ-</t>
        </r>
        <r>
          <rPr>
            <sz val="9"/>
            <color indexed="81"/>
            <rFont val="宋体"/>
            <family val="3"/>
            <charset val="134"/>
          </rPr>
          <t>李美安，</t>
        </r>
        <r>
          <rPr>
            <sz val="9"/>
            <color indexed="81"/>
            <rFont val="Tahoma"/>
            <family val="2"/>
          </rPr>
          <t>NC-</t>
        </r>
        <r>
          <rPr>
            <sz val="9"/>
            <color indexed="81"/>
            <rFont val="宋体"/>
            <family val="3"/>
            <charset val="134"/>
          </rPr>
          <t>王蓉，</t>
        </r>
        <r>
          <rPr>
            <sz val="9"/>
            <color indexed="81"/>
            <rFont val="Tahoma"/>
            <family val="2"/>
          </rPr>
          <t>ZG-</t>
        </r>
        <r>
          <rPr>
            <sz val="9"/>
            <color indexed="81"/>
            <rFont val="宋体"/>
            <family val="3"/>
            <charset val="134"/>
          </rPr>
          <t>王强，</t>
        </r>
        <r>
          <rPr>
            <sz val="9"/>
            <color indexed="81"/>
            <rFont val="Tahoma"/>
            <family val="2"/>
          </rPr>
          <t>ZG</t>
        </r>
        <r>
          <rPr>
            <sz val="9"/>
            <color indexed="81"/>
            <rFont val="宋体"/>
            <family val="3"/>
            <charset val="134"/>
          </rPr>
          <t>：王梦兰</t>
        </r>
      </text>
    </comment>
    <comment ref="CT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基数小，变动幅度较大
</t>
        </r>
      </text>
    </comment>
    <comment ref="AB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AE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个险培训部负责人到岗，个险人力发展部、个险督导部</t>
        </r>
        <r>
          <rPr>
            <sz val="9"/>
            <color indexed="81"/>
            <rFont val="Tahoma"/>
            <family val="2"/>
          </rPr>
          <t>3</t>
        </r>
        <r>
          <rPr>
            <sz val="9"/>
            <color indexed="81"/>
            <rFont val="宋体"/>
            <family val="3"/>
            <charset val="134"/>
          </rPr>
          <t>季度新设</t>
        </r>
      </text>
    </comment>
    <comment ref="AH9" authorId="1">
      <text>
        <r>
          <rPr>
            <sz val="9"/>
            <color indexed="81"/>
            <rFont val="宋体"/>
            <family val="3"/>
            <charset val="134"/>
          </rPr>
          <t>同上</t>
        </r>
      </text>
    </comment>
    <comment ref="AJ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M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X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Z9" authorId="1">
      <text>
        <r>
          <rPr>
            <b/>
            <sz val="9"/>
            <color indexed="81"/>
            <rFont val="宋体"/>
            <family val="3"/>
            <charset val="134"/>
          </rPr>
          <t>苏州中支个险业务发展部经理（负责人）李杰不满足</t>
        </r>
        <r>
          <rPr>
            <b/>
            <sz val="9"/>
            <color indexed="81"/>
            <rFont val="Tahoma"/>
            <family val="2"/>
          </rPr>
          <t>5</t>
        </r>
        <r>
          <rPr>
            <b/>
            <sz val="9"/>
            <color indexed="81"/>
            <rFont val="宋体"/>
            <family val="3"/>
            <charset val="134"/>
          </rPr>
          <t>年经验要求</t>
        </r>
      </text>
    </comment>
    <comment ref="BC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BH9" authorId="1">
      <text>
        <r>
          <rPr>
            <b/>
            <sz val="9"/>
            <color indexed="81"/>
            <rFont val="宋体"/>
            <family val="3"/>
            <charset val="134"/>
          </rPr>
          <t>同上</t>
        </r>
      </text>
    </comment>
    <comment ref="BK9" authorId="1">
      <text>
        <r>
          <rPr>
            <b/>
            <sz val="9"/>
            <color indexed="81"/>
            <rFont val="宋体"/>
            <family val="3"/>
            <charset val="134"/>
          </rPr>
          <t>同上</t>
        </r>
      </text>
    </comment>
    <comment ref="BP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S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X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相关部门负责人（叶红、张进林、吴畏、刘辉、张瑞强、芦培贞、刘博、孙昭海、姚梅、王艳丽、张建萍、彭波、李丽、李学双、吴小强）</t>
        </r>
      </text>
    </comment>
    <comment ref="CA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相关部门负责人（叶红、张进林、吴畏、刘辉、张瑞强、芦培贞、刘博、孙昭海、姚梅、王艳丽、张建萍、彭波、李丽、李学双、吴小强）</t>
        </r>
      </text>
    </comment>
    <comment ref="CN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t>
        </r>
        <r>
          <rPr>
            <sz val="9"/>
            <color indexed="81"/>
            <rFont val="宋体"/>
            <family val="3"/>
            <charset val="134"/>
          </rPr>
          <t>尹冬，银保</t>
        </r>
        <r>
          <rPr>
            <sz val="9"/>
            <color indexed="81"/>
            <rFont val="Tahoma"/>
            <family val="2"/>
          </rPr>
          <t>-</t>
        </r>
        <r>
          <rPr>
            <sz val="9"/>
            <color indexed="81"/>
            <rFont val="宋体"/>
            <family val="3"/>
            <charset val="134"/>
          </rPr>
          <t>黄娟，客户</t>
        </r>
        <r>
          <rPr>
            <sz val="9"/>
            <color indexed="81"/>
            <rFont val="Tahoma"/>
            <family val="2"/>
          </rPr>
          <t>-</t>
        </r>
        <r>
          <rPr>
            <sz val="9"/>
            <color indexed="81"/>
            <rFont val="宋体"/>
            <family val="3"/>
            <charset val="134"/>
          </rPr>
          <t>黎伟，</t>
        </r>
        <r>
          <rPr>
            <sz val="9"/>
            <color indexed="81"/>
            <rFont val="Tahoma"/>
            <family val="2"/>
          </rPr>
          <t>SC</t>
        </r>
        <r>
          <rPr>
            <sz val="9"/>
            <color indexed="81"/>
            <rFont val="宋体"/>
            <family val="3"/>
            <charset val="134"/>
          </rPr>
          <t>培训</t>
        </r>
        <r>
          <rPr>
            <sz val="9"/>
            <color indexed="81"/>
            <rFont val="Tahoma"/>
            <family val="2"/>
          </rPr>
          <t>-</t>
        </r>
        <r>
          <rPr>
            <sz val="9"/>
            <color indexed="81"/>
            <rFont val="宋体"/>
            <family val="3"/>
            <charset val="134"/>
          </rPr>
          <t>胡妲，</t>
        </r>
        <r>
          <rPr>
            <sz val="9"/>
            <color indexed="81"/>
            <rFont val="Tahoma"/>
            <family val="2"/>
          </rPr>
          <t>SC</t>
        </r>
        <r>
          <rPr>
            <sz val="9"/>
            <color indexed="81"/>
            <rFont val="宋体"/>
            <family val="3"/>
            <charset val="134"/>
          </rPr>
          <t>业务</t>
        </r>
        <r>
          <rPr>
            <sz val="9"/>
            <color indexed="81"/>
            <rFont val="Tahoma"/>
            <family val="2"/>
          </rPr>
          <t>-</t>
        </r>
        <r>
          <rPr>
            <sz val="9"/>
            <color indexed="81"/>
            <rFont val="宋体"/>
            <family val="3"/>
            <charset val="134"/>
          </rPr>
          <t>晏成怀；</t>
        </r>
        <r>
          <rPr>
            <sz val="9"/>
            <color indexed="81"/>
            <rFont val="Tahoma"/>
            <family val="2"/>
          </rPr>
          <t>SC</t>
        </r>
        <r>
          <rPr>
            <sz val="9"/>
            <color indexed="81"/>
            <rFont val="宋体"/>
            <family val="3"/>
            <charset val="134"/>
          </rPr>
          <t>销支</t>
        </r>
        <r>
          <rPr>
            <sz val="9"/>
            <color indexed="81"/>
            <rFont val="Tahoma"/>
            <family val="2"/>
          </rPr>
          <t>-</t>
        </r>
        <r>
          <rPr>
            <sz val="9"/>
            <color indexed="81"/>
            <rFont val="宋体"/>
            <family val="3"/>
            <charset val="134"/>
          </rPr>
          <t>万宇；</t>
        </r>
        <r>
          <rPr>
            <sz val="9"/>
            <color indexed="81"/>
            <rFont val="Tahoma"/>
            <family val="2"/>
          </rPr>
          <t>LS</t>
        </r>
        <r>
          <rPr>
            <sz val="9"/>
            <color indexed="81"/>
            <rFont val="宋体"/>
            <family val="3"/>
            <charset val="134"/>
          </rPr>
          <t>业务</t>
        </r>
        <r>
          <rPr>
            <sz val="9"/>
            <color indexed="81"/>
            <rFont val="Tahoma"/>
            <family val="2"/>
          </rPr>
          <t>-</t>
        </r>
        <r>
          <rPr>
            <sz val="9"/>
            <color indexed="81"/>
            <rFont val="宋体"/>
            <family val="3"/>
            <charset val="134"/>
          </rPr>
          <t>张晓波，</t>
        </r>
        <r>
          <rPr>
            <sz val="9"/>
            <color indexed="81"/>
            <rFont val="Tahoma"/>
            <family val="2"/>
          </rPr>
          <t>LS</t>
        </r>
        <r>
          <rPr>
            <sz val="9"/>
            <color indexed="81"/>
            <rFont val="宋体"/>
            <family val="3"/>
            <charset val="134"/>
          </rPr>
          <t>培训</t>
        </r>
        <r>
          <rPr>
            <sz val="9"/>
            <color indexed="81"/>
            <rFont val="Tahoma"/>
            <family val="2"/>
          </rPr>
          <t>-</t>
        </r>
        <r>
          <rPr>
            <sz val="9"/>
            <color indexed="81"/>
            <rFont val="宋体"/>
            <family val="3"/>
            <charset val="134"/>
          </rPr>
          <t>唐文佳；</t>
        </r>
        <r>
          <rPr>
            <sz val="9"/>
            <color indexed="81"/>
            <rFont val="Tahoma"/>
            <family val="2"/>
          </rPr>
          <t>DZ-</t>
        </r>
        <r>
          <rPr>
            <sz val="9"/>
            <color indexed="81"/>
            <rFont val="宋体"/>
            <family val="3"/>
            <charset val="134"/>
          </rPr>
          <t>李美安，</t>
        </r>
        <r>
          <rPr>
            <sz val="9"/>
            <color indexed="81"/>
            <rFont val="Tahoma"/>
            <family val="2"/>
          </rPr>
          <t>NC-</t>
        </r>
        <r>
          <rPr>
            <sz val="9"/>
            <color indexed="81"/>
            <rFont val="宋体"/>
            <family val="3"/>
            <charset val="134"/>
          </rPr>
          <t>谭春丽，</t>
        </r>
        <r>
          <rPr>
            <sz val="9"/>
            <color indexed="81"/>
            <rFont val="Tahoma"/>
            <family val="2"/>
          </rPr>
          <t>NC-</t>
        </r>
        <r>
          <rPr>
            <sz val="9"/>
            <color indexed="81"/>
            <rFont val="宋体"/>
            <family val="3"/>
            <charset val="134"/>
          </rPr>
          <t>王蓉，</t>
        </r>
        <r>
          <rPr>
            <sz val="9"/>
            <color indexed="81"/>
            <rFont val="Tahoma"/>
            <family val="2"/>
          </rPr>
          <t>ZG-</t>
        </r>
        <r>
          <rPr>
            <sz val="9"/>
            <color indexed="81"/>
            <rFont val="宋体"/>
            <family val="3"/>
            <charset val="134"/>
          </rPr>
          <t>王强，</t>
        </r>
        <r>
          <rPr>
            <sz val="9"/>
            <color indexed="81"/>
            <rFont val="Tahoma"/>
            <family val="2"/>
          </rPr>
          <t>ZG</t>
        </r>
        <r>
          <rPr>
            <sz val="9"/>
            <color indexed="81"/>
            <rFont val="宋体"/>
            <family val="3"/>
            <charset val="134"/>
          </rPr>
          <t>：王梦兰）</t>
        </r>
      </text>
    </comment>
    <comment ref="CQ9" authorId="2">
      <text>
        <r>
          <rPr>
            <b/>
            <sz val="9"/>
            <color indexed="81"/>
            <rFont val="宋体"/>
            <family val="3"/>
            <charset val="134"/>
          </rPr>
          <t>徐梦薇</t>
        </r>
        <r>
          <rPr>
            <b/>
            <sz val="9"/>
            <color indexed="81"/>
            <rFont val="Tahoma"/>
            <family val="2"/>
          </rPr>
          <t xml:space="preserve">:
</t>
        </r>
        <r>
          <rPr>
            <b/>
            <sz val="9"/>
            <color indexed="81"/>
            <rFont val="宋体"/>
            <family val="3"/>
            <charset val="134"/>
          </rPr>
          <t>同上</t>
        </r>
      </text>
    </comment>
    <comment ref="CT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Z11" authorId="0">
      <text>
        <r>
          <rPr>
            <b/>
            <sz val="9"/>
            <color indexed="81"/>
            <rFont val="宋体"/>
            <family val="3"/>
            <charset val="134"/>
          </rPr>
          <t>徐梦薇</t>
        </r>
        <r>
          <rPr>
            <b/>
            <sz val="9"/>
            <color indexed="81"/>
            <rFont val="Tahoma"/>
            <family val="2"/>
          </rPr>
          <t>/Mengwei Xu:</t>
        </r>
        <r>
          <rPr>
            <sz val="9"/>
            <color indexed="81"/>
            <rFont val="Tahoma"/>
            <family val="2"/>
          </rPr>
          <t xml:space="preserve">
Q3</t>
        </r>
        <r>
          <rPr>
            <sz val="9"/>
            <color indexed="81"/>
            <rFont val="宋体"/>
            <family val="3"/>
            <charset val="134"/>
          </rPr>
          <t>期间共离职</t>
        </r>
        <r>
          <rPr>
            <sz val="9"/>
            <color indexed="81"/>
            <rFont val="Tahoma"/>
            <family val="2"/>
          </rPr>
          <t>13</t>
        </r>
        <r>
          <rPr>
            <sz val="9"/>
            <color indexed="81"/>
            <rFont val="宋体"/>
            <family val="3"/>
            <charset val="134"/>
          </rPr>
          <t>人，其中客服离职</t>
        </r>
        <r>
          <rPr>
            <sz val="9"/>
            <color indexed="81"/>
            <rFont val="Tahoma"/>
            <family val="2"/>
          </rPr>
          <t>2</t>
        </r>
        <r>
          <rPr>
            <sz val="9"/>
            <color indexed="81"/>
            <rFont val="宋体"/>
            <family val="3"/>
            <charset val="134"/>
          </rPr>
          <t>人，个险</t>
        </r>
        <r>
          <rPr>
            <sz val="9"/>
            <color indexed="81"/>
            <rFont val="Tahoma"/>
            <family val="2"/>
          </rPr>
          <t>3</t>
        </r>
        <r>
          <rPr>
            <sz val="9"/>
            <color indexed="81"/>
            <rFont val="宋体"/>
            <family val="3"/>
            <charset val="134"/>
          </rPr>
          <t>人，团险</t>
        </r>
        <r>
          <rPr>
            <sz val="9"/>
            <color indexed="81"/>
            <rFont val="Tahoma"/>
            <family val="2"/>
          </rPr>
          <t>4</t>
        </r>
        <r>
          <rPr>
            <sz val="9"/>
            <color indexed="81"/>
            <rFont val="宋体"/>
            <family val="3"/>
            <charset val="134"/>
          </rPr>
          <t>人，银保</t>
        </r>
        <r>
          <rPr>
            <sz val="9"/>
            <color indexed="81"/>
            <rFont val="Tahoma"/>
            <family val="2"/>
          </rPr>
          <t>2</t>
        </r>
        <r>
          <rPr>
            <sz val="9"/>
            <color indexed="81"/>
            <rFont val="宋体"/>
            <family val="3"/>
            <charset val="134"/>
          </rPr>
          <t>人，多元</t>
        </r>
        <r>
          <rPr>
            <sz val="9"/>
            <color indexed="81"/>
            <rFont val="Tahoma"/>
            <family val="2"/>
          </rPr>
          <t>1</t>
        </r>
        <r>
          <rPr>
            <sz val="9"/>
            <color indexed="81"/>
            <rFont val="宋体"/>
            <family val="3"/>
            <charset val="134"/>
          </rPr>
          <t>人，续期</t>
        </r>
        <r>
          <rPr>
            <sz val="9"/>
            <color indexed="81"/>
            <rFont val="Tahoma"/>
            <family val="2"/>
          </rPr>
          <t>1</t>
        </r>
        <r>
          <rPr>
            <sz val="9"/>
            <color indexed="81"/>
            <rFont val="宋体"/>
            <family val="3"/>
            <charset val="134"/>
          </rPr>
          <t>人。除续期</t>
        </r>
        <r>
          <rPr>
            <sz val="9"/>
            <color indexed="81"/>
            <rFont val="Tahoma"/>
            <family val="2"/>
          </rPr>
          <t>1</t>
        </r>
        <r>
          <rPr>
            <sz val="9"/>
            <color indexed="81"/>
            <rFont val="宋体"/>
            <family val="3"/>
            <charset val="134"/>
          </rPr>
          <t>人为试用期内不符合录用标准，公司辞退，其余</t>
        </r>
        <r>
          <rPr>
            <sz val="9"/>
            <color indexed="81"/>
            <rFont val="Tahoma"/>
            <family val="2"/>
          </rPr>
          <t>12</t>
        </r>
        <r>
          <rPr>
            <sz val="9"/>
            <color indexed="81"/>
            <rFont val="宋体"/>
            <family val="3"/>
            <charset val="134"/>
          </rPr>
          <t>人为主动辞职。</t>
        </r>
      </text>
    </comment>
    <comment ref="AB11" authorId="0">
      <text>
        <r>
          <rPr>
            <b/>
            <sz val="9"/>
            <color indexed="81"/>
            <rFont val="宋体"/>
            <family val="3"/>
            <charset val="134"/>
          </rPr>
          <t>徐梦薇</t>
        </r>
        <r>
          <rPr>
            <b/>
            <sz val="9"/>
            <color indexed="81"/>
            <rFont val="Tahoma"/>
            <family val="2"/>
          </rPr>
          <t>/Mengwei Xu:</t>
        </r>
        <r>
          <rPr>
            <sz val="9"/>
            <color indexed="81"/>
            <rFont val="Tahoma"/>
            <family val="2"/>
          </rPr>
          <t xml:space="preserve">
1、二季度个险离职12人，包含内勤9人，外勤3人；2、二季度银保离职3人，包含内勤2人，外勤1人；3、二季度团险外勤离职1人；4、二季度客服离职1人；二季度共离职17人                     </t>
        </r>
        <r>
          <rPr>
            <sz val="9"/>
            <color indexed="81"/>
            <rFont val="宋体"/>
            <family val="3"/>
            <charset val="134"/>
          </rPr>
          <t>人</t>
        </r>
        <r>
          <rPr>
            <sz val="9"/>
            <color indexed="81"/>
            <rFont val="Tahoma"/>
            <family val="2"/>
          </rPr>
          <t xml:space="preserve">                  </t>
        </r>
      </text>
    </comment>
    <comment ref="BF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评估期内离职</t>
        </r>
        <r>
          <rPr>
            <sz val="9"/>
            <color indexed="81"/>
            <rFont val="Tahoma"/>
            <family val="2"/>
          </rPr>
          <t>39</t>
        </r>
        <r>
          <rPr>
            <sz val="9"/>
            <color indexed="81"/>
            <rFont val="宋体"/>
            <family val="3"/>
            <charset val="134"/>
          </rPr>
          <t>人，其中客服</t>
        </r>
        <r>
          <rPr>
            <sz val="9"/>
            <color indexed="81"/>
            <rFont val="Tahoma"/>
            <family val="2"/>
          </rPr>
          <t>1</t>
        </r>
        <r>
          <rPr>
            <sz val="9"/>
            <color indexed="81"/>
            <rFont val="宋体"/>
            <family val="3"/>
            <charset val="134"/>
          </rPr>
          <t>人，个险</t>
        </r>
        <r>
          <rPr>
            <sz val="9"/>
            <color indexed="81"/>
            <rFont val="Tahoma"/>
            <family val="2"/>
          </rPr>
          <t>18</t>
        </r>
        <r>
          <rPr>
            <sz val="9"/>
            <color indexed="81"/>
            <rFont val="宋体"/>
            <family val="3"/>
            <charset val="134"/>
          </rPr>
          <t>人，银保</t>
        </r>
        <r>
          <rPr>
            <sz val="9"/>
            <color indexed="81"/>
            <rFont val="Tahoma"/>
            <family val="2"/>
          </rPr>
          <t>10</t>
        </r>
        <r>
          <rPr>
            <sz val="9"/>
            <color indexed="81"/>
            <rFont val="宋体"/>
            <family val="3"/>
            <charset val="134"/>
          </rPr>
          <t>人，团险</t>
        </r>
        <r>
          <rPr>
            <sz val="9"/>
            <color indexed="81"/>
            <rFont val="Tahoma"/>
            <family val="2"/>
          </rPr>
          <t>6</t>
        </r>
        <r>
          <rPr>
            <sz val="9"/>
            <color indexed="81"/>
            <rFont val="宋体"/>
            <family val="3"/>
            <charset val="134"/>
          </rPr>
          <t>人，多元</t>
        </r>
        <r>
          <rPr>
            <sz val="9"/>
            <color indexed="81"/>
            <rFont val="Tahoma"/>
            <family val="2"/>
          </rPr>
          <t>2</t>
        </r>
        <r>
          <rPr>
            <sz val="9"/>
            <color indexed="81"/>
            <rFont val="宋体"/>
            <family val="3"/>
            <charset val="134"/>
          </rPr>
          <t>人，续期</t>
        </r>
        <r>
          <rPr>
            <sz val="9"/>
            <color indexed="81"/>
            <rFont val="Tahoma"/>
            <family val="2"/>
          </rPr>
          <t>2</t>
        </r>
        <r>
          <rPr>
            <sz val="9"/>
            <color indexed="81"/>
            <rFont val="宋体"/>
            <family val="3"/>
            <charset val="134"/>
          </rPr>
          <t>人，其中</t>
        </r>
        <r>
          <rPr>
            <sz val="9"/>
            <color indexed="81"/>
            <rFont val="Tahoma"/>
            <family val="2"/>
          </rPr>
          <t>4</t>
        </r>
        <r>
          <rPr>
            <sz val="9"/>
            <color indexed="81"/>
            <rFont val="宋体"/>
            <family val="3"/>
            <charset val="134"/>
          </rPr>
          <t>人为协商解除，</t>
        </r>
        <r>
          <rPr>
            <sz val="9"/>
            <color indexed="81"/>
            <rFont val="Tahoma"/>
            <family val="2"/>
          </rPr>
          <t>2</t>
        </r>
        <r>
          <rPr>
            <sz val="9"/>
            <color indexed="81"/>
            <rFont val="宋体"/>
            <family val="3"/>
            <charset val="134"/>
          </rPr>
          <t>人为退休，其余均为自愿离职。</t>
        </r>
      </text>
    </comment>
    <comment ref="BP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个险人员及团险销售人员离职率较高</t>
        </r>
      </text>
    </comment>
    <comment ref="BV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个险人员及团险销售人员离职率较高</t>
        </r>
      </text>
    </comment>
    <comment ref="CF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离职共</t>
        </r>
        <r>
          <rPr>
            <sz val="9"/>
            <color indexed="81"/>
            <rFont val="Tahoma"/>
            <family val="2"/>
          </rPr>
          <t>36</t>
        </r>
        <r>
          <rPr>
            <sz val="9"/>
            <color indexed="81"/>
            <rFont val="宋体"/>
            <family val="3"/>
            <charset val="134"/>
          </rPr>
          <t>人次，统计数据不包括分公司总经理</t>
        </r>
        <r>
          <rPr>
            <sz val="9"/>
            <color indexed="81"/>
            <rFont val="Tahoma"/>
            <family val="2"/>
          </rPr>
          <t>,</t>
        </r>
        <r>
          <rPr>
            <sz val="9"/>
            <color indexed="81"/>
            <rFont val="宋体"/>
            <family val="3"/>
            <charset val="134"/>
          </rPr>
          <t>包含分公司总经理助理兼渠道负责人。（其中有一人</t>
        </r>
        <r>
          <rPr>
            <sz val="9"/>
            <color indexed="81"/>
            <rFont val="Tahoma"/>
            <family val="2"/>
          </rPr>
          <t>6</t>
        </r>
        <r>
          <rPr>
            <sz val="9"/>
            <color indexed="81"/>
            <rFont val="宋体"/>
            <family val="3"/>
            <charset val="134"/>
          </rPr>
          <t>月</t>
        </r>
        <r>
          <rPr>
            <sz val="9"/>
            <color indexed="81"/>
            <rFont val="Tahoma"/>
            <family val="2"/>
          </rPr>
          <t>30</t>
        </r>
        <r>
          <rPr>
            <sz val="9"/>
            <color indexed="81"/>
            <rFont val="宋体"/>
            <family val="3"/>
            <charset val="134"/>
          </rPr>
          <t>日最后工作日，计入第三季度离职）</t>
        </r>
      </text>
    </comment>
    <comment ref="CI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离职共</t>
        </r>
        <r>
          <rPr>
            <sz val="9"/>
            <color indexed="81"/>
            <rFont val="Tahoma"/>
            <family val="2"/>
          </rPr>
          <t>36</t>
        </r>
        <r>
          <rPr>
            <sz val="9"/>
            <color indexed="81"/>
            <rFont val="宋体"/>
            <family val="3"/>
            <charset val="134"/>
          </rPr>
          <t>人次，统计数据不包括分公司总经理</t>
        </r>
        <r>
          <rPr>
            <sz val="9"/>
            <color indexed="81"/>
            <rFont val="Tahoma"/>
            <family val="2"/>
          </rPr>
          <t>,</t>
        </r>
        <r>
          <rPr>
            <sz val="9"/>
            <color indexed="81"/>
            <rFont val="宋体"/>
            <family val="3"/>
            <charset val="134"/>
          </rPr>
          <t>包含分公司总经理助理兼渠道负责人。（其中有一人</t>
        </r>
        <r>
          <rPr>
            <sz val="9"/>
            <color indexed="81"/>
            <rFont val="Tahoma"/>
            <family val="2"/>
          </rPr>
          <t>6</t>
        </r>
        <r>
          <rPr>
            <sz val="9"/>
            <color indexed="81"/>
            <rFont val="宋体"/>
            <family val="3"/>
            <charset val="134"/>
          </rPr>
          <t>月</t>
        </r>
        <r>
          <rPr>
            <sz val="9"/>
            <color indexed="81"/>
            <rFont val="Tahoma"/>
            <family val="2"/>
          </rPr>
          <t>30</t>
        </r>
        <r>
          <rPr>
            <sz val="9"/>
            <color indexed="81"/>
            <rFont val="宋体"/>
            <family val="3"/>
            <charset val="134"/>
          </rPr>
          <t>日最后工作日，计入第三季度离职）</t>
        </r>
      </text>
    </comment>
    <comment ref="CF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前</t>
        </r>
        <r>
          <rPr>
            <sz val="9"/>
            <color indexed="81"/>
            <rFont val="Tahoma"/>
            <family val="2"/>
          </rPr>
          <t>4</t>
        </r>
        <r>
          <rPr>
            <sz val="9"/>
            <color indexed="81"/>
            <rFont val="宋体"/>
            <family val="3"/>
            <charset val="134"/>
          </rPr>
          <t>个季度初省级分公司及以下分支机构有</t>
        </r>
        <r>
          <rPr>
            <sz val="9"/>
            <color indexed="81"/>
            <rFont val="Tahoma"/>
            <family val="2"/>
          </rPr>
          <t>48</t>
        </r>
        <r>
          <rPr>
            <sz val="9"/>
            <color indexed="81"/>
            <rFont val="宋体"/>
            <family val="3"/>
            <charset val="134"/>
          </rPr>
          <t>人</t>
        </r>
      </text>
    </comment>
    <comment ref="CI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前</t>
        </r>
        <r>
          <rPr>
            <sz val="9"/>
            <color indexed="81"/>
            <rFont val="Tahoma"/>
            <family val="2"/>
          </rPr>
          <t>4</t>
        </r>
        <r>
          <rPr>
            <sz val="9"/>
            <color indexed="81"/>
            <rFont val="宋体"/>
            <family val="3"/>
            <charset val="134"/>
          </rPr>
          <t>个季度初省级分公司及以下分支机构有</t>
        </r>
        <r>
          <rPr>
            <sz val="9"/>
            <color indexed="81"/>
            <rFont val="Tahoma"/>
            <family val="2"/>
          </rPr>
          <t>48</t>
        </r>
        <r>
          <rPr>
            <sz val="9"/>
            <color indexed="81"/>
            <rFont val="宋体"/>
            <family val="3"/>
            <charset val="134"/>
          </rPr>
          <t>人</t>
        </r>
      </text>
    </comment>
    <comment ref="Z13" authorId="0">
      <text>
        <r>
          <rPr>
            <b/>
            <sz val="9"/>
            <color indexed="81"/>
            <rFont val="宋体"/>
            <family val="3"/>
            <charset val="134"/>
          </rPr>
          <t>徐梦薇</t>
        </r>
        <r>
          <rPr>
            <b/>
            <sz val="9"/>
            <color indexed="81"/>
            <rFont val="Tahoma"/>
            <family val="2"/>
          </rPr>
          <t>/Mengwei Xu:</t>
        </r>
        <r>
          <rPr>
            <sz val="9"/>
            <color indexed="81"/>
            <rFont val="Tahoma"/>
            <family val="2"/>
          </rPr>
          <t xml:space="preserve">
Q3</t>
        </r>
        <r>
          <rPr>
            <sz val="9"/>
            <color indexed="81"/>
            <rFont val="宋体"/>
            <family val="3"/>
            <charset val="134"/>
          </rPr>
          <t>期间共入职</t>
        </r>
        <r>
          <rPr>
            <sz val="9"/>
            <color indexed="81"/>
            <rFont val="Tahoma"/>
            <family val="2"/>
          </rPr>
          <t>24</t>
        </r>
        <r>
          <rPr>
            <sz val="9"/>
            <color indexed="81"/>
            <rFont val="宋体"/>
            <family val="3"/>
            <charset val="134"/>
          </rPr>
          <t>人，其中客服</t>
        </r>
        <r>
          <rPr>
            <sz val="9"/>
            <color indexed="81"/>
            <rFont val="Tahoma"/>
            <family val="2"/>
          </rPr>
          <t>2</t>
        </r>
        <r>
          <rPr>
            <sz val="9"/>
            <color indexed="81"/>
            <rFont val="宋体"/>
            <family val="3"/>
            <charset val="134"/>
          </rPr>
          <t>人，个险</t>
        </r>
        <r>
          <rPr>
            <sz val="9"/>
            <color indexed="81"/>
            <rFont val="Tahoma"/>
            <family val="2"/>
          </rPr>
          <t>2</t>
        </r>
        <r>
          <rPr>
            <sz val="9"/>
            <color indexed="81"/>
            <rFont val="宋体"/>
            <family val="3"/>
            <charset val="134"/>
          </rPr>
          <t>人，团险</t>
        </r>
        <r>
          <rPr>
            <sz val="9"/>
            <color indexed="81"/>
            <rFont val="Tahoma"/>
            <family val="2"/>
          </rPr>
          <t>5</t>
        </r>
        <r>
          <rPr>
            <sz val="9"/>
            <color indexed="81"/>
            <rFont val="宋体"/>
            <family val="3"/>
            <charset val="134"/>
          </rPr>
          <t>人，银保</t>
        </r>
        <r>
          <rPr>
            <sz val="9"/>
            <color indexed="81"/>
            <rFont val="Tahoma"/>
            <family val="2"/>
          </rPr>
          <t>9</t>
        </r>
        <r>
          <rPr>
            <sz val="9"/>
            <color indexed="81"/>
            <rFont val="宋体"/>
            <family val="3"/>
            <charset val="134"/>
          </rPr>
          <t>人，多元</t>
        </r>
        <r>
          <rPr>
            <sz val="9"/>
            <color indexed="81"/>
            <rFont val="Tahoma"/>
            <family val="2"/>
          </rPr>
          <t>4</t>
        </r>
        <r>
          <rPr>
            <sz val="9"/>
            <color indexed="81"/>
            <rFont val="宋体"/>
            <family val="3"/>
            <charset val="134"/>
          </rPr>
          <t>人，续期</t>
        </r>
        <r>
          <rPr>
            <sz val="9"/>
            <color indexed="81"/>
            <rFont val="Tahoma"/>
            <family val="2"/>
          </rPr>
          <t>2</t>
        </r>
        <r>
          <rPr>
            <sz val="9"/>
            <color indexed="81"/>
            <rFont val="宋体"/>
            <family val="3"/>
            <charset val="134"/>
          </rPr>
          <t>人。</t>
        </r>
      </text>
    </comment>
    <comment ref="AB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13</t>
        </r>
        <r>
          <rPr>
            <sz val="9"/>
            <color indexed="81"/>
            <rFont val="宋体"/>
            <family val="3"/>
            <charset val="134"/>
          </rPr>
          <t>：李鑫</t>
        </r>
        <r>
          <rPr>
            <sz val="9"/>
            <color indexed="81"/>
            <rFont val="Tahoma"/>
            <family val="2"/>
          </rPr>
          <t>2018.1.1</t>
        </r>
        <r>
          <rPr>
            <sz val="9"/>
            <color indexed="81"/>
            <rFont val="宋体"/>
            <family val="3"/>
            <charset val="134"/>
          </rPr>
          <t>由总部个险异动至天分个险培训部。
客服：</t>
        </r>
        <r>
          <rPr>
            <sz val="9"/>
            <color indexed="81"/>
            <rFont val="Tahoma"/>
            <family val="2"/>
          </rPr>
          <t>1</t>
        </r>
        <r>
          <rPr>
            <sz val="9"/>
            <color indexed="81"/>
            <rFont val="宋体"/>
            <family val="3"/>
            <charset val="134"/>
          </rPr>
          <t>团险：</t>
        </r>
        <r>
          <rPr>
            <sz val="9"/>
            <color indexed="81"/>
            <rFont val="Tahoma"/>
            <family val="2"/>
          </rPr>
          <t>6</t>
        </r>
        <r>
          <rPr>
            <sz val="9"/>
            <color indexed="81"/>
            <rFont val="宋体"/>
            <family val="3"/>
            <charset val="134"/>
          </rPr>
          <t>银保：</t>
        </r>
        <r>
          <rPr>
            <sz val="9"/>
            <color indexed="81"/>
            <rFont val="Tahoma"/>
            <family val="2"/>
          </rPr>
          <t>5续期：2</t>
        </r>
      </text>
    </comment>
    <comment ref="AH13" authorId="0">
      <text>
        <r>
          <rPr>
            <b/>
            <sz val="9"/>
            <color indexed="81"/>
            <rFont val="宋体"/>
            <family val="3"/>
            <charset val="134"/>
          </rPr>
          <t>徐梦薇</t>
        </r>
        <r>
          <rPr>
            <b/>
            <sz val="9"/>
            <color indexed="81"/>
            <rFont val="Tahoma"/>
            <family val="2"/>
          </rPr>
          <t>/Mengwei Xu:</t>
        </r>
        <r>
          <rPr>
            <sz val="9"/>
            <color indexed="81"/>
            <rFont val="Tahoma"/>
            <family val="2"/>
          </rPr>
          <t xml:space="preserve">
1.2018</t>
        </r>
        <r>
          <rPr>
            <sz val="9"/>
            <color indexed="81"/>
            <rFont val="宋体"/>
            <family val="3"/>
            <charset val="134"/>
          </rPr>
          <t>年三季度新增</t>
        </r>
        <r>
          <rPr>
            <sz val="9"/>
            <color indexed="81"/>
            <rFont val="Tahoma"/>
            <family val="2"/>
          </rPr>
          <t>16</t>
        </r>
        <r>
          <rPr>
            <sz val="9"/>
            <color indexed="81"/>
            <rFont val="宋体"/>
            <family val="3"/>
            <charset val="134"/>
          </rPr>
          <t>人，包含个险渠道</t>
        </r>
        <r>
          <rPr>
            <sz val="9"/>
            <color indexed="81"/>
            <rFont val="Tahoma"/>
            <family val="2"/>
          </rPr>
          <t>9</t>
        </r>
        <r>
          <rPr>
            <sz val="9"/>
            <color indexed="81"/>
            <rFont val="宋体"/>
            <family val="3"/>
            <charset val="134"/>
          </rPr>
          <t>人，银保渠道</t>
        </r>
        <r>
          <rPr>
            <sz val="9"/>
            <color indexed="81"/>
            <rFont val="Tahoma"/>
            <family val="2"/>
          </rPr>
          <t>1</t>
        </r>
        <r>
          <rPr>
            <sz val="9"/>
            <color indexed="81"/>
            <rFont val="宋体"/>
            <family val="3"/>
            <charset val="134"/>
          </rPr>
          <t>人，团险渠道</t>
        </r>
        <r>
          <rPr>
            <sz val="9"/>
            <color indexed="81"/>
            <rFont val="Tahoma"/>
            <family val="2"/>
          </rPr>
          <t>2</t>
        </r>
        <r>
          <rPr>
            <sz val="9"/>
            <color indexed="81"/>
            <rFont val="宋体"/>
            <family val="3"/>
            <charset val="134"/>
          </rPr>
          <t>人，续期保费</t>
        </r>
        <r>
          <rPr>
            <sz val="9"/>
            <color indexed="81"/>
            <rFont val="Tahoma"/>
            <family val="2"/>
          </rPr>
          <t>2</t>
        </r>
        <r>
          <rPr>
            <sz val="9"/>
            <color indexed="81"/>
            <rFont val="宋体"/>
            <family val="3"/>
            <charset val="134"/>
          </rPr>
          <t>人，客户服务部</t>
        </r>
        <r>
          <rPr>
            <sz val="9"/>
            <color indexed="81"/>
            <rFont val="Tahoma"/>
            <family val="2"/>
          </rPr>
          <t>2</t>
        </r>
        <r>
          <rPr>
            <sz val="9"/>
            <color indexed="81"/>
            <rFont val="宋体"/>
            <family val="3"/>
            <charset val="134"/>
          </rPr>
          <t xml:space="preserve">人；
</t>
        </r>
        <r>
          <rPr>
            <sz val="9"/>
            <color indexed="81"/>
            <rFont val="Tahoma"/>
            <family val="2"/>
          </rPr>
          <t>2.2017</t>
        </r>
        <r>
          <rPr>
            <sz val="9"/>
            <color indexed="81"/>
            <rFont val="宋体"/>
            <family val="3"/>
            <charset val="134"/>
          </rPr>
          <t>年第三季度新增</t>
        </r>
        <r>
          <rPr>
            <sz val="9"/>
            <color indexed="81"/>
            <rFont val="Tahoma"/>
            <family val="2"/>
          </rPr>
          <t>5</t>
        </r>
        <r>
          <rPr>
            <sz val="9"/>
            <color indexed="81"/>
            <rFont val="宋体"/>
            <family val="3"/>
            <charset val="134"/>
          </rPr>
          <t>人，包含个险渠道</t>
        </r>
        <r>
          <rPr>
            <sz val="9"/>
            <color indexed="81"/>
            <rFont val="Tahoma"/>
            <family val="2"/>
          </rPr>
          <t>2</t>
        </r>
        <r>
          <rPr>
            <sz val="9"/>
            <color indexed="81"/>
            <rFont val="宋体"/>
            <family val="3"/>
            <charset val="134"/>
          </rPr>
          <t>人，团险渠道</t>
        </r>
        <r>
          <rPr>
            <sz val="9"/>
            <color indexed="81"/>
            <rFont val="Tahoma"/>
            <family val="2"/>
          </rPr>
          <t>2</t>
        </r>
        <r>
          <rPr>
            <sz val="9"/>
            <color indexed="81"/>
            <rFont val="宋体"/>
            <family val="3"/>
            <charset val="134"/>
          </rPr>
          <t>人，客户服务部</t>
        </r>
        <r>
          <rPr>
            <sz val="9"/>
            <color indexed="81"/>
            <rFont val="Tahoma"/>
            <family val="2"/>
          </rPr>
          <t>1</t>
        </r>
        <r>
          <rPr>
            <sz val="9"/>
            <color indexed="81"/>
            <rFont val="宋体"/>
            <family val="3"/>
            <charset val="134"/>
          </rPr>
          <t xml:space="preserve">人；
</t>
        </r>
        <r>
          <rPr>
            <sz val="9"/>
            <color indexed="81"/>
            <rFont val="Tahoma"/>
            <family val="2"/>
          </rPr>
          <t>3.</t>
        </r>
        <r>
          <rPr>
            <sz val="9"/>
            <color indexed="81"/>
            <rFont val="宋体"/>
            <family val="3"/>
            <charset val="134"/>
          </rPr>
          <t>因此统计最近四个季度新增人数差异为</t>
        </r>
        <r>
          <rPr>
            <sz val="9"/>
            <color indexed="81"/>
            <rFont val="Tahoma"/>
            <family val="2"/>
          </rPr>
          <t>11</t>
        </r>
        <r>
          <rPr>
            <sz val="9"/>
            <color indexed="81"/>
            <rFont val="宋体"/>
            <family val="3"/>
            <charset val="134"/>
          </rPr>
          <t>人。</t>
        </r>
      </text>
    </comment>
    <comment ref="AR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银保新开招行渠道，团队引进</t>
        </r>
        <r>
          <rPr>
            <sz val="9"/>
            <color indexed="81"/>
            <rFont val="Tahoma"/>
            <family val="2"/>
          </rPr>
          <t>11</t>
        </r>
        <r>
          <rPr>
            <sz val="9"/>
            <color indexed="81"/>
            <rFont val="宋体"/>
            <family val="3"/>
            <charset val="134"/>
          </rPr>
          <t>人</t>
        </r>
      </text>
    </comment>
    <comment ref="BX13" authorId="0">
      <text>
        <r>
          <rPr>
            <b/>
            <sz val="9"/>
            <color indexed="81"/>
            <rFont val="宋体"/>
            <family val="3"/>
            <charset val="134"/>
          </rPr>
          <t>徐梦薇</t>
        </r>
        <r>
          <rPr>
            <b/>
            <sz val="9"/>
            <color indexed="81"/>
            <rFont val="Tahoma"/>
            <family val="2"/>
          </rPr>
          <t>/Mengwei Xu:</t>
        </r>
        <r>
          <rPr>
            <sz val="9"/>
            <color indexed="81"/>
            <rFont val="Tahoma"/>
            <family val="2"/>
          </rPr>
          <t xml:space="preserve">
2018Q2</t>
        </r>
        <r>
          <rPr>
            <sz val="9"/>
            <color indexed="81"/>
            <rFont val="宋体"/>
            <family val="3"/>
            <charset val="134"/>
          </rPr>
          <t>整体增加人员</t>
        </r>
        <r>
          <rPr>
            <sz val="9"/>
            <color indexed="81"/>
            <rFont val="Tahoma"/>
            <family val="2"/>
          </rPr>
          <t>74</t>
        </r>
        <r>
          <rPr>
            <sz val="9"/>
            <color indexed="81"/>
            <rFont val="宋体"/>
            <family val="3"/>
            <charset val="134"/>
          </rPr>
          <t>人：个险内勤</t>
        </r>
        <r>
          <rPr>
            <sz val="9"/>
            <color indexed="81"/>
            <rFont val="Tahoma"/>
            <family val="2"/>
          </rPr>
          <t>20</t>
        </r>
        <r>
          <rPr>
            <sz val="9"/>
            <color indexed="81"/>
            <rFont val="宋体"/>
            <family val="3"/>
            <charset val="134"/>
          </rPr>
          <t>人、团险</t>
        </r>
        <r>
          <rPr>
            <sz val="9"/>
            <color indexed="81"/>
            <rFont val="Tahoma"/>
            <family val="2"/>
          </rPr>
          <t>3</t>
        </r>
        <r>
          <rPr>
            <sz val="9"/>
            <color indexed="81"/>
            <rFont val="宋体"/>
            <family val="3"/>
            <charset val="134"/>
          </rPr>
          <t>人（内勤</t>
        </r>
        <r>
          <rPr>
            <sz val="9"/>
            <color indexed="81"/>
            <rFont val="Tahoma"/>
            <family val="2"/>
          </rPr>
          <t>1</t>
        </r>
        <r>
          <rPr>
            <sz val="9"/>
            <color indexed="81"/>
            <rFont val="宋体"/>
            <family val="3"/>
            <charset val="134"/>
          </rPr>
          <t>人、销售</t>
        </r>
        <r>
          <rPr>
            <sz val="9"/>
            <color indexed="81"/>
            <rFont val="Tahoma"/>
            <family val="2"/>
          </rPr>
          <t>2</t>
        </r>
        <r>
          <rPr>
            <sz val="9"/>
            <color indexed="81"/>
            <rFont val="宋体"/>
            <family val="3"/>
            <charset val="134"/>
          </rPr>
          <t>人）、银保</t>
        </r>
        <r>
          <rPr>
            <sz val="9"/>
            <color indexed="81"/>
            <rFont val="Tahoma"/>
            <family val="2"/>
          </rPr>
          <t>48</t>
        </r>
        <r>
          <rPr>
            <sz val="9"/>
            <color indexed="81"/>
            <rFont val="宋体"/>
            <family val="3"/>
            <charset val="134"/>
          </rPr>
          <t>人（销售</t>
        </r>
        <r>
          <rPr>
            <sz val="9"/>
            <color indexed="81"/>
            <rFont val="Tahoma"/>
            <family val="2"/>
          </rPr>
          <t>47</t>
        </r>
        <r>
          <rPr>
            <sz val="9"/>
            <color indexed="81"/>
            <rFont val="宋体"/>
            <family val="3"/>
            <charset val="134"/>
          </rPr>
          <t>人、内勤</t>
        </r>
        <r>
          <rPr>
            <sz val="9"/>
            <color indexed="81"/>
            <rFont val="Tahoma"/>
            <family val="2"/>
          </rPr>
          <t>1</t>
        </r>
        <r>
          <rPr>
            <sz val="9"/>
            <color indexed="81"/>
            <rFont val="宋体"/>
            <family val="3"/>
            <charset val="134"/>
          </rPr>
          <t>人）、多元销售</t>
        </r>
        <r>
          <rPr>
            <sz val="9"/>
            <color indexed="81"/>
            <rFont val="Tahoma"/>
            <family val="2"/>
          </rPr>
          <t>1</t>
        </r>
        <r>
          <rPr>
            <sz val="9"/>
            <color indexed="81"/>
            <rFont val="宋体"/>
            <family val="3"/>
            <charset val="134"/>
          </rPr>
          <t>人、续期销售</t>
        </r>
        <r>
          <rPr>
            <sz val="9"/>
            <color indexed="81"/>
            <rFont val="Tahoma"/>
            <family val="2"/>
          </rPr>
          <t>2</t>
        </r>
        <r>
          <rPr>
            <sz val="9"/>
            <color indexed="81"/>
            <rFont val="宋体"/>
            <family val="3"/>
            <charset val="134"/>
          </rPr>
          <t>人。</t>
        </r>
      </text>
    </comment>
    <comment ref="CF13" authorId="0">
      <text>
        <r>
          <rPr>
            <b/>
            <sz val="9"/>
            <color indexed="81"/>
            <rFont val="宋体"/>
            <family val="3"/>
            <charset val="134"/>
          </rPr>
          <t>徐梦薇</t>
        </r>
        <r>
          <rPr>
            <b/>
            <sz val="9"/>
            <color indexed="81"/>
            <rFont val="Tahoma"/>
            <family val="2"/>
          </rPr>
          <t>/Mengwei Xu:</t>
        </r>
        <r>
          <rPr>
            <sz val="9"/>
            <color indexed="81"/>
            <rFont val="Tahoma"/>
            <family val="2"/>
          </rPr>
          <t xml:space="preserve">
17.7-18.6</t>
        </r>
        <r>
          <rPr>
            <sz val="9"/>
            <color indexed="81"/>
            <rFont val="宋体"/>
            <family val="3"/>
            <charset val="134"/>
          </rPr>
          <t>增加员工</t>
        </r>
        <r>
          <rPr>
            <sz val="9"/>
            <color indexed="81"/>
            <rFont val="Tahoma"/>
            <family val="2"/>
          </rPr>
          <t>25</t>
        </r>
        <r>
          <rPr>
            <sz val="9"/>
            <color indexed="81"/>
            <rFont val="宋体"/>
            <family val="3"/>
            <charset val="134"/>
          </rPr>
          <t>人</t>
        </r>
      </text>
    </comment>
    <comment ref="CI13" authorId="0">
      <text>
        <r>
          <rPr>
            <b/>
            <sz val="9"/>
            <color indexed="81"/>
            <rFont val="宋体"/>
            <family val="3"/>
            <charset val="134"/>
          </rPr>
          <t>徐梦薇</t>
        </r>
        <r>
          <rPr>
            <b/>
            <sz val="9"/>
            <color indexed="81"/>
            <rFont val="Tahoma"/>
            <family val="2"/>
          </rPr>
          <t>/Mengwei Xu:</t>
        </r>
        <r>
          <rPr>
            <sz val="9"/>
            <color indexed="81"/>
            <rFont val="Tahoma"/>
            <family val="2"/>
          </rPr>
          <t xml:space="preserve">
17.7-18.6</t>
        </r>
        <r>
          <rPr>
            <sz val="9"/>
            <color indexed="81"/>
            <rFont val="宋体"/>
            <family val="3"/>
            <charset val="134"/>
          </rPr>
          <t>增加员工</t>
        </r>
        <r>
          <rPr>
            <sz val="9"/>
            <color indexed="81"/>
            <rFont val="Tahoma"/>
            <family val="2"/>
          </rPr>
          <t>25</t>
        </r>
        <r>
          <rPr>
            <sz val="9"/>
            <color indexed="81"/>
            <rFont val="宋体"/>
            <family val="3"/>
            <charset val="134"/>
          </rPr>
          <t>人</t>
        </r>
      </text>
    </comment>
    <comment ref="BX14"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每季度总部合规培训共</t>
        </r>
        <r>
          <rPr>
            <sz val="9"/>
            <color indexed="81"/>
            <rFont val="Tahoma"/>
            <family val="2"/>
          </rPr>
          <t>4</t>
        </r>
        <r>
          <rPr>
            <sz val="9"/>
            <color indexed="81"/>
            <rFont val="宋体"/>
            <family val="3"/>
            <charset val="134"/>
          </rPr>
          <t>次。</t>
        </r>
      </text>
    </comment>
    <comment ref="CA14"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每季度总部合规培训共</t>
        </r>
        <r>
          <rPr>
            <sz val="9"/>
            <color indexed="81"/>
            <rFont val="Tahoma"/>
            <family val="2"/>
          </rPr>
          <t>4</t>
        </r>
        <r>
          <rPr>
            <sz val="9"/>
            <color indexed="81"/>
            <rFont val="宋体"/>
            <family val="3"/>
            <charset val="134"/>
          </rPr>
          <t>次。</t>
        </r>
      </text>
    </comment>
    <comment ref="CI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本季度组织了扫黑除恶、金融知识普及、合规知识、标准化工作、三季度合规培训共</t>
        </r>
        <r>
          <rPr>
            <sz val="9"/>
            <color indexed="81"/>
            <rFont val="Tahoma"/>
            <family val="2"/>
          </rPr>
          <t>5</t>
        </r>
        <r>
          <rPr>
            <sz val="9"/>
            <color indexed="81"/>
            <rFont val="宋体"/>
            <family val="3"/>
            <charset val="134"/>
          </rPr>
          <t>次培训。前三季度共举办了</t>
        </r>
        <r>
          <rPr>
            <sz val="9"/>
            <color indexed="81"/>
            <rFont val="Tahoma"/>
            <family val="2"/>
          </rPr>
          <t>9</t>
        </r>
        <r>
          <rPr>
            <sz val="9"/>
            <color indexed="81"/>
            <rFont val="宋体"/>
            <family val="3"/>
            <charset val="134"/>
          </rPr>
          <t>次</t>
        </r>
        <r>
          <rPr>
            <sz val="9"/>
            <color indexed="81"/>
            <rFont val="Tahoma"/>
            <family val="2"/>
          </rPr>
          <t xml:space="preserve"> </t>
        </r>
        <r>
          <rPr>
            <sz val="9"/>
            <color indexed="81"/>
            <rFont val="宋体"/>
            <family val="3"/>
            <charset val="134"/>
          </rPr>
          <t>，一起发生</t>
        </r>
        <r>
          <rPr>
            <sz val="9"/>
            <color indexed="81"/>
            <rFont val="Tahoma"/>
            <family val="2"/>
          </rPr>
          <t>14</t>
        </r>
        <r>
          <rPr>
            <sz val="9"/>
            <color indexed="81"/>
            <rFont val="宋体"/>
            <family val="3"/>
            <charset val="134"/>
          </rPr>
          <t>次，导致变动幅度较大。</t>
        </r>
      </text>
    </comment>
    <comment ref="CL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本季度组织了扫黑除恶、金融知识普及、合规知识、标准化工作、三季度合规培训共</t>
        </r>
        <r>
          <rPr>
            <sz val="9"/>
            <color indexed="81"/>
            <rFont val="Tahoma"/>
            <family val="2"/>
          </rPr>
          <t>5</t>
        </r>
        <r>
          <rPr>
            <sz val="9"/>
            <color indexed="81"/>
            <rFont val="宋体"/>
            <family val="3"/>
            <charset val="134"/>
          </rPr>
          <t>次培训。前三季度共举办了</t>
        </r>
        <r>
          <rPr>
            <sz val="9"/>
            <color indexed="81"/>
            <rFont val="Tahoma"/>
            <family val="2"/>
          </rPr>
          <t>9</t>
        </r>
        <r>
          <rPr>
            <sz val="9"/>
            <color indexed="81"/>
            <rFont val="宋体"/>
            <family val="3"/>
            <charset val="134"/>
          </rPr>
          <t>次</t>
        </r>
        <r>
          <rPr>
            <sz val="9"/>
            <color indexed="81"/>
            <rFont val="Tahoma"/>
            <family val="2"/>
          </rPr>
          <t xml:space="preserve"> </t>
        </r>
        <r>
          <rPr>
            <sz val="9"/>
            <color indexed="81"/>
            <rFont val="宋体"/>
            <family val="3"/>
            <charset val="134"/>
          </rPr>
          <t>，一起发生</t>
        </r>
        <r>
          <rPr>
            <sz val="9"/>
            <color indexed="81"/>
            <rFont val="Tahoma"/>
            <family val="2"/>
          </rPr>
          <t>14</t>
        </r>
        <r>
          <rPr>
            <sz val="9"/>
            <color indexed="81"/>
            <rFont val="宋体"/>
            <family val="3"/>
            <charset val="134"/>
          </rPr>
          <t>次，导致变动幅度较大。</t>
        </r>
      </text>
    </comment>
    <comment ref="CN14" authorId="2">
      <text>
        <r>
          <rPr>
            <b/>
            <sz val="9"/>
            <color indexed="81"/>
            <rFont val="宋体"/>
            <family val="3"/>
            <charset val="134"/>
          </rPr>
          <t>徐梦薇</t>
        </r>
        <r>
          <rPr>
            <b/>
            <sz val="9"/>
            <color indexed="81"/>
            <rFont val="Tahoma"/>
            <family val="2"/>
          </rPr>
          <t>:</t>
        </r>
        <r>
          <rPr>
            <sz val="9"/>
            <color indexed="81"/>
            <rFont val="Tahoma"/>
            <family val="2"/>
          </rPr>
          <t xml:space="preserve">
2017.9.8</t>
        </r>
        <r>
          <rPr>
            <sz val="9"/>
            <color indexed="81"/>
            <rFont val="宋体"/>
            <family val="3"/>
            <charset val="134"/>
          </rPr>
          <t>合规与风险培训，</t>
        </r>
        <r>
          <rPr>
            <sz val="9"/>
            <color indexed="81"/>
            <rFont val="Tahoma"/>
            <family val="2"/>
          </rPr>
          <t>2017</t>
        </r>
        <r>
          <rPr>
            <sz val="9"/>
            <color indexed="81"/>
            <rFont val="宋体"/>
            <family val="3"/>
            <charset val="134"/>
          </rPr>
          <t>年四季度系统合规培训，</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季度合规培训</t>
        </r>
      </text>
    </comment>
    <comment ref="CQ14" authorId="2">
      <text>
        <r>
          <rPr>
            <b/>
            <sz val="9"/>
            <color indexed="81"/>
            <rFont val="宋体"/>
            <family val="3"/>
            <charset val="134"/>
          </rPr>
          <t>徐梦薇</t>
        </r>
        <r>
          <rPr>
            <b/>
            <sz val="9"/>
            <color indexed="81"/>
            <rFont val="Tahoma"/>
            <family val="2"/>
          </rPr>
          <t>:</t>
        </r>
        <r>
          <rPr>
            <sz val="9"/>
            <color indexed="81"/>
            <rFont val="Tahoma"/>
            <family val="2"/>
          </rPr>
          <t xml:space="preserve">
2017.9.8</t>
        </r>
        <r>
          <rPr>
            <sz val="9"/>
            <color indexed="81"/>
            <rFont val="宋体"/>
            <family val="3"/>
            <charset val="134"/>
          </rPr>
          <t>合规与风险培训，</t>
        </r>
        <r>
          <rPr>
            <sz val="9"/>
            <color indexed="81"/>
            <rFont val="Tahoma"/>
            <family val="2"/>
          </rPr>
          <t>2017</t>
        </r>
        <r>
          <rPr>
            <sz val="9"/>
            <color indexed="81"/>
            <rFont val="宋体"/>
            <family val="3"/>
            <charset val="134"/>
          </rPr>
          <t>年四季度系统合规培训，</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季度合规培训</t>
        </r>
      </text>
    </comment>
    <comment ref="T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根据去年合作情况，剔除一些活动力低的合作公司。
团险</t>
        </r>
        <r>
          <rPr>
            <sz val="9"/>
            <color indexed="81"/>
            <rFont val="Tahoma"/>
            <family val="2"/>
          </rPr>
          <t xml:space="preserve">:10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1-</t>
        </r>
        <r>
          <rPr>
            <sz val="9"/>
            <color indexed="81"/>
            <rFont val="宋体"/>
            <family val="3"/>
            <charset val="134"/>
          </rPr>
          <t>新增的</t>
        </r>
        <r>
          <rPr>
            <sz val="9"/>
            <color indexed="81"/>
            <rFont val="Tahoma"/>
            <family val="2"/>
          </rPr>
          <t xml:space="preserve">
</t>
        </r>
        <r>
          <rPr>
            <sz val="9"/>
            <color indexed="81"/>
            <rFont val="宋体"/>
            <family val="3"/>
            <charset val="134"/>
          </rPr>
          <t>二季度提供的数据有误，实际为</t>
        </r>
        <r>
          <rPr>
            <sz val="9"/>
            <color indexed="81"/>
            <rFont val="Tahoma"/>
            <family val="2"/>
          </rPr>
          <t>33</t>
        </r>
      </text>
    </comment>
    <comment ref="W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根据去年合作情况，剔除一些活动力低的合作公司。
团险</t>
        </r>
        <r>
          <rPr>
            <sz val="9"/>
            <color indexed="81"/>
            <rFont val="Tahoma"/>
            <family val="2"/>
          </rPr>
          <t xml:space="preserve">:10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1</t>
        </r>
      </text>
    </comment>
    <comment ref="Z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根据去年合作情况，剔除一些活动力低的合作公司。</t>
        </r>
      </text>
    </comment>
    <comment ref="AH17" authorId="1">
      <text>
        <r>
          <rPr>
            <b/>
            <sz val="9"/>
            <color indexed="81"/>
            <rFont val="宋体"/>
            <family val="3"/>
            <charset val="134"/>
          </rPr>
          <t>滨海农商原协议失效，新协议未签订完成</t>
        </r>
      </text>
    </comment>
    <comment ref="AJ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新增（金山、恒荣汇彬）</t>
        </r>
        <r>
          <rPr>
            <sz val="9"/>
            <color indexed="81"/>
            <rFont val="Tahoma"/>
            <family val="2"/>
          </rPr>
          <t>2</t>
        </r>
        <r>
          <rPr>
            <sz val="9"/>
            <color indexed="81"/>
            <rFont val="宋体"/>
            <family val="3"/>
            <charset val="134"/>
          </rPr>
          <t>家</t>
        </r>
      </text>
    </comment>
    <comment ref="AM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新增（网金、乐信、大伞、惠华新业）</t>
        </r>
        <r>
          <rPr>
            <sz val="9"/>
            <color indexed="81"/>
            <rFont val="Tahoma"/>
            <family val="2"/>
          </rPr>
          <t>4</t>
        </r>
        <r>
          <rPr>
            <sz val="9"/>
            <color indexed="81"/>
            <rFont val="宋体"/>
            <family val="3"/>
            <charset val="134"/>
          </rPr>
          <t>家</t>
        </r>
      </text>
    </comment>
    <comment ref="AZ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多元：</t>
        </r>
        <r>
          <rPr>
            <sz val="9"/>
            <color indexed="81"/>
            <rFont val="Tahoma"/>
            <family val="2"/>
          </rPr>
          <t>23(</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 xml:space="preserve">)
</t>
        </r>
        <r>
          <rPr>
            <sz val="9"/>
            <color indexed="81"/>
            <rFont val="宋体"/>
            <family val="3"/>
            <charset val="134"/>
          </rPr>
          <t>团险：</t>
        </r>
        <r>
          <rPr>
            <sz val="9"/>
            <color indexed="81"/>
            <rFont val="Tahoma"/>
            <family val="2"/>
          </rPr>
          <t>11</t>
        </r>
        <r>
          <rPr>
            <sz val="9"/>
            <color indexed="81"/>
            <rFont val="宋体"/>
            <family val="3"/>
            <charset val="134"/>
          </rPr>
          <t>，截至</t>
        </r>
        <r>
          <rPr>
            <sz val="9"/>
            <color indexed="81"/>
            <rFont val="Tahoma"/>
            <family val="2"/>
          </rPr>
          <t>20180630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江苏华美保险代理有限公司
银保</t>
        </r>
        <r>
          <rPr>
            <sz val="9"/>
            <color indexed="81"/>
            <rFont val="Tahoma"/>
            <family val="2"/>
          </rPr>
          <t>,2</t>
        </r>
        <r>
          <rPr>
            <sz val="9"/>
            <color indexed="81"/>
            <rFont val="宋体"/>
            <family val="3"/>
            <charset val="134"/>
          </rPr>
          <t>，工行、招行</t>
        </r>
      </text>
    </comment>
    <comment ref="BC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BH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t>
        </r>
        <r>
          <rPr>
            <sz val="9"/>
            <color indexed="81"/>
            <rFont val="Tahoma"/>
            <family val="2"/>
          </rPr>
          <t>3</t>
        </r>
        <r>
          <rPr>
            <sz val="9"/>
            <color indexed="81"/>
            <rFont val="宋体"/>
            <family val="3"/>
            <charset val="134"/>
          </rPr>
          <t>，多元：</t>
        </r>
        <r>
          <rPr>
            <sz val="9"/>
            <color indexed="81"/>
            <rFont val="Tahoma"/>
            <family val="2"/>
          </rPr>
          <t xml:space="preserve">44 </t>
        </r>
        <r>
          <rPr>
            <sz val="9"/>
            <color indexed="81"/>
            <rFont val="宋体"/>
            <family val="3"/>
            <charset val="134"/>
          </rPr>
          <t>团险</t>
        </r>
        <r>
          <rPr>
            <sz val="9"/>
            <color indexed="81"/>
            <rFont val="Tahoma"/>
            <family val="2"/>
          </rPr>
          <t xml:space="preserve">; 9
</t>
        </r>
      </text>
    </comment>
    <comment ref="BK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t>
        </r>
        <r>
          <rPr>
            <sz val="9"/>
            <color indexed="81"/>
            <rFont val="Tahoma"/>
            <family val="2"/>
          </rPr>
          <t>3</t>
        </r>
        <r>
          <rPr>
            <sz val="9"/>
            <color indexed="81"/>
            <rFont val="宋体"/>
            <family val="3"/>
            <charset val="134"/>
          </rPr>
          <t>，多元：</t>
        </r>
        <r>
          <rPr>
            <sz val="9"/>
            <color indexed="81"/>
            <rFont val="Tahoma"/>
            <family val="2"/>
          </rPr>
          <t xml:space="preserve">44 </t>
        </r>
        <r>
          <rPr>
            <sz val="9"/>
            <color indexed="81"/>
            <rFont val="宋体"/>
            <family val="3"/>
            <charset val="134"/>
          </rPr>
          <t>团险</t>
        </r>
        <r>
          <rPr>
            <sz val="9"/>
            <color indexed="81"/>
            <rFont val="Tahoma"/>
            <family val="2"/>
          </rPr>
          <t xml:space="preserve">; 9
</t>
        </r>
      </text>
    </comment>
    <comment ref="BP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 2
</t>
        </r>
        <r>
          <rPr>
            <sz val="9"/>
            <color indexed="81"/>
            <rFont val="宋体"/>
            <family val="3"/>
            <charset val="134"/>
          </rPr>
          <t>青岛银保渠道</t>
        </r>
        <r>
          <rPr>
            <sz val="9"/>
            <color indexed="81"/>
            <rFont val="Tahoma"/>
            <family val="2"/>
          </rPr>
          <t>2016</t>
        </r>
        <r>
          <rPr>
            <sz val="9"/>
            <color indexed="81"/>
            <rFont val="宋体"/>
            <family val="3"/>
            <charset val="134"/>
          </rPr>
          <t>年</t>
        </r>
        <r>
          <rPr>
            <sz val="9"/>
            <color indexed="81"/>
            <rFont val="Tahoma"/>
            <family val="2"/>
          </rPr>
          <t>11</t>
        </r>
        <r>
          <rPr>
            <sz val="9"/>
            <color indexed="81"/>
            <rFont val="宋体"/>
            <family val="3"/>
            <charset val="134"/>
          </rPr>
          <t>月起暂时关闭</t>
        </r>
      </text>
    </comment>
    <comment ref="BS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 1
</t>
        </r>
        <r>
          <rPr>
            <sz val="9"/>
            <color indexed="81"/>
            <rFont val="宋体"/>
            <family val="3"/>
            <charset val="134"/>
          </rPr>
          <t>青岛银保渠道</t>
        </r>
        <r>
          <rPr>
            <sz val="9"/>
            <color indexed="81"/>
            <rFont val="Tahoma"/>
            <family val="2"/>
          </rPr>
          <t>2016</t>
        </r>
        <r>
          <rPr>
            <sz val="9"/>
            <color indexed="81"/>
            <rFont val="宋体"/>
            <family val="3"/>
            <charset val="134"/>
          </rPr>
          <t>年</t>
        </r>
        <r>
          <rPr>
            <sz val="9"/>
            <color indexed="81"/>
            <rFont val="Tahoma"/>
            <family val="2"/>
          </rPr>
          <t>11</t>
        </r>
        <r>
          <rPr>
            <sz val="9"/>
            <color indexed="81"/>
            <rFont val="宋体"/>
            <family val="3"/>
            <charset val="134"/>
          </rPr>
          <t>月起暂时关闭</t>
        </r>
      </text>
    </comment>
    <comment ref="BX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签订的合作协议</t>
        </r>
      </text>
    </comment>
    <comment ref="CA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签订的合作协议</t>
        </r>
      </text>
    </comment>
    <comment ref="CL17"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 xml:space="preserve">扩大规模
</t>
        </r>
      </text>
    </comment>
    <comment ref="CN17" authorId="1">
      <text>
        <r>
          <rPr>
            <b/>
            <sz val="9"/>
            <color indexed="81"/>
            <rFont val="宋体"/>
            <family val="3"/>
            <charset val="134"/>
          </rPr>
          <t>银保——建行：全面业务合作补充协议 ；工行：总部签署准入协议；天津银行：总部签署；大连银行：总部签署                   团险——  签订23家                             多元——分对分签订14家，总对总签订2家，合计16家</t>
        </r>
      </text>
    </comment>
    <comment ref="CQ17" authorId="1">
      <text>
        <r>
          <rPr>
            <b/>
            <sz val="9"/>
            <color indexed="81"/>
            <rFont val="宋体"/>
            <family val="3"/>
            <charset val="134"/>
          </rPr>
          <t>银保——建行：全面业务合作补充协议 ；工行：总部签署准入协议；天津银行：总部签署；大连银行：总部签署                   团险——  签订23家                             多元——分对分签订14家，总对总签订2家，合计16家</t>
        </r>
      </text>
    </comment>
    <comment ref="T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 xml:space="preserve">10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1</t>
        </r>
      </text>
    </comment>
    <comment ref="W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 xml:space="preserve">10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1</t>
        </r>
      </text>
    </comment>
    <comment ref="Z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根据去年合作情况，剔除一些活动力低的合作公司。</t>
        </r>
      </text>
    </comment>
    <comment ref="AH18" authorId="1">
      <text>
        <r>
          <rPr>
            <b/>
            <sz val="9"/>
            <color indexed="81"/>
            <rFont val="宋体"/>
            <family val="3"/>
            <charset val="134"/>
          </rPr>
          <t>同上</t>
        </r>
      </text>
    </comment>
    <comment ref="AJ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M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Z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BC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BH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K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P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BS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BX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实际合作的机构情况</t>
        </r>
      </text>
    </comment>
    <comment ref="CA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实际合作的机构情况</t>
        </r>
      </text>
    </comment>
    <comment ref="CL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CN18" authorId="1">
      <text>
        <r>
          <rPr>
            <b/>
            <sz val="9"/>
            <color indexed="81"/>
            <rFont val="宋体"/>
            <family val="3"/>
            <charset val="134"/>
          </rPr>
          <t>同上</t>
        </r>
      </text>
    </comment>
    <comment ref="CQ18" authorId="1">
      <text>
        <r>
          <rPr>
            <b/>
            <sz val="9"/>
            <color indexed="81"/>
            <rFont val="宋体"/>
            <family val="3"/>
            <charset val="134"/>
          </rPr>
          <t>同上</t>
        </r>
      </text>
    </comment>
    <comment ref="T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113 </t>
        </r>
        <r>
          <rPr>
            <sz val="9"/>
            <color indexed="81"/>
            <rFont val="宋体"/>
            <family val="3"/>
            <charset val="134"/>
          </rPr>
          <t>团险：</t>
        </r>
        <r>
          <rPr>
            <sz val="9"/>
            <color indexed="81"/>
            <rFont val="Tahoma"/>
            <family val="2"/>
          </rPr>
          <t xml:space="preserve">7 </t>
        </r>
        <r>
          <rPr>
            <sz val="9"/>
            <color indexed="81"/>
            <rFont val="宋体"/>
            <family val="3"/>
            <charset val="134"/>
          </rPr>
          <t>银保：</t>
        </r>
        <r>
          <rPr>
            <sz val="9"/>
            <color indexed="81"/>
            <rFont val="Tahoma"/>
            <family val="2"/>
          </rPr>
          <t xml:space="preserve">6 </t>
        </r>
        <r>
          <rPr>
            <sz val="9"/>
            <color indexed="81"/>
            <rFont val="宋体"/>
            <family val="3"/>
            <charset val="134"/>
          </rPr>
          <t>多元：</t>
        </r>
        <r>
          <rPr>
            <sz val="9"/>
            <color indexed="81"/>
            <rFont val="Tahoma"/>
            <family val="2"/>
          </rPr>
          <t xml:space="preserve">2 </t>
        </r>
        <r>
          <rPr>
            <sz val="9"/>
            <color indexed="81"/>
            <rFont val="宋体"/>
            <family val="3"/>
            <charset val="134"/>
          </rPr>
          <t>续期：</t>
        </r>
        <r>
          <rPr>
            <sz val="9"/>
            <color indexed="81"/>
            <rFont val="Tahoma"/>
            <family val="2"/>
          </rPr>
          <t>3</t>
        </r>
      </text>
    </comment>
    <comment ref="W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个险代理人减少</t>
        </r>
        <r>
          <rPr>
            <sz val="9"/>
            <color indexed="81"/>
            <rFont val="Tahoma"/>
            <family val="2"/>
          </rPr>
          <t>16</t>
        </r>
        <r>
          <rPr>
            <sz val="9"/>
            <color indexed="81"/>
            <rFont val="宋体"/>
            <family val="3"/>
            <charset val="134"/>
          </rPr>
          <t>人，团险内勤离职</t>
        </r>
        <r>
          <rPr>
            <sz val="9"/>
            <color indexed="81"/>
            <rFont val="Tahoma"/>
            <family val="2"/>
          </rPr>
          <t>1</t>
        </r>
        <r>
          <rPr>
            <sz val="9"/>
            <color indexed="81"/>
            <rFont val="宋体"/>
            <family val="3"/>
            <charset val="134"/>
          </rPr>
          <t>人，银保增加</t>
        </r>
        <r>
          <rPr>
            <sz val="9"/>
            <color indexed="81"/>
            <rFont val="Tahoma"/>
            <family val="2"/>
          </rPr>
          <t>6</t>
        </r>
        <r>
          <rPr>
            <sz val="9"/>
            <color indexed="81"/>
            <rFont val="宋体"/>
            <family val="3"/>
            <charset val="134"/>
          </rPr>
          <t>人</t>
        </r>
      </text>
    </comment>
    <comment ref="AB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t>
        </r>
        <r>
          <rPr>
            <sz val="9"/>
            <color indexed="81"/>
            <rFont val="Tahoma"/>
            <family val="2"/>
          </rPr>
          <t>1071</t>
        </r>
        <r>
          <rPr>
            <sz val="9"/>
            <color indexed="81"/>
            <rFont val="宋体"/>
            <family val="3"/>
            <charset val="134"/>
          </rPr>
          <t>、银保渠道</t>
        </r>
        <r>
          <rPr>
            <sz val="9"/>
            <color indexed="81"/>
            <rFont val="Tahoma"/>
            <family val="2"/>
          </rPr>
          <t>22</t>
        </r>
        <r>
          <rPr>
            <sz val="9"/>
            <color indexed="81"/>
            <rFont val="宋体"/>
            <family val="3"/>
            <charset val="134"/>
          </rPr>
          <t>人、团险渠道</t>
        </r>
        <r>
          <rPr>
            <sz val="9"/>
            <color indexed="81"/>
            <rFont val="Tahoma"/>
            <family val="2"/>
          </rPr>
          <t>16</t>
        </r>
        <r>
          <rPr>
            <sz val="9"/>
            <color indexed="81"/>
            <rFont val="宋体"/>
            <family val="3"/>
            <charset val="134"/>
          </rPr>
          <t>人、保费部</t>
        </r>
        <r>
          <rPr>
            <sz val="9"/>
            <color indexed="81"/>
            <rFont val="Tahoma"/>
            <family val="2"/>
          </rPr>
          <t>6</t>
        </r>
        <r>
          <rPr>
            <sz val="9"/>
            <color indexed="81"/>
            <rFont val="宋体"/>
            <family val="3"/>
            <charset val="134"/>
          </rPr>
          <t>人</t>
        </r>
      </text>
    </comment>
    <comment ref="AE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1000</t>
        </r>
        <r>
          <rPr>
            <sz val="9"/>
            <color indexed="81"/>
            <rFont val="宋体"/>
            <family val="3"/>
            <charset val="134"/>
          </rPr>
          <t>、银保</t>
        </r>
        <r>
          <rPr>
            <sz val="9"/>
            <color indexed="81"/>
            <rFont val="Tahoma"/>
            <family val="2"/>
          </rPr>
          <t>22</t>
        </r>
        <r>
          <rPr>
            <sz val="9"/>
            <color indexed="81"/>
            <rFont val="宋体"/>
            <family val="3"/>
            <charset val="134"/>
          </rPr>
          <t>、团险</t>
        </r>
        <r>
          <rPr>
            <sz val="9"/>
            <color indexed="81"/>
            <rFont val="Tahoma"/>
            <family val="2"/>
          </rPr>
          <t>18</t>
        </r>
        <r>
          <rPr>
            <sz val="9"/>
            <color indexed="81"/>
            <rFont val="宋体"/>
            <family val="3"/>
            <charset val="134"/>
          </rPr>
          <t>、保费</t>
        </r>
        <r>
          <rPr>
            <sz val="9"/>
            <color indexed="81"/>
            <rFont val="Tahoma"/>
            <family val="2"/>
          </rPr>
          <t>8</t>
        </r>
      </text>
    </comment>
    <comment ref="AJ20" authorId="2">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M20" authorId="2">
      <text>
        <r>
          <rPr>
            <b/>
            <sz val="9"/>
            <color indexed="81"/>
            <rFont val="宋体"/>
            <family val="3"/>
            <charset val="134"/>
          </rPr>
          <t>徐梦薇</t>
        </r>
        <r>
          <rPr>
            <b/>
            <sz val="9"/>
            <color indexed="81"/>
            <rFont val="Tahoma"/>
            <family val="2"/>
          </rPr>
          <t>:</t>
        </r>
        <r>
          <rPr>
            <sz val="9"/>
            <color indexed="81"/>
            <rFont val="Tahoma"/>
            <family val="2"/>
          </rPr>
          <t xml:space="preserve">
ID1509</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13</t>
        </r>
        <r>
          <rPr>
            <sz val="9"/>
            <color indexed="81"/>
            <rFont val="宋体"/>
            <family val="3"/>
            <charset val="134"/>
          </rPr>
          <t>、团险</t>
        </r>
        <r>
          <rPr>
            <sz val="9"/>
            <color indexed="81"/>
            <rFont val="Tahoma"/>
            <family val="2"/>
          </rPr>
          <t>1</t>
        </r>
      </text>
    </comment>
    <comment ref="AR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270</t>
        </r>
        <r>
          <rPr>
            <sz val="9"/>
            <color indexed="81"/>
            <rFont val="宋体"/>
            <family val="3"/>
            <charset val="134"/>
          </rPr>
          <t>，银保</t>
        </r>
        <r>
          <rPr>
            <sz val="9"/>
            <color indexed="81"/>
            <rFont val="Tahoma"/>
            <family val="2"/>
          </rPr>
          <t>18</t>
        </r>
        <r>
          <rPr>
            <sz val="9"/>
            <color indexed="81"/>
            <rFont val="宋体"/>
            <family val="3"/>
            <charset val="134"/>
          </rPr>
          <t>人，续期收费专员</t>
        </r>
        <r>
          <rPr>
            <sz val="9"/>
            <color indexed="81"/>
            <rFont val="Tahoma"/>
            <family val="2"/>
          </rPr>
          <t>3</t>
        </r>
        <r>
          <rPr>
            <sz val="9"/>
            <color indexed="81"/>
            <rFont val="宋体"/>
            <family val="3"/>
            <charset val="134"/>
          </rPr>
          <t>人</t>
        </r>
      </text>
    </comment>
    <comment ref="AU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258 </t>
        </r>
        <r>
          <rPr>
            <sz val="9"/>
            <color indexed="81"/>
            <rFont val="宋体"/>
            <family val="3"/>
            <charset val="134"/>
          </rPr>
          <t>银保</t>
        </r>
        <r>
          <rPr>
            <sz val="9"/>
            <color indexed="81"/>
            <rFont val="Tahoma"/>
            <family val="2"/>
          </rPr>
          <t xml:space="preserve">18 </t>
        </r>
        <r>
          <rPr>
            <sz val="9"/>
            <color indexed="81"/>
            <rFont val="宋体"/>
            <family val="3"/>
            <charset val="134"/>
          </rPr>
          <t>续期</t>
        </r>
        <r>
          <rPr>
            <sz val="9"/>
            <color indexed="81"/>
            <rFont val="Tahoma"/>
            <family val="2"/>
          </rPr>
          <t>+</t>
        </r>
        <r>
          <rPr>
            <sz val="9"/>
            <color indexed="81"/>
            <rFont val="宋体"/>
            <family val="3"/>
            <charset val="134"/>
          </rPr>
          <t>综拓</t>
        </r>
        <r>
          <rPr>
            <sz val="9"/>
            <color indexed="81"/>
            <rFont val="Tahoma"/>
            <family val="2"/>
          </rPr>
          <t>4</t>
        </r>
      </text>
    </comment>
    <comment ref="AZ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874 </t>
        </r>
        <r>
          <rPr>
            <sz val="9"/>
            <color indexed="81"/>
            <rFont val="宋体"/>
            <family val="3"/>
            <charset val="134"/>
          </rPr>
          <t>团险</t>
        </r>
        <r>
          <rPr>
            <sz val="9"/>
            <color indexed="81"/>
            <rFont val="Tahoma"/>
            <family val="2"/>
          </rPr>
          <t xml:space="preserve">9 </t>
        </r>
        <r>
          <rPr>
            <sz val="9"/>
            <color indexed="81"/>
            <rFont val="宋体"/>
            <family val="3"/>
            <charset val="134"/>
          </rPr>
          <t>银保</t>
        </r>
        <r>
          <rPr>
            <sz val="9"/>
            <color indexed="81"/>
            <rFont val="Tahoma"/>
            <family val="2"/>
          </rPr>
          <t xml:space="preserve">9 </t>
        </r>
        <r>
          <rPr>
            <sz val="9"/>
            <color indexed="81"/>
            <rFont val="宋体"/>
            <family val="3"/>
            <charset val="134"/>
          </rPr>
          <t>多元</t>
        </r>
        <r>
          <rPr>
            <sz val="9"/>
            <color indexed="81"/>
            <rFont val="Tahoma"/>
            <family val="2"/>
          </rPr>
          <t xml:space="preserve">3 </t>
        </r>
        <r>
          <rPr>
            <sz val="9"/>
            <color indexed="81"/>
            <rFont val="宋体"/>
            <family val="3"/>
            <charset val="134"/>
          </rPr>
          <t>续期</t>
        </r>
        <r>
          <rPr>
            <sz val="9"/>
            <color indexed="81"/>
            <rFont val="Tahoma"/>
            <family val="2"/>
          </rPr>
          <t xml:space="preserve">10 </t>
        </r>
      </text>
    </comment>
    <comment ref="BC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847
</t>
        </r>
        <r>
          <rPr>
            <sz val="9"/>
            <color indexed="81"/>
            <rFont val="宋体"/>
            <family val="3"/>
            <charset val="134"/>
          </rPr>
          <t>保费部：</t>
        </r>
        <r>
          <rPr>
            <sz val="9"/>
            <color indexed="81"/>
            <rFont val="Tahoma"/>
            <family val="2"/>
          </rPr>
          <t>12</t>
        </r>
        <r>
          <rPr>
            <sz val="9"/>
            <color indexed="81"/>
            <rFont val="宋体"/>
            <family val="3"/>
            <charset val="134"/>
          </rPr>
          <t>人（余利民、张源、倪亮、姚菊萍、张园、王雪、丁子惠、钟倩云、张海燕、朱雅倩、房艳、杨洁）
多元</t>
        </r>
        <r>
          <rPr>
            <sz val="9"/>
            <color indexed="81"/>
            <rFont val="Tahoma"/>
            <family val="2"/>
          </rPr>
          <t>3</t>
        </r>
        <r>
          <rPr>
            <sz val="9"/>
            <color indexed="81"/>
            <rFont val="宋体"/>
            <family val="3"/>
            <charset val="134"/>
          </rPr>
          <t>（杨杰、毛小燕、刘晓青）</t>
        </r>
      </text>
    </comment>
    <comment ref="BH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943
</t>
        </r>
        <r>
          <rPr>
            <sz val="9"/>
            <color indexed="81"/>
            <rFont val="宋体"/>
            <family val="3"/>
            <charset val="134"/>
          </rPr>
          <t>团险</t>
        </r>
        <r>
          <rPr>
            <sz val="9"/>
            <color indexed="81"/>
            <rFont val="Tahoma"/>
            <family val="2"/>
          </rPr>
          <t xml:space="preserve">15
</t>
        </r>
        <r>
          <rPr>
            <sz val="9"/>
            <color indexed="81"/>
            <rFont val="宋体"/>
            <family val="3"/>
            <charset val="134"/>
          </rPr>
          <t>银保</t>
        </r>
        <r>
          <rPr>
            <sz val="9"/>
            <color indexed="81"/>
            <rFont val="Tahoma"/>
            <family val="2"/>
          </rPr>
          <t xml:space="preserve">25
</t>
        </r>
        <r>
          <rPr>
            <sz val="9"/>
            <color indexed="81"/>
            <rFont val="宋体"/>
            <family val="3"/>
            <charset val="134"/>
          </rPr>
          <t>多元</t>
        </r>
        <r>
          <rPr>
            <sz val="9"/>
            <color indexed="81"/>
            <rFont val="Tahoma"/>
            <family val="2"/>
          </rPr>
          <t xml:space="preserve">7
</t>
        </r>
        <r>
          <rPr>
            <sz val="9"/>
            <color indexed="81"/>
            <rFont val="宋体"/>
            <family val="3"/>
            <charset val="134"/>
          </rPr>
          <t>续期</t>
        </r>
        <r>
          <rPr>
            <sz val="9"/>
            <color indexed="81"/>
            <rFont val="Tahoma"/>
            <family val="2"/>
          </rPr>
          <t xml:space="preserve">14
</t>
        </r>
      </text>
    </comment>
    <comment ref="BK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15</t>
        </r>
        <r>
          <rPr>
            <sz val="9"/>
            <color indexed="81"/>
            <rFont val="宋体"/>
            <family val="3"/>
            <charset val="134"/>
          </rPr>
          <t>，银保：</t>
        </r>
        <r>
          <rPr>
            <sz val="9"/>
            <color indexed="81"/>
            <rFont val="Tahoma"/>
            <family val="2"/>
          </rPr>
          <t>24</t>
        </r>
        <r>
          <rPr>
            <sz val="9"/>
            <color indexed="81"/>
            <rFont val="宋体"/>
            <family val="3"/>
            <charset val="134"/>
          </rPr>
          <t>，多元：</t>
        </r>
        <r>
          <rPr>
            <sz val="9"/>
            <color indexed="81"/>
            <rFont val="Tahoma"/>
            <family val="2"/>
          </rPr>
          <t>7</t>
        </r>
        <r>
          <rPr>
            <sz val="9"/>
            <color indexed="81"/>
            <rFont val="宋体"/>
            <family val="3"/>
            <charset val="134"/>
          </rPr>
          <t>，续：</t>
        </r>
        <r>
          <rPr>
            <sz val="9"/>
            <color indexed="81"/>
            <rFont val="Tahoma"/>
            <family val="2"/>
          </rPr>
          <t xml:space="preserve">15 </t>
        </r>
        <r>
          <rPr>
            <sz val="9"/>
            <color indexed="81"/>
            <rFont val="宋体"/>
            <family val="3"/>
            <charset val="134"/>
          </rPr>
          <t>个险：</t>
        </r>
        <r>
          <rPr>
            <sz val="9"/>
            <color indexed="81"/>
            <rFont val="Tahoma"/>
            <family val="2"/>
          </rPr>
          <t>941</t>
        </r>
      </text>
    </comment>
    <comment ref="BP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237 </t>
        </r>
        <r>
          <rPr>
            <sz val="9"/>
            <color indexed="81"/>
            <rFont val="宋体"/>
            <family val="3"/>
            <charset val="134"/>
          </rPr>
          <t>，其中两人是劳动合同</t>
        </r>
        <r>
          <rPr>
            <sz val="9"/>
            <color indexed="81"/>
            <rFont val="Tahoma"/>
            <family val="2"/>
          </rPr>
          <t xml:space="preserve"> </t>
        </r>
        <r>
          <rPr>
            <sz val="9"/>
            <color indexed="81"/>
            <rFont val="宋体"/>
            <family val="3"/>
            <charset val="134"/>
          </rPr>
          <t>团险</t>
        </r>
        <r>
          <rPr>
            <sz val="9"/>
            <color indexed="81"/>
            <rFont val="Tahoma"/>
            <family val="2"/>
          </rPr>
          <t xml:space="preserve">4 </t>
        </r>
        <r>
          <rPr>
            <sz val="9"/>
            <color indexed="81"/>
            <rFont val="宋体"/>
            <family val="3"/>
            <charset val="134"/>
          </rPr>
          <t>续期</t>
        </r>
        <r>
          <rPr>
            <sz val="9"/>
            <color indexed="81"/>
            <rFont val="Tahoma"/>
            <family val="2"/>
          </rPr>
          <t>4</t>
        </r>
      </text>
    </comment>
    <comment ref="BS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189</t>
        </r>
        <r>
          <rPr>
            <sz val="9"/>
            <color indexed="81"/>
            <rFont val="宋体"/>
            <family val="3"/>
            <charset val="134"/>
          </rPr>
          <t>，其中两人是劳动合同</t>
        </r>
        <r>
          <rPr>
            <sz val="9"/>
            <color indexed="81"/>
            <rFont val="Tahoma"/>
            <family val="2"/>
          </rPr>
          <t xml:space="preserve"> </t>
        </r>
        <r>
          <rPr>
            <sz val="9"/>
            <color indexed="81"/>
            <rFont val="宋体"/>
            <family val="3"/>
            <charset val="134"/>
          </rPr>
          <t>团险</t>
        </r>
        <r>
          <rPr>
            <sz val="9"/>
            <color indexed="81"/>
            <rFont val="Tahoma"/>
            <family val="2"/>
          </rPr>
          <t xml:space="preserve">2 </t>
        </r>
        <r>
          <rPr>
            <sz val="9"/>
            <color indexed="81"/>
            <rFont val="宋体"/>
            <family val="3"/>
            <charset val="134"/>
          </rPr>
          <t>续期</t>
        </r>
        <r>
          <rPr>
            <sz val="9"/>
            <color indexed="81"/>
            <rFont val="Tahoma"/>
            <family val="2"/>
          </rPr>
          <t>4</t>
        </r>
      </text>
    </comment>
    <comment ref="BX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签订的劳动合同、代理合同
个险：</t>
        </r>
        <r>
          <rPr>
            <sz val="9"/>
            <color indexed="81"/>
            <rFont val="Tahoma"/>
            <family val="2"/>
          </rPr>
          <t xml:space="preserve">1204 </t>
        </r>
        <r>
          <rPr>
            <sz val="9"/>
            <color indexed="81"/>
            <rFont val="宋体"/>
            <family val="3"/>
            <charset val="134"/>
          </rPr>
          <t>多元</t>
        </r>
        <r>
          <rPr>
            <sz val="9"/>
            <color indexed="81"/>
            <rFont val="Tahoma"/>
            <family val="2"/>
          </rPr>
          <t xml:space="preserve"> 2 </t>
        </r>
        <r>
          <rPr>
            <sz val="9"/>
            <color indexed="81"/>
            <rFont val="宋体"/>
            <family val="3"/>
            <charset val="134"/>
          </rPr>
          <t>银保</t>
        </r>
        <r>
          <rPr>
            <sz val="9"/>
            <color indexed="81"/>
            <rFont val="Tahoma"/>
            <family val="2"/>
          </rPr>
          <t xml:space="preserve"> 52 </t>
        </r>
        <r>
          <rPr>
            <sz val="9"/>
            <color indexed="81"/>
            <rFont val="宋体"/>
            <family val="3"/>
            <charset val="134"/>
          </rPr>
          <t>续保</t>
        </r>
        <r>
          <rPr>
            <sz val="9"/>
            <color indexed="81"/>
            <rFont val="Tahoma"/>
            <family val="2"/>
          </rPr>
          <t xml:space="preserve"> 6 </t>
        </r>
        <r>
          <rPr>
            <sz val="9"/>
            <color indexed="81"/>
            <rFont val="宋体"/>
            <family val="3"/>
            <charset val="134"/>
          </rPr>
          <t>团险</t>
        </r>
        <r>
          <rPr>
            <sz val="9"/>
            <color indexed="81"/>
            <rFont val="Tahoma"/>
            <family val="2"/>
          </rPr>
          <t xml:space="preserve"> 3
</t>
        </r>
      </text>
    </comment>
    <comment ref="CA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签订的劳动合同、代理合同
个险：</t>
        </r>
        <r>
          <rPr>
            <sz val="9"/>
            <color indexed="81"/>
            <rFont val="Tahoma"/>
            <family val="2"/>
          </rPr>
          <t xml:space="preserve">1121 </t>
        </r>
        <r>
          <rPr>
            <sz val="9"/>
            <color indexed="81"/>
            <rFont val="宋体"/>
            <family val="3"/>
            <charset val="134"/>
          </rPr>
          <t>多元</t>
        </r>
        <r>
          <rPr>
            <sz val="9"/>
            <color indexed="81"/>
            <rFont val="Tahoma"/>
            <family val="2"/>
          </rPr>
          <t xml:space="preserve"> 3 </t>
        </r>
        <r>
          <rPr>
            <sz val="9"/>
            <color indexed="81"/>
            <rFont val="宋体"/>
            <family val="3"/>
            <charset val="134"/>
          </rPr>
          <t>银保</t>
        </r>
        <r>
          <rPr>
            <sz val="9"/>
            <color indexed="81"/>
            <rFont val="Tahoma"/>
            <family val="2"/>
          </rPr>
          <t xml:space="preserve"> 44 </t>
        </r>
        <r>
          <rPr>
            <sz val="9"/>
            <color indexed="81"/>
            <rFont val="宋体"/>
            <family val="3"/>
            <charset val="134"/>
          </rPr>
          <t>续保</t>
        </r>
        <r>
          <rPr>
            <sz val="9"/>
            <color indexed="81"/>
            <rFont val="Tahoma"/>
            <family val="2"/>
          </rPr>
          <t xml:space="preserve"> 8 </t>
        </r>
        <r>
          <rPr>
            <sz val="9"/>
            <color indexed="81"/>
            <rFont val="宋体"/>
            <family val="3"/>
            <charset val="134"/>
          </rPr>
          <t>团险</t>
        </r>
        <r>
          <rPr>
            <sz val="9"/>
            <color indexed="81"/>
            <rFont val="Tahoma"/>
            <family val="2"/>
          </rPr>
          <t xml:space="preserve"> 4
</t>
        </r>
      </text>
    </comment>
    <comment ref="CF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325 </t>
        </r>
        <r>
          <rPr>
            <sz val="9"/>
            <color indexed="81"/>
            <rFont val="宋体"/>
            <family val="3"/>
            <charset val="134"/>
          </rPr>
          <t>银保</t>
        </r>
        <r>
          <rPr>
            <sz val="9"/>
            <color indexed="81"/>
            <rFont val="Tahoma"/>
            <family val="2"/>
          </rPr>
          <t xml:space="preserve"> 1 </t>
        </r>
        <r>
          <rPr>
            <sz val="9"/>
            <color indexed="81"/>
            <rFont val="宋体"/>
            <family val="3"/>
            <charset val="134"/>
          </rPr>
          <t>续期</t>
        </r>
        <r>
          <rPr>
            <sz val="9"/>
            <color indexed="81"/>
            <rFont val="Tahoma"/>
            <family val="2"/>
          </rPr>
          <t xml:space="preserve">2
</t>
        </r>
      </text>
    </comment>
    <comment ref="CI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337 </t>
        </r>
        <r>
          <rPr>
            <sz val="9"/>
            <color indexed="81"/>
            <rFont val="宋体"/>
            <family val="3"/>
            <charset val="134"/>
          </rPr>
          <t>续期</t>
        </r>
        <r>
          <rPr>
            <sz val="9"/>
            <color indexed="81"/>
            <rFont val="Tahoma"/>
            <family val="2"/>
          </rPr>
          <t xml:space="preserve">2
</t>
        </r>
      </text>
    </comment>
    <comment ref="CN20" authorId="1">
      <text>
        <r>
          <rPr>
            <b/>
            <sz val="9"/>
            <color indexed="81"/>
            <rFont val="宋体"/>
            <family val="3"/>
            <charset val="134"/>
          </rPr>
          <t>个险：543
团险：4
银保：7
多元：2
续期：5</t>
        </r>
      </text>
    </comment>
    <comment ref="CQ20" authorId="1">
      <text>
        <r>
          <rPr>
            <b/>
            <sz val="9"/>
            <color indexed="81"/>
            <rFont val="宋体"/>
            <family val="3"/>
            <charset val="134"/>
          </rPr>
          <t>签订劳动合同的销售人数：个险570人，银保4人，团险5人，多元2人，续期5人；</t>
        </r>
      </text>
    </comment>
    <comment ref="T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W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B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t>
        </r>
        <r>
          <rPr>
            <sz val="9"/>
            <color indexed="81"/>
            <rFont val="Tahoma"/>
            <family val="2"/>
          </rPr>
          <t>1071</t>
        </r>
        <r>
          <rPr>
            <sz val="9"/>
            <color indexed="81"/>
            <rFont val="宋体"/>
            <family val="3"/>
            <charset val="134"/>
          </rPr>
          <t>、银保渠道</t>
        </r>
        <r>
          <rPr>
            <sz val="9"/>
            <color indexed="81"/>
            <rFont val="Tahoma"/>
            <family val="2"/>
          </rPr>
          <t>22</t>
        </r>
        <r>
          <rPr>
            <sz val="9"/>
            <color indexed="81"/>
            <rFont val="宋体"/>
            <family val="3"/>
            <charset val="134"/>
          </rPr>
          <t>人、团险渠道</t>
        </r>
        <r>
          <rPr>
            <sz val="9"/>
            <color indexed="81"/>
            <rFont val="Tahoma"/>
            <family val="2"/>
          </rPr>
          <t>16</t>
        </r>
        <r>
          <rPr>
            <sz val="9"/>
            <color indexed="81"/>
            <rFont val="宋体"/>
            <family val="3"/>
            <charset val="134"/>
          </rPr>
          <t>人、保费部</t>
        </r>
        <r>
          <rPr>
            <sz val="9"/>
            <color indexed="81"/>
            <rFont val="Tahoma"/>
            <family val="2"/>
          </rPr>
          <t>6</t>
        </r>
        <r>
          <rPr>
            <sz val="9"/>
            <color indexed="81"/>
            <rFont val="宋体"/>
            <family val="3"/>
            <charset val="134"/>
          </rPr>
          <t>人</t>
        </r>
      </text>
    </comment>
    <comment ref="AE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J21" authorId="2">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M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R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270</t>
        </r>
        <r>
          <rPr>
            <sz val="9"/>
            <color indexed="81"/>
            <rFont val="宋体"/>
            <family val="3"/>
            <charset val="134"/>
          </rPr>
          <t>，银保</t>
        </r>
        <r>
          <rPr>
            <sz val="9"/>
            <color indexed="81"/>
            <rFont val="Tahoma"/>
            <family val="2"/>
          </rPr>
          <t>18</t>
        </r>
        <r>
          <rPr>
            <sz val="9"/>
            <color indexed="81"/>
            <rFont val="宋体"/>
            <family val="3"/>
            <charset val="134"/>
          </rPr>
          <t>人，续期收费专员</t>
        </r>
        <r>
          <rPr>
            <sz val="9"/>
            <color indexed="81"/>
            <rFont val="Tahoma"/>
            <family val="2"/>
          </rPr>
          <t>3</t>
        </r>
        <r>
          <rPr>
            <sz val="9"/>
            <color indexed="81"/>
            <rFont val="宋体"/>
            <family val="3"/>
            <charset val="134"/>
          </rPr>
          <t>人</t>
        </r>
      </text>
    </comment>
    <comment ref="AU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Z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C21"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同上</t>
        </r>
      </text>
    </comment>
    <comment ref="BH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K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P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S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X21" authorId="2">
      <text>
        <r>
          <rPr>
            <b/>
            <sz val="9"/>
            <color indexed="81"/>
            <rFont val="宋体"/>
            <family val="3"/>
            <charset val="134"/>
          </rPr>
          <t>徐梦薇：
同上</t>
        </r>
      </text>
    </comment>
    <comment ref="CA21" authorId="2">
      <text>
        <r>
          <rPr>
            <b/>
            <sz val="9"/>
            <color indexed="81"/>
            <rFont val="宋体"/>
            <family val="3"/>
            <charset val="134"/>
          </rPr>
          <t>徐梦薇：
同上</t>
        </r>
      </text>
    </comment>
    <comment ref="CF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CI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CN21" authorId="1">
      <text>
        <r>
          <rPr>
            <b/>
            <sz val="9"/>
            <color indexed="81"/>
            <rFont val="宋体"/>
            <family val="2"/>
            <charset val="134"/>
          </rPr>
          <t xml:space="preserve">同上
</t>
        </r>
      </text>
    </comment>
    <comment ref="CQ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T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投诉量降低</t>
        </r>
      </text>
    </comment>
    <comment ref="Z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投诉量基数低</t>
        </r>
      </text>
    </comment>
    <comment ref="AH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领创未来</t>
        </r>
        <r>
          <rPr>
            <sz val="9"/>
            <color indexed="81"/>
            <rFont val="Tahoma"/>
            <family val="2"/>
          </rPr>
          <t>B</t>
        </r>
        <r>
          <rPr>
            <sz val="9"/>
            <color indexed="81"/>
            <rFont val="宋体"/>
            <family val="3"/>
            <charset val="134"/>
          </rPr>
          <t>满期和浪漫金秋</t>
        </r>
        <r>
          <rPr>
            <sz val="9"/>
            <color indexed="81"/>
            <rFont val="Tahoma"/>
            <family val="2"/>
          </rPr>
          <t>C</t>
        </r>
      </text>
    </comment>
    <comment ref="AP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t>
        </r>
        <r>
          <rPr>
            <sz val="9"/>
            <color indexed="81"/>
            <rFont val="Tahoma"/>
            <family val="2"/>
          </rPr>
          <t>B</t>
        </r>
        <r>
          <rPr>
            <sz val="9"/>
            <color indexed="81"/>
            <rFont val="宋体"/>
            <family val="3"/>
            <charset val="134"/>
          </rPr>
          <t>、领</t>
        </r>
        <r>
          <rPr>
            <sz val="9"/>
            <color indexed="81"/>
            <rFont val="Tahoma"/>
            <family val="2"/>
          </rPr>
          <t>D</t>
        </r>
        <r>
          <rPr>
            <sz val="9"/>
            <color indexed="81"/>
            <rFont val="宋体"/>
            <family val="3"/>
            <charset val="134"/>
          </rPr>
          <t>满期</t>
        </r>
      </text>
    </comment>
    <comment ref="AR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本期无投诉记录</t>
        </r>
      </text>
    </comment>
    <comment ref="BH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t>
        </r>
        <r>
          <rPr>
            <sz val="9"/>
            <color indexed="81"/>
            <rFont val="Tahoma"/>
            <family val="2"/>
          </rPr>
          <t>B</t>
        </r>
        <r>
          <rPr>
            <sz val="9"/>
            <color indexed="81"/>
            <rFont val="宋体"/>
            <family val="3"/>
            <charset val="134"/>
          </rPr>
          <t>、领</t>
        </r>
        <r>
          <rPr>
            <sz val="9"/>
            <color indexed="81"/>
            <rFont val="Tahoma"/>
            <family val="2"/>
          </rPr>
          <t>D</t>
        </r>
        <r>
          <rPr>
            <sz val="9"/>
            <color indexed="81"/>
            <rFont val="宋体"/>
            <family val="3"/>
            <charset val="134"/>
          </rPr>
          <t>满期</t>
        </r>
      </text>
    </comment>
    <comment ref="BN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t>
        </r>
        <r>
          <rPr>
            <sz val="9"/>
            <color indexed="81"/>
            <rFont val="Tahoma"/>
            <family val="2"/>
          </rPr>
          <t>D</t>
        </r>
        <r>
          <rPr>
            <sz val="9"/>
            <color indexed="81"/>
            <rFont val="宋体"/>
            <family val="3"/>
            <charset val="134"/>
          </rPr>
          <t>满期</t>
        </r>
      </text>
    </comment>
    <comment ref="BP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t>
        </r>
        <r>
          <rPr>
            <sz val="9"/>
            <color indexed="81"/>
            <rFont val="Tahoma"/>
            <family val="2"/>
          </rPr>
          <t>B</t>
        </r>
        <r>
          <rPr>
            <sz val="9"/>
            <color indexed="81"/>
            <rFont val="宋体"/>
            <family val="3"/>
            <charset val="134"/>
          </rPr>
          <t>满期</t>
        </r>
      </text>
    </comment>
    <comment ref="BV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基数低，投诉量减少</t>
        </r>
      </text>
    </comment>
    <comment ref="CF23" authorId="0">
      <text>
        <r>
          <rPr>
            <b/>
            <sz val="9"/>
            <color indexed="81"/>
            <rFont val="宋体"/>
            <family val="3"/>
            <charset val="134"/>
          </rPr>
          <t>徐梦薇</t>
        </r>
        <r>
          <rPr>
            <b/>
            <sz val="9"/>
            <color indexed="81"/>
            <rFont val="Tahoma"/>
            <family val="2"/>
          </rPr>
          <t>/Mengwei Xu:</t>
        </r>
        <r>
          <rPr>
            <sz val="9"/>
            <color indexed="81"/>
            <rFont val="Tahoma"/>
            <family val="2"/>
          </rPr>
          <t xml:space="preserve">
Q1</t>
        </r>
        <r>
          <rPr>
            <sz val="9"/>
            <color indexed="81"/>
            <rFont val="宋体"/>
            <family val="3"/>
            <charset val="134"/>
          </rPr>
          <t>未发生投诉</t>
        </r>
      </text>
    </comment>
    <comment ref="CL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基数低，投诉量减少</t>
        </r>
      </text>
    </comment>
    <comment ref="CN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投诉量降低</t>
        </r>
      </text>
    </comment>
    <comment ref="CT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基数低、领创未来</t>
        </r>
        <r>
          <rPr>
            <sz val="9"/>
            <color indexed="81"/>
            <rFont val="Tahoma"/>
            <family val="2"/>
          </rPr>
          <t>D</t>
        </r>
        <r>
          <rPr>
            <sz val="9"/>
            <color indexed="81"/>
            <rFont val="宋体"/>
            <family val="3"/>
            <charset val="134"/>
          </rPr>
          <t>满期</t>
        </r>
      </text>
    </comment>
    <comment ref="W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9894
</t>
        </r>
        <r>
          <rPr>
            <sz val="9"/>
            <color indexed="81"/>
            <rFont val="宋体"/>
            <family val="3"/>
            <charset val="134"/>
          </rPr>
          <t>团险</t>
        </r>
        <r>
          <rPr>
            <sz val="9"/>
            <color indexed="81"/>
            <rFont val="Tahoma"/>
            <family val="2"/>
          </rPr>
          <t>2320</t>
        </r>
        <r>
          <rPr>
            <sz val="9"/>
            <color indexed="81"/>
            <rFont val="宋体"/>
            <family val="3"/>
            <charset val="134"/>
          </rPr>
          <t xml:space="preserve">
银保</t>
        </r>
        <r>
          <rPr>
            <sz val="9"/>
            <color indexed="81"/>
            <rFont val="Tahoma"/>
            <family val="2"/>
          </rPr>
          <t>3304</t>
        </r>
        <r>
          <rPr>
            <sz val="9"/>
            <color indexed="81"/>
            <rFont val="宋体"/>
            <family val="3"/>
            <charset val="134"/>
          </rPr>
          <t xml:space="preserve">
多元</t>
        </r>
        <r>
          <rPr>
            <sz val="9"/>
            <color indexed="81"/>
            <rFont val="Tahoma"/>
            <family val="2"/>
          </rPr>
          <t>4701</t>
        </r>
        <r>
          <rPr>
            <sz val="9"/>
            <color indexed="81"/>
            <rFont val="宋体"/>
            <family val="3"/>
            <charset val="134"/>
          </rPr>
          <t xml:space="preserve">
续期</t>
        </r>
        <r>
          <rPr>
            <sz val="9"/>
            <color indexed="81"/>
            <rFont val="Tahoma"/>
            <family val="2"/>
          </rPr>
          <t>189</t>
        </r>
      </text>
    </comment>
    <comment ref="T28"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季度在治乱打非排查中发现有在微信销售群中发布不准确的产品宣传信息的问题。</t>
        </r>
      </text>
    </comment>
    <comment ref="W28"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季度在治乱打非排查中发现有在微信销售群中发布不准确的产品宣传信息的问题。</t>
        </r>
      </text>
    </comment>
    <comment ref="AB28" authorId="3">
      <text>
        <r>
          <rPr>
            <sz val="9"/>
            <color indexed="81"/>
            <rFont val="宋体"/>
            <family val="3"/>
            <charset val="134"/>
          </rPr>
          <t>2018年3月报送的治乱打非报告：1、销售误导问题，如个别销售人员微信朋友圈出现“停售”等违规销售宣传、部分银邮代理网点存在隐瞒风险、夸大或承诺收益问题、个别保险销售人员承诺保障收益；2、部分销售人员未充分说明并深入了解客户既往病史（客户未履行如实告知义务）；3、 销售人员未尽职致使保单出现代签情况（带签名或代抄风险提示语句）。</t>
        </r>
      </text>
    </comment>
    <comment ref="AE28" authorId="3">
      <text>
        <r>
          <rPr>
            <sz val="9"/>
            <color indexed="81"/>
            <rFont val="宋体"/>
            <family val="3"/>
            <charset val="134"/>
          </rPr>
          <t>2018年3月报送的治乱打非报告：1、销售误导问题，如个别销售人员微信朋友圈出现“停售”等违规销售宣传、部分银邮代理网点存在隐瞒风险、夸大或承诺收益问题、个别保险销售人员承诺保障收益；2、部分销售人员未充分说明并深入了解客户既往病史（客户未履行如实告知义务）；3、 销售人员未尽职致使保单出现代签情况（带签名或代抄风险提示语句）。</t>
        </r>
      </text>
    </comment>
    <comment ref="AJ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公司在对营销员微信群和朋友圈监控中发现丹东中心支公司业务员在朋友圈传播一份伪造的公司核保规则类的通知文件。</t>
        </r>
        <r>
          <rPr>
            <sz val="9"/>
            <color indexed="81"/>
            <rFont val="Tahoma"/>
            <family val="2"/>
          </rPr>
          <t xml:space="preserve">18Q1
</t>
        </r>
        <r>
          <rPr>
            <sz val="9"/>
            <color indexed="81"/>
            <rFont val="宋体"/>
            <family val="3"/>
            <charset val="134"/>
          </rPr>
          <t>距离《恒安标准辽分司字</t>
        </r>
        <r>
          <rPr>
            <sz val="9"/>
            <color indexed="81"/>
            <rFont val="Tahoma"/>
            <family val="2"/>
          </rPr>
          <t>[2017]38</t>
        </r>
        <r>
          <rPr>
            <sz val="9"/>
            <color indexed="81"/>
            <rFont val="宋体"/>
            <family val="3"/>
            <charset val="134"/>
          </rPr>
          <t>号辽宁分公司关于开展保险产品销售管理情况自查自纠工作的报告》的检查发现已过</t>
        </r>
        <r>
          <rPr>
            <sz val="9"/>
            <color indexed="81"/>
            <rFont val="Tahoma"/>
            <family val="2"/>
          </rPr>
          <t>1</t>
        </r>
        <r>
          <rPr>
            <sz val="9"/>
            <color indexed="81"/>
            <rFont val="宋体"/>
            <family val="3"/>
            <charset val="134"/>
          </rPr>
          <t>年</t>
        </r>
        <r>
          <rPr>
            <sz val="9"/>
            <color indexed="81"/>
            <rFont val="Tahoma"/>
            <family val="2"/>
          </rPr>
          <t xml:space="preserve">-17Q2
</t>
        </r>
      </text>
    </comment>
    <comment ref="AM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公司在对营销员微信群和朋友圈监控中发现丹东中心支公司业务员在朋友圈传播一份伪造的公司核保规则类的通知文件。</t>
        </r>
        <r>
          <rPr>
            <sz val="9"/>
            <color indexed="81"/>
            <rFont val="Tahoma"/>
            <family val="2"/>
          </rPr>
          <t xml:space="preserve">18Q1
</t>
        </r>
      </text>
    </comment>
    <comment ref="AR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治乱打非期间，公司自查发现个险渠道代理人庄树红私自印发宣传折页，当场予以销毁，并已于</t>
        </r>
        <r>
          <rPr>
            <sz val="9"/>
            <color indexed="81"/>
            <rFont val="Tahoma"/>
            <family val="2"/>
          </rPr>
          <t>5</t>
        </r>
        <r>
          <rPr>
            <sz val="9"/>
            <color indexed="81"/>
            <rFont val="宋体"/>
            <family val="3"/>
            <charset val="134"/>
          </rPr>
          <t>月</t>
        </r>
        <r>
          <rPr>
            <sz val="9"/>
            <color indexed="81"/>
            <rFont val="Tahoma"/>
            <family val="2"/>
          </rPr>
          <t>8</t>
        </r>
        <r>
          <rPr>
            <sz val="9"/>
            <color indexed="81"/>
            <rFont val="宋体"/>
            <family val="3"/>
            <charset val="134"/>
          </rPr>
          <t>日完成问责。</t>
        </r>
      </text>
    </comment>
    <comment ref="AU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治乱打非期间，公司自查发现个险渠道代理人庄树红私自印发宣传折页，当场予以销毁，并已于</t>
        </r>
        <r>
          <rPr>
            <sz val="9"/>
            <color indexed="81"/>
            <rFont val="Tahoma"/>
            <family val="2"/>
          </rPr>
          <t>5</t>
        </r>
        <r>
          <rPr>
            <sz val="9"/>
            <color indexed="81"/>
            <rFont val="宋体"/>
            <family val="3"/>
            <charset val="134"/>
          </rPr>
          <t>月</t>
        </r>
        <r>
          <rPr>
            <sz val="9"/>
            <color indexed="81"/>
            <rFont val="Tahoma"/>
            <family val="2"/>
          </rPr>
          <t>8</t>
        </r>
        <r>
          <rPr>
            <sz val="9"/>
            <color indexed="81"/>
            <rFont val="宋体"/>
            <family val="3"/>
            <charset val="134"/>
          </rPr>
          <t>日完成问责。</t>
        </r>
      </text>
    </comment>
    <comment ref="AZ28" authorId="2">
      <text>
        <r>
          <rPr>
            <b/>
            <sz val="9"/>
            <color indexed="81"/>
            <rFont val="宋体"/>
            <family val="3"/>
            <charset val="134"/>
          </rPr>
          <t>徐梦薇</t>
        </r>
        <r>
          <rPr>
            <b/>
            <sz val="9"/>
            <color indexed="81"/>
            <rFont val="Tahoma"/>
            <family val="2"/>
          </rPr>
          <t>:</t>
        </r>
        <r>
          <rPr>
            <sz val="9"/>
            <color indexed="81"/>
            <rFont val="Tahoma"/>
            <family val="2"/>
          </rPr>
          <t xml:space="preserve">
2017</t>
        </r>
        <r>
          <rPr>
            <sz val="9"/>
            <color indexed="81"/>
            <rFont val="宋体"/>
            <family val="3"/>
            <charset val="134"/>
          </rPr>
          <t>年</t>
        </r>
        <r>
          <rPr>
            <sz val="9"/>
            <color indexed="81"/>
            <rFont val="Tahoma"/>
            <family val="2"/>
          </rPr>
          <t>3</t>
        </r>
        <r>
          <rPr>
            <sz val="9"/>
            <color indexed="81"/>
            <rFont val="宋体"/>
            <family val="3"/>
            <charset val="134"/>
          </rPr>
          <t>季度以及</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t>
        </r>
        <r>
          <rPr>
            <sz val="9"/>
            <color indexed="81"/>
            <rFont val="Tahoma"/>
            <family val="2"/>
          </rPr>
          <t>2</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2017</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排查回访和投诉记录，发现个别业务员在展业过程中未能如实向投保人讲解收益不确定性的风险，未能详细讲解所有保险条款。针对该问题，公司已经通过完善的内部处置流程在发现问题的第一时间进行跟进并妥善处理。（涉及报告及报送时间：</t>
        </r>
        <r>
          <rPr>
            <sz val="9"/>
            <color indexed="81"/>
            <rFont val="Tahoma"/>
            <family val="2"/>
          </rPr>
          <t>20170731--2017</t>
        </r>
        <r>
          <rPr>
            <sz val="9"/>
            <color indexed="81"/>
            <rFont val="宋体"/>
            <family val="3"/>
            <charset val="134"/>
          </rPr>
          <t xml:space="preserve">年度风险排查报告）。
</t>
        </r>
        <r>
          <rPr>
            <sz val="9"/>
            <color indexed="81"/>
            <rFont val="Tahoma"/>
            <family val="2"/>
          </rPr>
          <t>2)</t>
        </r>
        <r>
          <rPr>
            <sz val="9"/>
            <color indexed="81"/>
            <rFont val="宋体"/>
            <family val="3"/>
            <charset val="134"/>
          </rPr>
          <t>、</t>
        </r>
        <r>
          <rPr>
            <sz val="9"/>
            <color indexed="81"/>
            <rFont val="Tahoma"/>
            <family val="2"/>
          </rPr>
          <t>2018</t>
        </r>
        <r>
          <rPr>
            <sz val="9"/>
            <color indexed="81"/>
            <rFont val="宋体"/>
            <family val="3"/>
            <charset val="134"/>
          </rPr>
          <t>年一季度发现以下问题：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等违规字眼的信息。（涉及报告及报送时间：</t>
        </r>
        <r>
          <rPr>
            <sz val="9"/>
            <color indexed="81"/>
            <rFont val="Tahoma"/>
            <family val="2"/>
          </rPr>
          <t>20180325--</t>
        </r>
        <r>
          <rPr>
            <sz val="9"/>
            <color indexed="81"/>
            <rFont val="宋体"/>
            <family val="3"/>
            <charset val="134"/>
          </rPr>
          <t>治乱打非报告）</t>
        </r>
        <r>
          <rPr>
            <sz val="9"/>
            <color indexed="81"/>
            <rFont val="Tahoma"/>
            <family val="2"/>
          </rPr>
          <t>b</t>
        </r>
        <r>
          <rPr>
            <sz val="9"/>
            <color indexed="81"/>
            <rFont val="宋体"/>
            <family val="3"/>
            <charset val="134"/>
          </rPr>
          <t>、个别人员存在私自印制展业宣传资料的违规行为；（涉及报告及报送时间：</t>
        </r>
        <r>
          <rPr>
            <sz val="9"/>
            <color indexed="81"/>
            <rFont val="Tahoma"/>
            <family val="2"/>
          </rPr>
          <t>20180325--</t>
        </r>
        <r>
          <rPr>
            <sz val="9"/>
            <color indexed="81"/>
            <rFont val="宋体"/>
            <family val="3"/>
            <charset val="134"/>
          </rPr>
          <t>治乱打非报告）</t>
        </r>
        <r>
          <rPr>
            <sz val="9"/>
            <color indexed="81"/>
            <rFont val="Tahoma"/>
            <family val="2"/>
          </rPr>
          <t>c</t>
        </r>
        <r>
          <rPr>
            <sz val="9"/>
            <color indexed="81"/>
            <rFont val="宋体"/>
            <family val="3"/>
            <charset val="134"/>
          </rPr>
          <t>、苏州、徐州、泰州机构个别培训课件中存在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等违规的销售误导字眼；（涉及报告及报送时间：</t>
        </r>
        <r>
          <rPr>
            <sz val="9"/>
            <color indexed="81"/>
            <rFont val="Tahoma"/>
            <family val="2"/>
          </rPr>
          <t>20180325--</t>
        </r>
        <r>
          <rPr>
            <sz val="9"/>
            <color indexed="81"/>
            <rFont val="宋体"/>
            <family val="3"/>
            <charset val="134"/>
          </rPr>
          <t>治乱打非报告）</t>
        </r>
        <r>
          <rPr>
            <sz val="9"/>
            <color indexed="81"/>
            <rFont val="Tahoma"/>
            <family val="2"/>
          </rPr>
          <t>d</t>
        </r>
        <r>
          <rPr>
            <sz val="9"/>
            <color indexed="81"/>
            <rFont val="宋体"/>
            <family val="3"/>
            <charset val="134"/>
          </rPr>
          <t>、个别经代公司在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款产品时可能存在夸大收益的行为；（涉及报告及报送时间：</t>
        </r>
        <r>
          <rPr>
            <sz val="9"/>
            <color indexed="81"/>
            <rFont val="Tahoma"/>
            <family val="2"/>
          </rPr>
          <t>20170630</t>
        </r>
        <r>
          <rPr>
            <sz val="9"/>
            <color indexed="81"/>
            <rFont val="宋体"/>
            <family val="3"/>
            <charset val="134"/>
          </rPr>
          <t>关于开展销售管理情况自查自纠的报告、</t>
        </r>
        <r>
          <rPr>
            <sz val="9"/>
            <color indexed="81"/>
            <rFont val="Tahoma"/>
            <family val="2"/>
          </rPr>
          <t>20180325--</t>
        </r>
        <r>
          <rPr>
            <sz val="9"/>
            <color indexed="81"/>
            <rFont val="宋体"/>
            <family val="3"/>
            <charset val="134"/>
          </rPr>
          <t>治乱打非报告）</t>
        </r>
        <r>
          <rPr>
            <sz val="9"/>
            <color indexed="81"/>
            <rFont val="Tahoma"/>
            <family val="2"/>
          </rPr>
          <t>e</t>
        </r>
        <r>
          <rPr>
            <sz val="9"/>
            <color indexed="81"/>
            <rFont val="宋体"/>
            <family val="3"/>
            <charset val="134"/>
          </rPr>
          <t>、个别销售人员在销售过程中存在夸大收益等销售误导行为；（涉及报告及报送时间：</t>
        </r>
        <r>
          <rPr>
            <sz val="9"/>
            <color indexed="81"/>
            <rFont val="Tahoma"/>
            <family val="2"/>
          </rPr>
          <t>20180325--</t>
        </r>
        <r>
          <rPr>
            <sz val="9"/>
            <color indexed="81"/>
            <rFont val="宋体"/>
            <family val="3"/>
            <charset val="134"/>
          </rPr>
          <t xml:space="preserve">治乱打非报告）
</t>
        </r>
        <r>
          <rPr>
            <sz val="9"/>
            <color indexed="81"/>
            <rFont val="Tahoma"/>
            <family val="2"/>
          </rPr>
          <t>3)</t>
        </r>
        <r>
          <rPr>
            <sz val="9"/>
            <color indexed="81"/>
            <rFont val="宋体"/>
            <family val="3"/>
            <charset val="134"/>
          </rPr>
          <t>、</t>
        </r>
        <r>
          <rPr>
            <sz val="9"/>
            <color indexed="81"/>
            <rFont val="Tahoma"/>
            <family val="2"/>
          </rPr>
          <t>2018</t>
        </r>
        <r>
          <rPr>
            <sz val="9"/>
            <color indexed="81"/>
            <rFont val="宋体"/>
            <family val="3"/>
            <charset val="134"/>
          </rPr>
          <t>年二季度发现以下问题：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r>
          <rPr>
            <sz val="9"/>
            <color indexed="81"/>
            <rFont val="Tahoma"/>
            <family val="2"/>
          </rPr>
          <t>b</t>
        </r>
        <r>
          <rPr>
            <sz val="9"/>
            <color indexed="81"/>
            <rFont val="宋体"/>
            <family val="3"/>
            <charset val="134"/>
          </rPr>
          <t>、南京、扬州、盐城机构个别内部培训课件中存在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text>
    </comment>
    <comment ref="BC28" authorId="2">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2018</t>
        </r>
        <r>
          <rPr>
            <sz val="9"/>
            <color indexed="81"/>
            <rFont val="宋体"/>
            <family val="3"/>
            <charset val="134"/>
          </rPr>
          <t>年一季度发现以下问题：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等违规字眼的信息。（涉及报告及报送时间：</t>
        </r>
        <r>
          <rPr>
            <sz val="9"/>
            <color indexed="81"/>
            <rFont val="Tahoma"/>
            <family val="2"/>
          </rPr>
          <t>20180325--</t>
        </r>
        <r>
          <rPr>
            <sz val="9"/>
            <color indexed="81"/>
            <rFont val="宋体"/>
            <family val="3"/>
            <charset val="134"/>
          </rPr>
          <t>治乱打非报告）</t>
        </r>
        <r>
          <rPr>
            <sz val="9"/>
            <color indexed="81"/>
            <rFont val="Tahoma"/>
            <family val="2"/>
          </rPr>
          <t>b</t>
        </r>
        <r>
          <rPr>
            <sz val="9"/>
            <color indexed="81"/>
            <rFont val="宋体"/>
            <family val="3"/>
            <charset val="134"/>
          </rPr>
          <t>、个别人员存在私自印制展业宣传资料的违规行为；（涉及报告及报送时间：</t>
        </r>
        <r>
          <rPr>
            <sz val="9"/>
            <color indexed="81"/>
            <rFont val="Tahoma"/>
            <family val="2"/>
          </rPr>
          <t>20180325--</t>
        </r>
        <r>
          <rPr>
            <sz val="9"/>
            <color indexed="81"/>
            <rFont val="宋体"/>
            <family val="3"/>
            <charset val="134"/>
          </rPr>
          <t>治乱打非报告）</t>
        </r>
        <r>
          <rPr>
            <sz val="9"/>
            <color indexed="81"/>
            <rFont val="Tahoma"/>
            <family val="2"/>
          </rPr>
          <t>c</t>
        </r>
        <r>
          <rPr>
            <sz val="9"/>
            <color indexed="81"/>
            <rFont val="宋体"/>
            <family val="3"/>
            <charset val="134"/>
          </rPr>
          <t>、苏州、徐州、泰州机构个别培训课件中存在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等违规的销售误导字眼；（涉及报告及报送时间：</t>
        </r>
        <r>
          <rPr>
            <sz val="9"/>
            <color indexed="81"/>
            <rFont val="Tahoma"/>
            <family val="2"/>
          </rPr>
          <t>20180325--</t>
        </r>
        <r>
          <rPr>
            <sz val="9"/>
            <color indexed="81"/>
            <rFont val="宋体"/>
            <family val="3"/>
            <charset val="134"/>
          </rPr>
          <t>治乱打非报告）</t>
        </r>
        <r>
          <rPr>
            <sz val="9"/>
            <color indexed="81"/>
            <rFont val="Tahoma"/>
            <family val="2"/>
          </rPr>
          <t>d</t>
        </r>
        <r>
          <rPr>
            <sz val="9"/>
            <color indexed="81"/>
            <rFont val="宋体"/>
            <family val="3"/>
            <charset val="134"/>
          </rPr>
          <t>、个别经代公司在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款产品时可能存在夸大收益的行为；（涉及报告及报送时间：</t>
        </r>
        <r>
          <rPr>
            <sz val="9"/>
            <color indexed="81"/>
            <rFont val="Tahoma"/>
            <family val="2"/>
          </rPr>
          <t>20170630</t>
        </r>
        <r>
          <rPr>
            <sz val="9"/>
            <color indexed="81"/>
            <rFont val="宋体"/>
            <family val="3"/>
            <charset val="134"/>
          </rPr>
          <t>关于开展销售管理情况自查自纠的报告、</t>
        </r>
        <r>
          <rPr>
            <sz val="9"/>
            <color indexed="81"/>
            <rFont val="Tahoma"/>
            <family val="2"/>
          </rPr>
          <t>20180325--</t>
        </r>
        <r>
          <rPr>
            <sz val="9"/>
            <color indexed="81"/>
            <rFont val="宋体"/>
            <family val="3"/>
            <charset val="134"/>
          </rPr>
          <t>治乱打非报告）</t>
        </r>
        <r>
          <rPr>
            <sz val="9"/>
            <color indexed="81"/>
            <rFont val="Tahoma"/>
            <family val="2"/>
          </rPr>
          <t>e</t>
        </r>
        <r>
          <rPr>
            <sz val="9"/>
            <color indexed="81"/>
            <rFont val="宋体"/>
            <family val="3"/>
            <charset val="134"/>
          </rPr>
          <t>、个别销售人员在销售过程中存在夸大收益等销售误导行为；（涉及报告及报送时间：</t>
        </r>
        <r>
          <rPr>
            <sz val="9"/>
            <color indexed="81"/>
            <rFont val="Tahoma"/>
            <family val="2"/>
          </rPr>
          <t>20180325--</t>
        </r>
        <r>
          <rPr>
            <sz val="9"/>
            <color indexed="81"/>
            <rFont val="宋体"/>
            <family val="3"/>
            <charset val="134"/>
          </rPr>
          <t xml:space="preserve">治乱打非报告）
</t>
        </r>
        <r>
          <rPr>
            <sz val="9"/>
            <color indexed="81"/>
            <rFont val="Tahoma"/>
            <family val="2"/>
          </rPr>
          <t>2)</t>
        </r>
        <r>
          <rPr>
            <sz val="9"/>
            <color indexed="81"/>
            <rFont val="宋体"/>
            <family val="3"/>
            <charset val="134"/>
          </rPr>
          <t>、</t>
        </r>
        <r>
          <rPr>
            <sz val="9"/>
            <color indexed="81"/>
            <rFont val="Tahoma"/>
            <family val="2"/>
          </rPr>
          <t>2018</t>
        </r>
        <r>
          <rPr>
            <sz val="9"/>
            <color indexed="81"/>
            <rFont val="宋体"/>
            <family val="3"/>
            <charset val="134"/>
          </rPr>
          <t>年二季度发现以下问题：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r>
          <rPr>
            <sz val="9"/>
            <color indexed="81"/>
            <rFont val="Tahoma"/>
            <family val="2"/>
          </rPr>
          <t>b</t>
        </r>
        <r>
          <rPr>
            <sz val="9"/>
            <color indexed="81"/>
            <rFont val="宋体"/>
            <family val="3"/>
            <charset val="134"/>
          </rPr>
          <t>、南京、扬州、盐城机构个别内部培训课件中存在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 xml:space="preserve">行动的总结报告）
</t>
        </r>
        <r>
          <rPr>
            <sz val="9"/>
            <color indexed="81"/>
            <rFont val="Tahoma"/>
            <family val="2"/>
          </rPr>
          <t>3</t>
        </r>
        <r>
          <rPr>
            <sz val="9"/>
            <color indexed="81"/>
            <rFont val="宋体"/>
            <family val="3"/>
            <charset val="134"/>
          </rPr>
          <t>）</t>
        </r>
        <r>
          <rPr>
            <sz val="9"/>
            <color indexed="81"/>
            <rFont val="Tahoma"/>
            <family val="2"/>
          </rPr>
          <t>2018</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方面，通过投诉清单等排查，发现个别经代公司在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款产品时可能存在夸大收益的行为。针对该问题，公司已经通过完善的内部处置流程在发现问题的第一时间进行跟进并妥善处理。（涉及报告及报送时间：</t>
        </r>
        <r>
          <rPr>
            <sz val="9"/>
            <color indexed="81"/>
            <rFont val="Tahoma"/>
            <family val="2"/>
          </rPr>
          <t>20180730-</t>
        </r>
        <r>
          <rPr>
            <sz val="9"/>
            <color indexed="81"/>
            <rFont val="宋体"/>
            <family val="3"/>
            <charset val="134"/>
          </rPr>
          <t>年度风险排查）；</t>
        </r>
        <r>
          <rPr>
            <sz val="9"/>
            <color indexed="81"/>
            <rFont val="Tahoma"/>
            <family val="2"/>
          </rPr>
          <t>b</t>
        </r>
        <r>
          <rPr>
            <sz val="9"/>
            <color indexed="81"/>
            <rFont val="宋体"/>
            <family val="3"/>
            <charset val="134"/>
          </rPr>
          <t>、个别销售人员存在通过微信朋友圈私自发布未经公司审核的保险营销宣传信息的行为。（涉及报告及报告时间：</t>
        </r>
        <r>
          <rPr>
            <sz val="9"/>
            <color indexed="81"/>
            <rFont val="Tahoma"/>
            <family val="2"/>
          </rPr>
          <t>20180730-</t>
        </r>
        <r>
          <rPr>
            <sz val="9"/>
            <color indexed="81"/>
            <rFont val="宋体"/>
            <family val="3"/>
            <charset val="134"/>
          </rPr>
          <t>关于加强自媒体保险营销宣传行为管控的自查报告）</t>
        </r>
      </text>
    </comment>
    <comment ref="BH28" authorId="0">
      <text>
        <r>
          <rPr>
            <b/>
            <sz val="9"/>
            <color indexed="81"/>
            <rFont val="宋体"/>
            <family val="3"/>
            <charset val="134"/>
          </rPr>
          <t>徐梦薇</t>
        </r>
        <r>
          <rPr>
            <b/>
            <sz val="9"/>
            <color indexed="81"/>
            <rFont val="Tahoma"/>
            <family val="2"/>
          </rPr>
          <t>/Mengwei Xu:</t>
        </r>
        <r>
          <rPr>
            <sz val="9"/>
            <color indexed="81"/>
            <rFont val="Tahoma"/>
            <family val="2"/>
          </rPr>
          <t xml:space="preserve">
2017</t>
        </r>
        <r>
          <rPr>
            <sz val="9"/>
            <color indexed="81"/>
            <rFont val="宋体"/>
            <family val="3"/>
            <charset val="134"/>
          </rPr>
          <t>年</t>
        </r>
        <r>
          <rPr>
            <sz val="9"/>
            <color indexed="81"/>
            <rFont val="Tahoma"/>
            <family val="2"/>
          </rPr>
          <t>3</t>
        </r>
        <r>
          <rPr>
            <sz val="9"/>
            <color indexed="81"/>
            <rFont val="宋体"/>
            <family val="3"/>
            <charset val="134"/>
          </rPr>
          <t>季度开展的年度风险排查和非法集资广告资讯排查中，发现销售人员不合规宣传材料、课件</t>
        </r>
        <r>
          <rPr>
            <sz val="9"/>
            <color indexed="81"/>
            <rFont val="Tahoma"/>
            <family val="2"/>
          </rPr>
          <t>1</t>
        </r>
        <r>
          <rPr>
            <sz val="9"/>
            <color indexed="81"/>
            <rFont val="宋体"/>
            <family val="3"/>
            <charset val="134"/>
          </rPr>
          <t>项风险事件；</t>
        </r>
        <r>
          <rPr>
            <sz val="9"/>
            <color indexed="81"/>
            <rFont val="Tahoma"/>
            <family val="2"/>
          </rPr>
          <t>2017</t>
        </r>
        <r>
          <rPr>
            <sz val="9"/>
            <color indexed="81"/>
            <rFont val="宋体"/>
            <family val="3"/>
            <charset val="134"/>
          </rPr>
          <t>年</t>
        </r>
        <r>
          <rPr>
            <sz val="9"/>
            <color indexed="81"/>
            <rFont val="Tahoma"/>
            <family val="2"/>
          </rPr>
          <t>4</t>
        </r>
        <r>
          <rPr>
            <sz val="9"/>
            <color indexed="81"/>
            <rFont val="宋体"/>
            <family val="3"/>
            <charset val="134"/>
          </rPr>
          <t>季度再次开展保险产品销售管理情况自查自纠工作中，发现代签名、代抄录</t>
        </r>
        <r>
          <rPr>
            <sz val="9"/>
            <color indexed="81"/>
            <rFont val="Tahoma"/>
            <family val="2"/>
          </rPr>
          <t>1</t>
        </r>
        <r>
          <rPr>
            <sz val="9"/>
            <color indexed="81"/>
            <rFont val="宋体"/>
            <family val="3"/>
            <charset val="134"/>
          </rPr>
          <t>项风险事件；</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季度治理销售乱象打击非法经营专项行动中，发现销售人员私自制作宣传材料</t>
        </r>
        <r>
          <rPr>
            <sz val="9"/>
            <color indexed="81"/>
            <rFont val="Tahoma"/>
            <family val="2"/>
          </rPr>
          <t>1</t>
        </r>
        <r>
          <rPr>
            <sz val="9"/>
            <color indexed="81"/>
            <rFont val="宋体"/>
            <family val="3"/>
            <charset val="134"/>
          </rPr>
          <t>项</t>
        </r>
      </text>
    </comment>
    <comment ref="BK28" authorId="0">
      <text>
        <r>
          <rPr>
            <b/>
            <sz val="9"/>
            <color indexed="81"/>
            <rFont val="宋体"/>
            <family val="3"/>
            <charset val="134"/>
          </rPr>
          <t>徐梦薇</t>
        </r>
        <r>
          <rPr>
            <b/>
            <sz val="9"/>
            <color indexed="81"/>
            <rFont val="Tahoma"/>
            <family val="2"/>
          </rPr>
          <t>/Mengwei Xu:</t>
        </r>
        <r>
          <rPr>
            <sz val="9"/>
            <color indexed="81"/>
            <rFont val="Tahoma"/>
            <family val="2"/>
          </rPr>
          <t xml:space="preserve">
2017</t>
        </r>
        <r>
          <rPr>
            <sz val="9"/>
            <color indexed="81"/>
            <rFont val="宋体"/>
            <family val="3"/>
            <charset val="134"/>
          </rPr>
          <t>年</t>
        </r>
        <r>
          <rPr>
            <sz val="9"/>
            <color indexed="81"/>
            <rFont val="Tahoma"/>
            <family val="2"/>
          </rPr>
          <t>4</t>
        </r>
        <r>
          <rPr>
            <sz val="9"/>
            <color indexed="81"/>
            <rFont val="宋体"/>
            <family val="3"/>
            <charset val="134"/>
          </rPr>
          <t>季度再次开展保险产品销售管理情况自查自纠工作中，发现代签名、代抄录</t>
        </r>
        <r>
          <rPr>
            <sz val="9"/>
            <color indexed="81"/>
            <rFont val="Tahoma"/>
            <family val="2"/>
          </rPr>
          <t>1</t>
        </r>
        <r>
          <rPr>
            <sz val="9"/>
            <color indexed="81"/>
            <rFont val="宋体"/>
            <family val="3"/>
            <charset val="134"/>
          </rPr>
          <t>项风险事件；</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季度治理销售乱象打击非法经营专项行动中，发现销售人员私自制作宣传材料</t>
        </r>
        <r>
          <rPr>
            <sz val="9"/>
            <color indexed="81"/>
            <rFont val="Tahoma"/>
            <family val="2"/>
          </rPr>
          <t>1</t>
        </r>
        <r>
          <rPr>
            <sz val="9"/>
            <color indexed="81"/>
            <rFont val="宋体"/>
            <family val="3"/>
            <charset val="134"/>
          </rPr>
          <t xml:space="preserve">项；
</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季度开展的加强自媒体保险营销行为管控工作中，发现销售人员在朋友圈发布违规信息</t>
        </r>
      </text>
    </comment>
    <comment ref="BX28"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保单号</t>
        </r>
        <r>
          <rPr>
            <sz val="9"/>
            <color indexed="81"/>
            <rFont val="Tahoma"/>
            <family val="2"/>
          </rPr>
          <t xml:space="preserve">810-20119449 </t>
        </r>
        <r>
          <rPr>
            <sz val="9"/>
            <color indexed="81"/>
            <rFont val="宋体"/>
            <family val="3"/>
            <charset val="134"/>
          </rPr>
          <t>代回访、客户投诉称业务人员讲解的收益与实际不符（</t>
        </r>
        <r>
          <rPr>
            <sz val="9"/>
            <color indexed="81"/>
            <rFont val="Tahoma"/>
            <family val="2"/>
          </rPr>
          <t>2018</t>
        </r>
        <r>
          <rPr>
            <sz val="9"/>
            <color indexed="81"/>
            <rFont val="宋体"/>
            <family val="3"/>
            <charset val="134"/>
          </rPr>
          <t>年</t>
        </r>
        <r>
          <rPr>
            <sz val="9"/>
            <color indexed="81"/>
            <rFont val="Tahoma"/>
            <family val="2"/>
          </rPr>
          <t>2</t>
        </r>
        <r>
          <rPr>
            <sz val="9"/>
            <color indexed="81"/>
            <rFont val="宋体"/>
            <family val="3"/>
            <charset val="134"/>
          </rPr>
          <t>月内控评估、</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r>
          <rPr>
            <sz val="9"/>
            <color indexed="81"/>
            <rFont val="Tahoma"/>
            <family val="2"/>
          </rPr>
          <t>2.</t>
        </r>
        <r>
          <rPr>
            <sz val="9"/>
            <color indexed="81"/>
            <rFont val="宋体"/>
            <family val="3"/>
            <charset val="134"/>
          </rPr>
          <t>个别机构私自在</t>
        </r>
        <r>
          <rPr>
            <sz val="9"/>
            <color indexed="81"/>
            <rFont val="Tahoma"/>
            <family val="2"/>
          </rPr>
          <t>A4</t>
        </r>
        <r>
          <rPr>
            <sz val="9"/>
            <color indexed="81"/>
            <rFont val="宋体"/>
            <family val="3"/>
            <charset val="134"/>
          </rPr>
          <t>纸上打印不合规的产品宣传单页，未经公司审批，主要问题为产品介绍不完整，未包含除外责任、犹豫期等内容。（</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text>
    </comment>
    <comment ref="CA28"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保单号</t>
        </r>
        <r>
          <rPr>
            <sz val="9"/>
            <color indexed="81"/>
            <rFont val="Tahoma"/>
            <family val="2"/>
          </rPr>
          <t xml:space="preserve">810-20119449 </t>
        </r>
        <r>
          <rPr>
            <sz val="9"/>
            <color indexed="81"/>
            <rFont val="宋体"/>
            <family val="3"/>
            <charset val="134"/>
          </rPr>
          <t>代回访、客户投诉称业务人员讲解的收益与实际不符（</t>
        </r>
        <r>
          <rPr>
            <sz val="9"/>
            <color indexed="81"/>
            <rFont val="Tahoma"/>
            <family val="2"/>
          </rPr>
          <t>2018</t>
        </r>
        <r>
          <rPr>
            <sz val="9"/>
            <color indexed="81"/>
            <rFont val="宋体"/>
            <family val="3"/>
            <charset val="134"/>
          </rPr>
          <t>年</t>
        </r>
        <r>
          <rPr>
            <sz val="9"/>
            <color indexed="81"/>
            <rFont val="Tahoma"/>
            <family val="2"/>
          </rPr>
          <t>2</t>
        </r>
        <r>
          <rPr>
            <sz val="9"/>
            <color indexed="81"/>
            <rFont val="宋体"/>
            <family val="3"/>
            <charset val="134"/>
          </rPr>
          <t>月内控评估、</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r>
          <rPr>
            <sz val="9"/>
            <color indexed="81"/>
            <rFont val="Tahoma"/>
            <family val="2"/>
          </rPr>
          <t>2.</t>
        </r>
        <r>
          <rPr>
            <sz val="9"/>
            <color indexed="81"/>
            <rFont val="宋体"/>
            <family val="3"/>
            <charset val="134"/>
          </rPr>
          <t>个别机构私自在</t>
        </r>
        <r>
          <rPr>
            <sz val="9"/>
            <color indexed="81"/>
            <rFont val="Tahoma"/>
            <family val="2"/>
          </rPr>
          <t>A4</t>
        </r>
        <r>
          <rPr>
            <sz val="9"/>
            <color indexed="81"/>
            <rFont val="宋体"/>
            <family val="3"/>
            <charset val="134"/>
          </rPr>
          <t>纸上打印不合规的产品宣传单页，未经公司审批，主要问题为产品介绍不完整，未包含除外责任、犹豫期等内容。（</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text>
    </comment>
    <comment ref="CN28" authorId="1">
      <text>
        <r>
          <rPr>
            <b/>
            <sz val="9"/>
            <color indexed="81"/>
            <rFont val="Tahoma"/>
            <family val="2"/>
          </rPr>
          <t>1</t>
        </r>
        <r>
          <rPr>
            <b/>
            <sz val="9"/>
            <color indexed="81"/>
            <rFont val="宋体"/>
            <family val="3"/>
            <charset val="134"/>
          </rPr>
          <t>、</t>
        </r>
        <r>
          <rPr>
            <b/>
            <sz val="9"/>
            <color indexed="81"/>
            <rFont val="Tahoma"/>
            <family val="2"/>
          </rPr>
          <t>2018</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-2</t>
        </r>
        <r>
          <rPr>
            <b/>
            <sz val="9"/>
            <color indexed="81"/>
            <rFont val="宋体"/>
            <family val="3"/>
            <charset val="134"/>
          </rPr>
          <t>月开展</t>
        </r>
        <r>
          <rPr>
            <b/>
            <sz val="9"/>
            <color indexed="81"/>
            <rFont val="Tahoma"/>
            <family val="2"/>
          </rPr>
          <t>“</t>
        </r>
        <r>
          <rPr>
            <b/>
            <sz val="9"/>
            <color indexed="81"/>
            <rFont val="宋体"/>
            <family val="3"/>
            <charset val="134"/>
          </rPr>
          <t>治乱打非</t>
        </r>
        <r>
          <rPr>
            <b/>
            <sz val="9"/>
            <color indexed="81"/>
            <rFont val="Tahoma"/>
            <family val="2"/>
          </rPr>
          <t>”</t>
        </r>
        <r>
          <rPr>
            <b/>
            <sz val="9"/>
            <color indexed="81"/>
            <rFont val="宋体"/>
            <family val="3"/>
            <charset val="134"/>
          </rPr>
          <t>专项检查，排查</t>
        </r>
        <r>
          <rPr>
            <b/>
            <sz val="9"/>
            <color indexed="81"/>
            <rFont val="Tahoma"/>
            <family val="2"/>
          </rPr>
          <t>2017</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1</t>
        </r>
        <r>
          <rPr>
            <b/>
            <sz val="9"/>
            <color indexed="81"/>
            <rFont val="宋体"/>
            <family val="3"/>
            <charset val="134"/>
          </rPr>
          <t>日至</t>
        </r>
        <r>
          <rPr>
            <b/>
            <sz val="9"/>
            <color indexed="81"/>
            <rFont val="Tahoma"/>
            <family val="2"/>
          </rPr>
          <t>2018</t>
        </r>
        <r>
          <rPr>
            <b/>
            <sz val="9"/>
            <color indexed="81"/>
            <rFont val="宋体"/>
            <family val="3"/>
            <charset val="134"/>
          </rPr>
          <t>年</t>
        </r>
        <r>
          <rPr>
            <b/>
            <sz val="9"/>
            <color indexed="81"/>
            <rFont val="Tahoma"/>
            <family val="2"/>
          </rPr>
          <t>2</t>
        </r>
        <r>
          <rPr>
            <b/>
            <sz val="9"/>
            <color indexed="81"/>
            <rFont val="宋体"/>
            <family val="3"/>
            <charset val="134"/>
          </rPr>
          <t>月</t>
        </r>
        <r>
          <rPr>
            <b/>
            <sz val="9"/>
            <color indexed="81"/>
            <rFont val="Tahoma"/>
            <family val="2"/>
          </rPr>
          <t>28</t>
        </r>
        <r>
          <rPr>
            <b/>
            <sz val="9"/>
            <color indexed="81"/>
            <rFont val="宋体"/>
            <family val="3"/>
            <charset val="134"/>
          </rPr>
          <t>日的电话回访问题件，发现</t>
        </r>
        <r>
          <rPr>
            <b/>
            <sz val="9"/>
            <color indexed="81"/>
            <rFont val="Tahoma"/>
            <family val="2"/>
          </rPr>
          <t>20253418</t>
        </r>
        <r>
          <rPr>
            <b/>
            <sz val="9"/>
            <color indexed="81"/>
            <rFont val="宋体"/>
            <family val="3"/>
            <charset val="134"/>
          </rPr>
          <t>、</t>
        </r>
        <r>
          <rPr>
            <b/>
            <sz val="9"/>
            <color indexed="81"/>
            <rFont val="Tahoma"/>
            <family val="2"/>
          </rPr>
          <t>20253242</t>
        </r>
        <r>
          <rPr>
            <b/>
            <sz val="9"/>
            <color indexed="81"/>
            <rFont val="宋体"/>
            <family val="3"/>
            <charset val="134"/>
          </rPr>
          <t>、</t>
        </r>
        <r>
          <rPr>
            <b/>
            <sz val="9"/>
            <color indexed="81"/>
            <rFont val="Tahoma"/>
            <family val="2"/>
          </rPr>
          <t>20253243</t>
        </r>
        <r>
          <rPr>
            <b/>
            <sz val="9"/>
            <color indexed="81"/>
            <rFont val="宋体"/>
            <family val="3"/>
            <charset val="134"/>
          </rPr>
          <t>、</t>
        </r>
        <r>
          <rPr>
            <b/>
            <sz val="9"/>
            <color indexed="81"/>
            <rFont val="Tahoma"/>
            <family val="2"/>
          </rPr>
          <t>20253260</t>
        </r>
        <r>
          <rPr>
            <b/>
            <sz val="9"/>
            <color indexed="81"/>
            <rFont val="宋体"/>
            <family val="3"/>
            <charset val="134"/>
          </rPr>
          <t>、</t>
        </r>
        <r>
          <rPr>
            <b/>
            <sz val="9"/>
            <color indexed="81"/>
            <rFont val="Tahoma"/>
            <family val="2"/>
          </rPr>
          <t>20207828</t>
        </r>
        <r>
          <rPr>
            <b/>
            <sz val="9"/>
            <color indexed="81"/>
            <rFont val="宋体"/>
            <family val="3"/>
            <charset val="134"/>
          </rPr>
          <t>保单为代回访。此问题反映在《恒安标准人寿保险有限公司四川分公司关于开展整治销售乱象打击非法经营自查自纠工作的报告》中。</t>
        </r>
      </text>
    </comment>
    <comment ref="CQ28" authorId="1">
      <text>
        <r>
          <rPr>
            <b/>
            <sz val="9"/>
            <color indexed="81"/>
            <rFont val="Tahoma"/>
            <family val="2"/>
          </rPr>
          <t>1</t>
        </r>
        <r>
          <rPr>
            <b/>
            <sz val="9"/>
            <color indexed="81"/>
            <rFont val="宋体"/>
            <family val="3"/>
            <charset val="134"/>
          </rPr>
          <t>、</t>
        </r>
        <r>
          <rPr>
            <b/>
            <sz val="9"/>
            <color indexed="81"/>
            <rFont val="Tahoma"/>
            <family val="2"/>
          </rPr>
          <t>2018</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-2</t>
        </r>
        <r>
          <rPr>
            <b/>
            <sz val="9"/>
            <color indexed="81"/>
            <rFont val="宋体"/>
            <family val="3"/>
            <charset val="134"/>
          </rPr>
          <t>月开展</t>
        </r>
        <r>
          <rPr>
            <b/>
            <sz val="9"/>
            <color indexed="81"/>
            <rFont val="Tahoma"/>
            <family val="2"/>
          </rPr>
          <t>“</t>
        </r>
        <r>
          <rPr>
            <b/>
            <sz val="9"/>
            <color indexed="81"/>
            <rFont val="宋体"/>
            <family val="3"/>
            <charset val="134"/>
          </rPr>
          <t>治乱打非</t>
        </r>
        <r>
          <rPr>
            <b/>
            <sz val="9"/>
            <color indexed="81"/>
            <rFont val="Tahoma"/>
            <family val="2"/>
          </rPr>
          <t>”</t>
        </r>
        <r>
          <rPr>
            <b/>
            <sz val="9"/>
            <color indexed="81"/>
            <rFont val="宋体"/>
            <family val="3"/>
            <charset val="134"/>
          </rPr>
          <t>专项检查，排查</t>
        </r>
        <r>
          <rPr>
            <b/>
            <sz val="9"/>
            <color indexed="81"/>
            <rFont val="Tahoma"/>
            <family val="2"/>
          </rPr>
          <t>2017</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1</t>
        </r>
        <r>
          <rPr>
            <b/>
            <sz val="9"/>
            <color indexed="81"/>
            <rFont val="宋体"/>
            <family val="3"/>
            <charset val="134"/>
          </rPr>
          <t>日至</t>
        </r>
        <r>
          <rPr>
            <b/>
            <sz val="9"/>
            <color indexed="81"/>
            <rFont val="Tahoma"/>
            <family val="2"/>
          </rPr>
          <t>2018</t>
        </r>
        <r>
          <rPr>
            <b/>
            <sz val="9"/>
            <color indexed="81"/>
            <rFont val="宋体"/>
            <family val="3"/>
            <charset val="134"/>
          </rPr>
          <t>年</t>
        </r>
        <r>
          <rPr>
            <b/>
            <sz val="9"/>
            <color indexed="81"/>
            <rFont val="Tahoma"/>
            <family val="2"/>
          </rPr>
          <t>2</t>
        </r>
        <r>
          <rPr>
            <b/>
            <sz val="9"/>
            <color indexed="81"/>
            <rFont val="宋体"/>
            <family val="3"/>
            <charset val="134"/>
          </rPr>
          <t>月</t>
        </r>
        <r>
          <rPr>
            <b/>
            <sz val="9"/>
            <color indexed="81"/>
            <rFont val="Tahoma"/>
            <family val="2"/>
          </rPr>
          <t>28</t>
        </r>
        <r>
          <rPr>
            <b/>
            <sz val="9"/>
            <color indexed="81"/>
            <rFont val="宋体"/>
            <family val="3"/>
            <charset val="134"/>
          </rPr>
          <t>日的电话回访问题件，发现</t>
        </r>
        <r>
          <rPr>
            <b/>
            <sz val="9"/>
            <color indexed="81"/>
            <rFont val="Tahoma"/>
            <family val="2"/>
          </rPr>
          <t>20253418</t>
        </r>
        <r>
          <rPr>
            <b/>
            <sz val="9"/>
            <color indexed="81"/>
            <rFont val="宋体"/>
            <family val="3"/>
            <charset val="134"/>
          </rPr>
          <t>、</t>
        </r>
        <r>
          <rPr>
            <b/>
            <sz val="9"/>
            <color indexed="81"/>
            <rFont val="Tahoma"/>
            <family val="2"/>
          </rPr>
          <t>20253242</t>
        </r>
        <r>
          <rPr>
            <b/>
            <sz val="9"/>
            <color indexed="81"/>
            <rFont val="宋体"/>
            <family val="3"/>
            <charset val="134"/>
          </rPr>
          <t>、</t>
        </r>
        <r>
          <rPr>
            <b/>
            <sz val="9"/>
            <color indexed="81"/>
            <rFont val="Tahoma"/>
            <family val="2"/>
          </rPr>
          <t>20253243</t>
        </r>
        <r>
          <rPr>
            <b/>
            <sz val="9"/>
            <color indexed="81"/>
            <rFont val="宋体"/>
            <family val="3"/>
            <charset val="134"/>
          </rPr>
          <t>、</t>
        </r>
        <r>
          <rPr>
            <b/>
            <sz val="9"/>
            <color indexed="81"/>
            <rFont val="Tahoma"/>
            <family val="2"/>
          </rPr>
          <t>20253260</t>
        </r>
        <r>
          <rPr>
            <b/>
            <sz val="9"/>
            <color indexed="81"/>
            <rFont val="宋体"/>
            <family val="3"/>
            <charset val="134"/>
          </rPr>
          <t>、</t>
        </r>
        <r>
          <rPr>
            <b/>
            <sz val="9"/>
            <color indexed="81"/>
            <rFont val="Tahoma"/>
            <family val="2"/>
          </rPr>
          <t>20207828</t>
        </r>
        <r>
          <rPr>
            <b/>
            <sz val="9"/>
            <color indexed="81"/>
            <rFont val="宋体"/>
            <family val="3"/>
            <charset val="134"/>
          </rPr>
          <t>保单为代回访。此问题反映在《恒安标准人寿保险有限公司四川分公司关于开展整治销售乱象打击非法经营自查自纠工作的报告》中。</t>
        </r>
      </text>
    </comment>
    <comment ref="AU29" authorId="0">
      <text>
        <r>
          <rPr>
            <b/>
            <sz val="9"/>
            <color indexed="81"/>
            <rFont val="宋体"/>
            <family val="3"/>
            <charset val="134"/>
          </rPr>
          <t>徐梦薇</t>
        </r>
        <r>
          <rPr>
            <b/>
            <sz val="9"/>
            <color indexed="81"/>
            <rFont val="Tahoma"/>
            <family val="2"/>
          </rPr>
          <t>/Mengwei Xu:</t>
        </r>
        <r>
          <rPr>
            <sz val="9"/>
            <color indexed="81"/>
            <rFont val="Tahoma"/>
            <family val="2"/>
          </rPr>
          <t xml:space="preserve">
3</t>
        </r>
        <r>
          <rPr>
            <sz val="9"/>
            <color indexed="81"/>
            <rFont val="宋体"/>
            <family val="3"/>
            <charset val="134"/>
          </rPr>
          <t>季度大连保监局现场检查发现如下问题：一是内容表述不严谨。</t>
        </r>
        <r>
          <rPr>
            <sz val="9"/>
            <color indexed="81"/>
            <rFont val="Tahoma"/>
            <family val="2"/>
          </rPr>
          <t>“</t>
        </r>
        <r>
          <rPr>
            <sz val="9"/>
            <color indexed="81"/>
            <rFont val="宋体"/>
            <family val="3"/>
            <charset val="134"/>
          </rPr>
          <t>新产品发布</t>
        </r>
        <r>
          <rPr>
            <sz val="9"/>
            <color indexed="81"/>
            <rFont val="Tahoma"/>
            <family val="2"/>
          </rPr>
          <t>20170423”</t>
        </r>
        <r>
          <rPr>
            <sz val="9"/>
            <color indexed="81"/>
            <rFont val="宋体"/>
            <family val="3"/>
            <charset val="134"/>
          </rPr>
          <t>，推介产品为恒安标准臻爱健终身重大疾病保险，在介绍公司基本情况时，在缺少限定条件下，表述</t>
        </r>
        <r>
          <rPr>
            <sz val="9"/>
            <color indexed="81"/>
            <rFont val="Tahoma"/>
            <family val="2"/>
          </rPr>
          <t>“</t>
        </r>
        <r>
          <rPr>
            <sz val="9"/>
            <color indexed="81"/>
            <rFont val="宋体"/>
            <family val="3"/>
            <charset val="134"/>
          </rPr>
          <t>公司治理评分是第一最高的分数</t>
        </r>
        <r>
          <rPr>
            <sz val="9"/>
            <color indexed="81"/>
            <rFont val="Tahoma"/>
            <family val="2"/>
          </rPr>
          <t>”</t>
        </r>
        <r>
          <rPr>
            <sz val="9"/>
            <color indexed="81"/>
            <rFont val="宋体"/>
            <family val="3"/>
            <charset val="134"/>
          </rPr>
          <t>；在缺少准确数据来源的情况下，表述</t>
        </r>
        <r>
          <rPr>
            <sz val="9"/>
            <color indexed="81"/>
            <rFont val="Tahoma"/>
            <family val="2"/>
          </rPr>
          <t>“</t>
        </r>
        <r>
          <rPr>
            <sz val="9"/>
            <color indexed="81"/>
            <rFont val="宋体"/>
            <family val="3"/>
            <charset val="134"/>
          </rPr>
          <t>行业重大疾病理赔过程中，重大疾病的理赔额度也不过刚刚上</t>
        </r>
        <r>
          <rPr>
            <sz val="9"/>
            <color indexed="81"/>
            <rFont val="Tahoma"/>
            <family val="2"/>
          </rPr>
          <t xml:space="preserve">5 </t>
        </r>
        <r>
          <rPr>
            <sz val="9"/>
            <color indexed="81"/>
            <rFont val="宋体"/>
            <family val="3"/>
            <charset val="134"/>
          </rPr>
          <t>万保额，而我们这一款零件化、超有价值、保费低保障高的产品平均我们就</t>
        </r>
        <r>
          <rPr>
            <sz val="9"/>
            <color indexed="81"/>
            <rFont val="Tahoma"/>
            <family val="2"/>
          </rPr>
          <t xml:space="preserve">16 </t>
        </r>
        <r>
          <rPr>
            <sz val="9"/>
            <color indexed="81"/>
            <rFont val="宋体"/>
            <family val="3"/>
            <charset val="134"/>
          </rPr>
          <t>万的理赔</t>
        </r>
        <r>
          <rPr>
            <sz val="9"/>
            <color indexed="81"/>
            <rFont val="Tahoma"/>
            <family val="2"/>
          </rPr>
          <t>”</t>
        </r>
        <r>
          <rPr>
            <sz val="9"/>
            <color indexed="81"/>
            <rFont val="宋体"/>
            <family val="3"/>
            <charset val="134"/>
          </rPr>
          <t>。二是产说会课件存在不当同业比较。产说会课件</t>
        </r>
        <r>
          <rPr>
            <sz val="9"/>
            <color indexed="81"/>
            <rFont val="Tahoma"/>
            <family val="2"/>
          </rPr>
          <t>“</t>
        </r>
        <r>
          <rPr>
            <sz val="9"/>
            <color indexed="81"/>
            <rFont val="宋体"/>
            <family val="3"/>
            <charset val="134"/>
          </rPr>
          <t>金州</t>
        </r>
        <r>
          <rPr>
            <sz val="9"/>
            <color indexed="81"/>
            <rFont val="Tahoma"/>
            <family val="2"/>
          </rPr>
          <t>20180117-</t>
        </r>
        <r>
          <rPr>
            <sz val="9"/>
            <color indexed="81"/>
            <rFont val="宋体"/>
            <family val="3"/>
            <charset val="134"/>
          </rPr>
          <t>卓越</t>
        </r>
        <r>
          <rPr>
            <sz val="9"/>
            <color indexed="81"/>
            <rFont val="Tahoma"/>
            <family val="2"/>
          </rPr>
          <t>C”</t>
        </r>
        <r>
          <rPr>
            <sz val="9"/>
            <color indexed="81"/>
            <rFont val="宋体"/>
            <family val="3"/>
            <charset val="134"/>
          </rPr>
          <t>，推介产品为恒安标准幸福金生卓越版两全保险</t>
        </r>
        <r>
          <rPr>
            <sz val="9"/>
            <color indexed="81"/>
            <rFont val="Tahoma"/>
            <family val="2"/>
          </rPr>
          <t xml:space="preserve">C </t>
        </r>
        <r>
          <rPr>
            <sz val="9"/>
            <color indexed="81"/>
            <rFont val="宋体"/>
            <family val="3"/>
            <charset val="134"/>
          </rPr>
          <t>款（分红型），课件存在以下说法，</t>
        </r>
        <r>
          <rPr>
            <sz val="9"/>
            <color indexed="81"/>
            <rFont val="Tahoma"/>
            <family val="2"/>
          </rPr>
          <t>“</t>
        </r>
        <r>
          <rPr>
            <sz val="9"/>
            <color indexed="81"/>
            <rFont val="宋体"/>
            <family val="3"/>
            <charset val="134"/>
          </rPr>
          <t>许多公司成立时间不足</t>
        </r>
        <r>
          <rPr>
            <sz val="9"/>
            <color indexed="81"/>
            <rFont val="Tahoma"/>
            <family val="2"/>
          </rPr>
          <t>30</t>
        </r>
        <r>
          <rPr>
            <sz val="9"/>
            <color indexed="81"/>
            <rFont val="宋体"/>
            <family val="3"/>
            <charset val="134"/>
          </rPr>
          <t>年，各个方面均处于摸索阶段；没有真正意义上经历过</t>
        </r>
        <r>
          <rPr>
            <sz val="9"/>
            <color indexed="81"/>
            <rFont val="Tahoma"/>
            <family val="2"/>
          </rPr>
          <t>‘</t>
        </r>
        <r>
          <rPr>
            <sz val="9"/>
            <color indexed="81"/>
            <rFont val="宋体"/>
            <family val="3"/>
            <charset val="134"/>
          </rPr>
          <t>大量理赔</t>
        </r>
        <r>
          <rPr>
            <sz val="9"/>
            <color indexed="81"/>
            <rFont val="Tahoma"/>
            <family val="2"/>
          </rPr>
          <t>’</t>
        </r>
        <r>
          <rPr>
            <sz val="9"/>
            <color indexed="81"/>
            <rFont val="宋体"/>
            <family val="3"/>
            <charset val="134"/>
          </rPr>
          <t>的过程，对于未来属于未知状态！恒安标准借鉴股东</t>
        </r>
        <r>
          <rPr>
            <sz val="9"/>
            <color indexed="81"/>
            <rFont val="Tahoma"/>
            <family val="2"/>
          </rPr>
          <t xml:space="preserve">192 </t>
        </r>
        <r>
          <rPr>
            <sz val="9"/>
            <color indexed="81"/>
            <rFont val="宋体"/>
            <family val="3"/>
            <charset val="134"/>
          </rPr>
          <t>年沉淀了足够的经验甚至教训，有成熟的产品设计及公司运营理念；</t>
        </r>
        <r>
          <rPr>
            <sz val="9"/>
            <color indexed="81"/>
            <rFont val="Tahoma"/>
            <family val="2"/>
          </rPr>
          <t xml:space="preserve">192 </t>
        </r>
        <r>
          <rPr>
            <sz val="9"/>
            <color indexed="81"/>
            <rFont val="宋体"/>
            <family val="3"/>
            <charset val="134"/>
          </rPr>
          <t>年至少是七八代人的</t>
        </r>
        <r>
          <rPr>
            <sz val="9"/>
            <color indexed="81"/>
            <rFont val="Tahoma"/>
            <family val="2"/>
          </rPr>
          <t>‘</t>
        </r>
        <r>
          <rPr>
            <sz val="9"/>
            <color indexed="81"/>
            <rFont val="宋体"/>
            <family val="3"/>
            <charset val="134"/>
          </rPr>
          <t>生老病死</t>
        </r>
        <r>
          <rPr>
            <sz val="9"/>
            <color indexed="81"/>
            <rFont val="Tahoma"/>
            <family val="2"/>
          </rPr>
          <t>’</t>
        </r>
        <r>
          <rPr>
            <sz val="9"/>
            <color indexed="81"/>
            <rFont val="宋体"/>
            <family val="3"/>
            <charset val="134"/>
          </rPr>
          <t>，经历过、赔付过、见证过！</t>
        </r>
        <r>
          <rPr>
            <sz val="9"/>
            <color indexed="81"/>
            <rFont val="Tahoma"/>
            <family val="2"/>
          </rPr>
          <t>”</t>
        </r>
      </text>
    </comment>
    <comment ref="BH32"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t>
        </r>
        <r>
          <rPr>
            <sz val="9"/>
            <color indexed="81"/>
            <rFont val="Tahoma"/>
            <family val="2"/>
          </rPr>
          <t xml:space="preserve">1 </t>
        </r>
        <r>
          <rPr>
            <sz val="9"/>
            <color indexed="81"/>
            <rFont val="宋体"/>
            <family val="3"/>
            <charset val="134"/>
          </rPr>
          <t>名销售人员销售非保险金融产品</t>
        </r>
      </text>
    </comment>
    <comment ref="BK32"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t>
        </r>
        <r>
          <rPr>
            <sz val="9"/>
            <color indexed="81"/>
            <rFont val="Tahoma"/>
            <family val="2"/>
          </rPr>
          <t xml:space="preserve">1 </t>
        </r>
        <r>
          <rPr>
            <sz val="9"/>
            <color indexed="81"/>
            <rFont val="宋体"/>
            <family val="3"/>
            <charset val="134"/>
          </rPr>
          <t>名销售人员销售非保险金融产品</t>
        </r>
      </text>
    </comment>
    <comment ref="AH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承保量有变化、无石家庄数据</t>
        </r>
      </text>
    </comment>
    <comment ref="AR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X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个险、银保渠道承保量变化较明显</t>
        </r>
      </text>
    </comment>
    <comment ref="AZ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多元渠道承保量变化较明显</t>
        </r>
      </text>
    </comment>
    <comment ref="BH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t>
        </r>
      </text>
    </comment>
    <comment ref="BN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X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承保量变化较明显</t>
        </r>
      </text>
    </comment>
    <comment ref="CL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CN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H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承保量有变化、无石家庄数据</t>
        </r>
      </text>
    </comment>
    <comment ref="AR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X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个险、银保渠道承保量变化较明显</t>
        </r>
      </text>
    </comment>
    <comment ref="AZ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多元渠道承保量变化较明显</t>
        </r>
      </text>
    </comment>
    <comment ref="BH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t>
        </r>
      </text>
    </comment>
    <comment ref="BN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X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承保量变化较明显</t>
        </r>
      </text>
    </comment>
    <comment ref="CN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H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承保量有变化、无石家庄数据</t>
        </r>
      </text>
    </comment>
    <comment ref="AR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Z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多元渠道承保量变化较明显</t>
        </r>
      </text>
    </comment>
    <comment ref="BH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t>
        </r>
      </text>
    </comment>
    <comment ref="BN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X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承保量变化较明显</t>
        </r>
      </text>
    </comment>
    <comment ref="CL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CN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H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承保量有变化、无石家庄数据</t>
        </r>
      </text>
    </comment>
    <comment ref="AR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Z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多元渠道承保量变化较明显</t>
        </r>
      </text>
    </comment>
    <comment ref="BH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t>
        </r>
      </text>
    </comment>
    <comment ref="BN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X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承保量变化较明显</t>
        </r>
      </text>
    </comment>
    <comment ref="CN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J42" authorId="1">
      <text>
        <r>
          <rPr>
            <b/>
            <sz val="9"/>
            <color indexed="81"/>
            <rFont val="Tahoma"/>
            <family val="2"/>
          </rPr>
          <t>2017</t>
        </r>
        <r>
          <rPr>
            <b/>
            <sz val="9"/>
            <color indexed="81"/>
            <rFont val="宋体"/>
            <family val="3"/>
            <charset val="134"/>
          </rPr>
          <t>年</t>
        </r>
        <r>
          <rPr>
            <b/>
            <sz val="9"/>
            <color indexed="81"/>
            <rFont val="Tahoma"/>
            <family val="2"/>
          </rPr>
          <t>7</t>
        </r>
        <r>
          <rPr>
            <b/>
            <sz val="9"/>
            <color indexed="81"/>
            <rFont val="宋体"/>
            <family val="3"/>
            <charset val="134"/>
          </rPr>
          <t>月，《辽宁抚顺人民银行执法检查意见书》（抚银）检意字［２０１７</t>
        </r>
        <r>
          <rPr>
            <b/>
            <sz val="9"/>
            <color indexed="81"/>
            <rFont val="Tahoma"/>
            <family val="2"/>
          </rPr>
          <t>]</t>
        </r>
        <r>
          <rPr>
            <b/>
            <sz val="9"/>
            <color indexed="81"/>
            <rFont val="宋体"/>
            <family val="3"/>
            <charset val="134"/>
          </rPr>
          <t>第</t>
        </r>
        <r>
          <rPr>
            <b/>
            <sz val="9"/>
            <color indexed="81"/>
            <rFont val="Tahoma"/>
            <family val="2"/>
          </rPr>
          <t>8-1</t>
        </r>
        <r>
          <rPr>
            <b/>
            <sz val="9"/>
            <color indexed="81"/>
            <rFont val="宋体"/>
            <family val="3"/>
            <charset val="134"/>
          </rPr>
          <t>号）</t>
        </r>
        <r>
          <rPr>
            <b/>
            <sz val="9"/>
            <color indexed="81"/>
            <rFont val="Tahoma"/>
            <family val="2"/>
          </rPr>
          <t>"</t>
        </r>
      </text>
    </comment>
    <comment ref="AP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Z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BC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BF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已过期
</t>
        </r>
      </text>
    </comment>
    <comment ref="D45" authorId="0">
      <text>
        <r>
          <rPr>
            <b/>
            <sz val="9"/>
            <color indexed="81"/>
            <rFont val="宋体"/>
            <family val="3"/>
            <charset val="134"/>
          </rPr>
          <t>徐梦薇</t>
        </r>
        <r>
          <rPr>
            <b/>
            <sz val="9"/>
            <color indexed="81"/>
            <rFont val="Tahoma"/>
            <family val="2"/>
          </rPr>
          <t>/Mengwei Xu:</t>
        </r>
        <r>
          <rPr>
            <sz val="9"/>
            <color indexed="81"/>
            <rFont val="Tahoma"/>
            <family val="2"/>
          </rPr>
          <t xml:space="preserve">
Q3</t>
        </r>
        <r>
          <rPr>
            <sz val="9"/>
            <color indexed="81"/>
            <rFont val="宋体"/>
            <family val="3"/>
            <charset val="134"/>
          </rPr>
          <t>季度的应收保费和实收保费对应的是</t>
        </r>
        <r>
          <rPr>
            <sz val="9"/>
            <color indexed="81"/>
            <rFont val="Tahoma"/>
            <family val="2"/>
          </rPr>
          <t>5</t>
        </r>
        <r>
          <rPr>
            <sz val="9"/>
            <color indexed="81"/>
            <rFont val="宋体"/>
            <family val="3"/>
            <charset val="134"/>
          </rPr>
          <t>、</t>
        </r>
        <r>
          <rPr>
            <sz val="9"/>
            <color indexed="81"/>
            <rFont val="Tahoma"/>
            <family val="2"/>
          </rPr>
          <t>6</t>
        </r>
        <r>
          <rPr>
            <sz val="9"/>
            <color indexed="81"/>
            <rFont val="宋体"/>
            <family val="3"/>
            <charset val="134"/>
          </rPr>
          <t>、</t>
        </r>
        <r>
          <rPr>
            <sz val="9"/>
            <color indexed="81"/>
            <rFont val="Tahoma"/>
            <family val="2"/>
          </rPr>
          <t>7</t>
        </r>
        <r>
          <rPr>
            <sz val="9"/>
            <color indexed="81"/>
            <rFont val="宋体"/>
            <family val="3"/>
            <charset val="134"/>
          </rPr>
          <t>月的保单。天津和大连在</t>
        </r>
        <r>
          <rPr>
            <sz val="9"/>
            <color indexed="81"/>
            <rFont val="Tahoma"/>
            <family val="2"/>
          </rPr>
          <t>Q3</t>
        </r>
        <r>
          <rPr>
            <sz val="9"/>
            <color indexed="81"/>
            <rFont val="宋体"/>
            <family val="3"/>
            <charset val="134"/>
          </rPr>
          <t>季度的应收保费和实收保费都有较高的增长，认为</t>
        </r>
        <r>
          <rPr>
            <sz val="9"/>
            <color indexed="81"/>
            <rFont val="Tahoma"/>
            <family val="2"/>
          </rPr>
          <t>6</t>
        </r>
        <r>
          <rPr>
            <sz val="9"/>
            <color indexed="81"/>
            <rFont val="宋体"/>
            <family val="3"/>
            <charset val="134"/>
          </rPr>
          <t>月份打零点会对此有一定影响。北京，广东的应收保费和实收保费两季度对比后也有一定幅度增长。其他六家对比两季度应收保费和实收保费有所下滑。整体继续收费率平稳，两季得分无变化。广东继续率持续扣分。</t>
        </r>
      </text>
    </comment>
    <comment ref="F46" authorId="1">
      <text>
        <r>
          <rPr>
            <b/>
            <sz val="9"/>
            <color indexed="81"/>
            <rFont val="Tahoma"/>
            <family val="2"/>
          </rPr>
          <t>pe0826:</t>
        </r>
        <r>
          <rPr>
            <sz val="9"/>
            <color indexed="81"/>
            <rFont val="Tahoma"/>
            <family val="2"/>
          </rPr>
          <t xml:space="preserve">
2018Q1</t>
        </r>
        <r>
          <rPr>
            <sz val="9"/>
            <color indexed="81"/>
            <rFont val="宋体"/>
            <family val="3"/>
            <charset val="134"/>
          </rPr>
          <t>还是这个证据吗？</t>
        </r>
      </text>
    </comment>
    <comment ref="AH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主要原因是新增附加险转换业务大幅增加</t>
        </r>
      </text>
    </comment>
    <comment ref="BF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主要原因是新增附加险转换业务大幅增加</t>
        </r>
      </text>
    </comment>
    <comment ref="BP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主要原因是足额退保自助业务有所变化</t>
        </r>
      </text>
    </comment>
    <comment ref="BS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主要原因是足额退保自助业务有所变化</t>
        </r>
      </text>
    </comment>
    <comment ref="CT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主要原因是新增附加险转换业务大幅增加</t>
        </r>
      </text>
    </comment>
    <comment ref="AJ50"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主要是基数小</t>
        </r>
      </text>
    </comment>
    <comment ref="AM50"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主要是补充告知业务有所增加</t>
        </r>
      </text>
    </comment>
    <comment ref="AP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主要是基数小</t>
        </r>
      </text>
    </comment>
    <comment ref="BH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BN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BX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主要是基数小</t>
        </r>
      </text>
    </comment>
    <comment ref="CD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主要是基数小</t>
        </r>
      </text>
    </comment>
    <comment ref="CL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CN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主要是基数小，本期无</t>
        </r>
      </text>
    </comment>
    <comment ref="CT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上期为</t>
        </r>
        <r>
          <rPr>
            <sz val="9"/>
            <color indexed="81"/>
            <rFont val="Tahoma"/>
            <family val="2"/>
          </rPr>
          <t>0</t>
        </r>
        <r>
          <rPr>
            <sz val="9"/>
            <color indexed="81"/>
            <rFont val="宋体"/>
            <family val="3"/>
            <charset val="134"/>
          </rPr>
          <t>，基数低</t>
        </r>
      </text>
    </comment>
    <comment ref="AH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主要原因是自助和退保业务有所增加</t>
        </r>
      </text>
    </comment>
    <comment ref="BF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主要原因是自助和退保业务有所增加</t>
        </r>
      </text>
    </comment>
    <comment ref="BP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主要原因是自助和退保业务有所变化</t>
        </r>
      </text>
    </comment>
    <comment ref="BS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主要原因是自助和退保业务有所变化</t>
        </r>
      </text>
    </comment>
    <comment ref="CT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主要原因是自助和退保业务有所增加</t>
        </r>
      </text>
    </comment>
    <comment ref="D53" authorId="1">
      <text>
        <r>
          <rPr>
            <b/>
            <sz val="9"/>
            <color indexed="81"/>
            <rFont val="Tahoma"/>
            <family val="2"/>
          </rPr>
          <t>pe0826:</t>
        </r>
        <r>
          <rPr>
            <sz val="9"/>
            <color indexed="81"/>
            <rFont val="Tahoma"/>
            <family val="2"/>
          </rPr>
          <t xml:space="preserve">
</t>
        </r>
        <r>
          <rPr>
            <b/>
            <sz val="9"/>
            <color indexed="81"/>
            <rFont val="Tahoma"/>
            <family val="2"/>
          </rPr>
          <t xml:space="preserve">25.1-25.4 </t>
        </r>
        <r>
          <rPr>
            <b/>
            <sz val="9"/>
            <color indexed="81"/>
            <rFont val="宋体"/>
            <family val="3"/>
            <charset val="134"/>
          </rPr>
          <t>财务解释的是：数据本身不具备连贯性</t>
        </r>
      </text>
    </comment>
    <comment ref="D58" authorId="1">
      <text>
        <r>
          <rPr>
            <b/>
            <sz val="9"/>
            <color indexed="81"/>
            <rFont val="宋体"/>
            <family val="3"/>
            <charset val="134"/>
          </rPr>
          <t>26.1-26.4数据计量时点是累计四个季度。所以2017Q4是四个季度累加，2018Q1只有一个季度 2018Q2 是两个季度加总，变动幅度大为正常情况</t>
        </r>
      </text>
    </comment>
    <comment ref="AP63" authorId="1">
      <text>
        <r>
          <rPr>
            <b/>
            <sz val="9"/>
            <color indexed="81"/>
            <rFont val="Tahoma"/>
            <family val="2"/>
          </rPr>
          <t>pe0826:</t>
        </r>
        <r>
          <rPr>
            <sz val="9"/>
            <color indexed="81"/>
            <rFont val="Tahoma"/>
            <family val="2"/>
          </rPr>
          <t xml:space="preserve">
</t>
        </r>
        <r>
          <rPr>
            <sz val="9"/>
            <color indexed="81"/>
            <rFont val="宋体"/>
            <family val="3"/>
            <charset val="134"/>
          </rPr>
          <t>主要原因是加大了质检力度，发现的问题较原来有所增多</t>
        </r>
      </text>
    </comment>
    <comment ref="BF63" authorId="1">
      <text>
        <r>
          <rPr>
            <b/>
            <sz val="9"/>
            <color indexed="81"/>
            <rFont val="Tahoma"/>
            <family val="2"/>
          </rPr>
          <t>pe0826:</t>
        </r>
        <r>
          <rPr>
            <sz val="9"/>
            <color indexed="81"/>
            <rFont val="Tahoma"/>
            <family val="2"/>
          </rPr>
          <t xml:space="preserve">
</t>
        </r>
        <r>
          <rPr>
            <sz val="9"/>
            <color indexed="81"/>
            <rFont val="宋体"/>
            <family val="3"/>
            <charset val="134"/>
          </rPr>
          <t>主要原因是加大了质检力度，发现的问题较原来有所增多</t>
        </r>
      </text>
    </comment>
    <comment ref="T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上期无，基数小</t>
        </r>
      </text>
    </comment>
    <comment ref="Z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R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本期无</t>
        </r>
      </text>
    </comment>
    <comment ref="AZ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BF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BK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基数小，且加大了质检力度，发现的问题较原来有所增多</t>
        </r>
      </text>
    </comment>
    <comment ref="BV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BX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本期无</t>
        </r>
      </text>
    </comment>
    <comment ref="CF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上期无、基数小</t>
        </r>
      </text>
    </comment>
    <comment ref="CL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主要原因是加大了质检力度，发现的问题较原来有所增多</t>
        </r>
      </text>
    </comment>
    <comment ref="CN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CT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H6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主要原因是退保，新增附加险转换和自助业务有所增加</t>
        </r>
      </text>
    </comment>
    <comment ref="BF6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主要原因是退保，新增附加险转换和自助业务有所增加</t>
        </r>
      </text>
    </comment>
    <comment ref="BP6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主要原因是退保和自助业务有所变化</t>
        </r>
      </text>
    </comment>
    <comment ref="CT6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主要原因是退保，新增附加险转换和自助业务有所增加</t>
        </r>
      </text>
    </comment>
    <comment ref="BH6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近四个季度未发现保全管理操作风险事件</t>
        </r>
      </text>
    </comment>
    <comment ref="O73"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除非所有风险次数均为</t>
        </r>
        <r>
          <rPr>
            <sz val="9"/>
            <color indexed="81"/>
            <rFont val="Tahoma"/>
            <family val="2"/>
          </rPr>
          <t>0</t>
        </r>
        <r>
          <rPr>
            <sz val="9"/>
            <color indexed="81"/>
            <rFont val="宋体"/>
            <family val="3"/>
            <charset val="134"/>
          </rPr>
          <t xml:space="preserve">，否则十分全扣
</t>
        </r>
      </text>
    </comment>
    <comment ref="AD73" authorId="4">
      <text>
        <r>
          <rPr>
            <b/>
            <sz val="9"/>
            <color indexed="81"/>
            <rFont val="宋体"/>
            <family val="3"/>
            <charset val="134"/>
          </rPr>
          <t>吴皓:上报数据多河北分公司数据</t>
        </r>
      </text>
    </comment>
    <comment ref="O8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一些分公司可以确定行业水平得满分</t>
        </r>
      </text>
    </comment>
  </commentList>
</comments>
</file>

<file path=xl/comments6.xml><?xml version="1.0" encoding="utf-8"?>
<comments xmlns="http://schemas.openxmlformats.org/spreadsheetml/2006/main">
  <authors>
    <author>徐梦薇/Mengwei Xu</author>
    <author>pe0826</author>
    <author>徐梦薇</author>
  </authors>
  <commentList>
    <comment ref="AD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t>
        </r>
      </text>
    </comment>
    <comment ref="AV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t>
        </r>
      </text>
    </comment>
    <comment ref="BH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长期病假离职</t>
        </r>
      </text>
    </comment>
    <comment ref="AD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入职</t>
        </r>
      </text>
    </comment>
    <comment ref="AV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入职</t>
        </r>
      </text>
    </comment>
    <comment ref="BH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新入职</t>
        </r>
      </text>
    </comment>
    <comment ref="T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时效管控加强</t>
        </r>
      </text>
    </comment>
    <comment ref="X14" authorId="1">
      <text>
        <r>
          <rPr>
            <b/>
            <sz val="9"/>
            <color indexed="81"/>
            <rFont val="Tahoma"/>
            <family val="2"/>
          </rPr>
          <t>pe0826:</t>
        </r>
        <r>
          <rPr>
            <sz val="9"/>
            <color indexed="81"/>
            <rFont val="Tahoma"/>
            <family val="2"/>
          </rPr>
          <t xml:space="preserve">
</t>
        </r>
        <r>
          <rPr>
            <sz val="9"/>
            <color indexed="81"/>
            <rFont val="宋体"/>
            <family val="3"/>
            <charset val="134"/>
          </rPr>
          <t>时效管控加强</t>
        </r>
      </text>
    </comment>
    <comment ref="Z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个别赔案支付失败造成时效延长</t>
        </r>
      </text>
    </comment>
    <comment ref="AA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个别赔案支付失败造成时效延长</t>
        </r>
      </text>
    </comment>
    <comment ref="AJ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个别赔案支付时效较长</t>
        </r>
      </text>
    </comment>
    <comment ref="AL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个别赔案支付失败，时效延长</t>
        </r>
      </text>
    </comment>
    <comment ref="AP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支付时效缩短</t>
        </r>
      </text>
    </comment>
    <comment ref="AX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个别赔案支付失败造成时效延长</t>
        </r>
      </text>
    </comment>
    <comment ref="BB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部分赔案支付失败造成时效延长</t>
        </r>
      </text>
    </comment>
    <comment ref="BD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个别赔案支付失败造成时效延长</t>
        </r>
      </text>
    </comment>
    <comment ref="BH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支付时效整体缩短</t>
        </r>
      </text>
    </comment>
    <comment ref="BT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支付时效缩短</t>
        </r>
      </text>
    </comment>
    <comment ref="BZ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部分赔案支付失败造成时效延长</t>
        </r>
      </text>
    </comment>
    <comment ref="T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t>
        </r>
      </text>
    </comment>
    <comment ref="AJ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AP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H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V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t>
        </r>
      </text>
    </comment>
    <comment ref="T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时效管控加强</t>
        </r>
      </text>
    </comment>
    <comment ref="X17" authorId="1">
      <text>
        <r>
          <rPr>
            <b/>
            <sz val="9"/>
            <color indexed="81"/>
            <rFont val="Tahoma"/>
            <family val="2"/>
          </rPr>
          <t>pe0826:</t>
        </r>
        <r>
          <rPr>
            <sz val="9"/>
            <color indexed="81"/>
            <rFont val="Tahoma"/>
            <family val="2"/>
          </rPr>
          <t xml:space="preserve">
</t>
        </r>
        <r>
          <rPr>
            <sz val="9"/>
            <color indexed="81"/>
            <rFont val="宋体"/>
            <family val="3"/>
            <charset val="134"/>
          </rPr>
          <t>一件拒赔时效较长</t>
        </r>
      </text>
    </comment>
    <comment ref="AL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加强审核时效管控</t>
        </r>
      </text>
    </comment>
    <comment ref="AX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加强理赔时效管控</t>
        </r>
      </text>
    </comment>
    <comment ref="BB17" authorId="0">
      <text>
        <r>
          <rPr>
            <b/>
            <sz val="9"/>
            <color indexed="81"/>
            <rFont val="宋体"/>
            <family val="3"/>
            <charset val="134"/>
          </rPr>
          <t>徐梦薇</t>
        </r>
        <r>
          <rPr>
            <b/>
            <sz val="9"/>
            <color indexed="81"/>
            <rFont val="Tahoma"/>
            <family val="2"/>
          </rPr>
          <t>/Mengwei Xu:</t>
        </r>
        <r>
          <rPr>
            <sz val="9"/>
            <color indexed="81"/>
            <rFont val="Tahoma"/>
            <family val="2"/>
          </rPr>
          <t xml:space="preserve">
2</t>
        </r>
        <r>
          <rPr>
            <sz val="9"/>
            <color indexed="81"/>
            <rFont val="宋体"/>
            <family val="3"/>
            <charset val="134"/>
          </rPr>
          <t>件拒赔案件时效较长</t>
        </r>
      </text>
    </comment>
    <comment ref="BD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加强理赔时效管控</t>
        </r>
      </text>
    </comment>
    <comment ref="BH17"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件拒赔时效较长</t>
        </r>
      </text>
    </comment>
    <comment ref="BP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加强审核时效管控</t>
        </r>
      </text>
    </comment>
    <comment ref="BT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个别赔案时效较长</t>
        </r>
      </text>
    </comment>
    <comment ref="BV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t>
        </r>
      </text>
    </comment>
    <comment ref="BZ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部分赔案时效较长</t>
        </r>
      </text>
    </comment>
    <comment ref="T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机构赔案增加</t>
        </r>
      </text>
    </comment>
    <comment ref="AJ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AP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H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V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t>
        </r>
      </text>
    </comment>
    <comment ref="T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t>
        </r>
      </text>
    </comment>
    <comment ref="AJ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AP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H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V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t>
        </r>
      </text>
    </comment>
    <comment ref="T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机构赔案增加</t>
        </r>
      </text>
    </comment>
    <comment ref="AJ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AP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H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V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t>
        </r>
      </text>
    </comment>
    <comment ref="Z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正常扣费，无异常
</t>
        </r>
      </text>
    </comment>
    <comment ref="AD23" authorId="1">
      <text>
        <r>
          <rPr>
            <b/>
            <sz val="9"/>
            <color indexed="81"/>
            <rFont val="Tahoma"/>
            <family val="2"/>
          </rPr>
          <t>pe0826:</t>
        </r>
        <r>
          <rPr>
            <sz val="9"/>
            <color indexed="81"/>
            <rFont val="Tahoma"/>
            <family val="2"/>
          </rPr>
          <t xml:space="preserve">
</t>
        </r>
        <r>
          <rPr>
            <sz val="9"/>
            <color indexed="81"/>
            <rFont val="宋体"/>
            <family val="3"/>
            <charset val="134"/>
          </rPr>
          <t>正常扣费，无异常</t>
        </r>
      </text>
    </comment>
    <comment ref="AL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AP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AR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AV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D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H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J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P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T23" authorId="1">
      <text>
        <r>
          <rPr>
            <b/>
            <sz val="9"/>
            <color indexed="81"/>
            <rFont val="Tahoma"/>
            <family val="2"/>
          </rPr>
          <t>pe0826:</t>
        </r>
        <r>
          <rPr>
            <sz val="9"/>
            <color indexed="81"/>
            <rFont val="Tahoma"/>
            <family val="2"/>
          </rPr>
          <t xml:space="preserve">
</t>
        </r>
        <r>
          <rPr>
            <sz val="9"/>
            <color indexed="81"/>
            <rFont val="宋体"/>
            <family val="3"/>
            <charset val="134"/>
          </rPr>
          <t>正常扣费，无异常</t>
        </r>
      </text>
    </comment>
    <comment ref="BV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Z23" authorId="1">
      <text>
        <r>
          <rPr>
            <b/>
            <sz val="9"/>
            <color indexed="81"/>
            <rFont val="Tahoma"/>
            <family val="2"/>
          </rPr>
          <t>pe0826:</t>
        </r>
        <r>
          <rPr>
            <sz val="9"/>
            <color indexed="81"/>
            <rFont val="Tahoma"/>
            <family val="2"/>
          </rPr>
          <t xml:space="preserve">
</t>
        </r>
        <r>
          <rPr>
            <sz val="9"/>
            <color indexed="81"/>
            <rFont val="宋体"/>
            <family val="3"/>
            <charset val="134"/>
          </rPr>
          <t>正常扣费，无异常</t>
        </r>
      </text>
    </comment>
    <comment ref="T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客观情况，有大额案件</t>
        </r>
      </text>
    </comment>
    <comment ref="X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赔案减少</t>
        </r>
      </text>
    </comment>
    <comment ref="Z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客观情况，有大额赔付</t>
        </r>
      </text>
    </comment>
    <comment ref="AB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客观情况，有大额赔付</t>
        </r>
      </text>
    </comment>
    <comment ref="AP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AX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客观情况，有大额案件</t>
        </r>
      </text>
    </comment>
    <comment ref="BD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客观情况，有大额案件</t>
        </r>
      </text>
    </comment>
    <comment ref="BP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有大额赔案</t>
        </r>
      </text>
    </comment>
    <comment ref="BT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上一季度有大额赔案</t>
        </r>
      </text>
    </comment>
    <comment ref="BV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正常赔案增加，有大额赔案</t>
        </r>
      </text>
    </comment>
    <comment ref="BZ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上一季度有大额赔案</t>
        </r>
      </text>
    </comment>
    <comment ref="O3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除非所有风险次数均为</t>
        </r>
        <r>
          <rPr>
            <sz val="9"/>
            <color indexed="81"/>
            <rFont val="Tahoma"/>
            <family val="2"/>
          </rPr>
          <t>0</t>
        </r>
        <r>
          <rPr>
            <sz val="9"/>
            <color indexed="81"/>
            <rFont val="宋体"/>
            <family val="3"/>
            <charset val="134"/>
          </rPr>
          <t xml:space="preserve">，否则十分全扣
</t>
        </r>
      </text>
    </comment>
  </commentList>
</comments>
</file>

<file path=xl/comments7.xml><?xml version="1.0" encoding="utf-8"?>
<comments xmlns="http://schemas.openxmlformats.org/spreadsheetml/2006/main">
  <authors>
    <author>徐梦薇/Mengwei Xu</author>
    <author>pe0826</author>
    <author>徐梦薇</author>
  </authors>
  <commentList>
    <comment ref="BV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基数小
</t>
        </r>
      </text>
    </comment>
    <comment ref="Z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Z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Z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D9"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如果二期征求意见可以提</t>
        </r>
      </text>
    </comment>
    <comment ref="AJ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王帅</t>
        </r>
        <r>
          <rPr>
            <sz val="9"/>
            <color indexed="81"/>
            <rFont val="Tahoma"/>
            <family val="2"/>
          </rPr>
          <t>2018.6</t>
        </r>
        <r>
          <rPr>
            <sz val="9"/>
            <color indexed="81"/>
            <rFont val="宋体"/>
            <family val="3"/>
            <charset val="134"/>
          </rPr>
          <t>取得初级职称</t>
        </r>
      </text>
    </comment>
    <comment ref="AM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王帅</t>
        </r>
        <r>
          <rPr>
            <sz val="9"/>
            <color indexed="81"/>
            <rFont val="Tahoma"/>
            <family val="2"/>
          </rPr>
          <t>2018.6</t>
        </r>
        <r>
          <rPr>
            <sz val="9"/>
            <color indexed="81"/>
            <rFont val="宋体"/>
            <family val="3"/>
            <charset val="134"/>
          </rPr>
          <t>取得初级职称</t>
        </r>
      </text>
    </comment>
    <comment ref="CD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AJ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M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P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事件过期</t>
        </r>
      </text>
    </comment>
    <comment ref="BY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特殊
</t>
        </r>
      </text>
    </comment>
    <comment ref="CB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特殊
</t>
        </r>
      </text>
    </comment>
    <comment ref="CG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特殊</t>
        </r>
      </text>
    </comment>
    <comment ref="CJ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特殊
</t>
        </r>
      </text>
    </comment>
    <comment ref="AB36" authorId="1">
      <text>
        <r>
          <rPr>
            <b/>
            <sz val="9"/>
            <color indexed="81"/>
            <rFont val="宋体"/>
            <family val="3"/>
            <charset val="134"/>
          </rPr>
          <t>未达账项超过三个月</t>
        </r>
      </text>
    </comment>
    <comment ref="AE36" authorId="1">
      <text>
        <r>
          <rPr>
            <b/>
            <sz val="9"/>
            <color indexed="81"/>
            <rFont val="宋体"/>
            <family val="3"/>
            <charset val="134"/>
          </rPr>
          <t>未达账项超过三个月</t>
        </r>
      </text>
    </comment>
    <comment ref="BH39" authorId="1">
      <text>
        <r>
          <rPr>
            <b/>
            <sz val="9"/>
            <color indexed="81"/>
            <rFont val="Tahoma"/>
            <family val="2"/>
          </rPr>
          <t>pe0826:</t>
        </r>
        <r>
          <rPr>
            <sz val="9"/>
            <color indexed="81"/>
            <rFont val="Tahoma"/>
            <family val="2"/>
          </rPr>
          <t xml:space="preserve">
</t>
        </r>
        <r>
          <rPr>
            <sz val="9"/>
            <color indexed="81"/>
            <rFont val="宋体"/>
            <family val="3"/>
            <charset val="134"/>
          </rPr>
          <t>山东分公司银保费用不合规费用问题，直接上报当地保监会，公司已经问责</t>
        </r>
      </text>
    </comment>
    <comment ref="BK39" authorId="1">
      <text>
        <r>
          <rPr>
            <b/>
            <sz val="9"/>
            <color indexed="81"/>
            <rFont val="Tahoma"/>
            <family val="2"/>
          </rPr>
          <t>pe0826:</t>
        </r>
        <r>
          <rPr>
            <sz val="9"/>
            <color indexed="81"/>
            <rFont val="Tahoma"/>
            <family val="2"/>
          </rPr>
          <t xml:space="preserve">
</t>
        </r>
        <r>
          <rPr>
            <sz val="9"/>
            <color indexed="81"/>
            <rFont val="宋体"/>
            <family val="3"/>
            <charset val="134"/>
          </rPr>
          <t>山东分公司银保费用不合规费用问题，直接上报当地保监会，公司已经问责</t>
        </r>
      </text>
    </comment>
    <comment ref="CL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过期</t>
        </r>
      </text>
    </comment>
    <comment ref="Z4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过期</t>
        </r>
      </text>
    </comment>
    <comment ref="O62" authorId="2">
      <text>
        <r>
          <rPr>
            <b/>
            <sz val="9"/>
            <color indexed="81"/>
            <rFont val="宋体"/>
            <family val="3"/>
            <charset val="134"/>
          </rPr>
          <t>徐梦薇</t>
        </r>
        <r>
          <rPr>
            <b/>
            <sz val="9"/>
            <color indexed="81"/>
            <rFont val="Tahoma"/>
            <family val="2"/>
          </rPr>
          <t xml:space="preserve">:
</t>
        </r>
        <r>
          <rPr>
            <b/>
            <sz val="9"/>
            <color indexed="81"/>
            <rFont val="宋体"/>
            <family val="3"/>
            <charset val="134"/>
          </rPr>
          <t xml:space="preserve">一些分公司在行业水平中可以确定得到满分
</t>
        </r>
      </text>
    </comment>
  </commentList>
</comments>
</file>

<file path=xl/comments8.xml><?xml version="1.0" encoding="utf-8"?>
<comments xmlns="http://schemas.openxmlformats.org/spreadsheetml/2006/main">
  <authors>
    <author>pe0826</author>
    <author>徐梦薇/Mengwei Xu</author>
    <author>刘辉</author>
    <author>徐梦薇</author>
  </authors>
  <commentList>
    <comment ref="X4" authorId="0">
      <text>
        <r>
          <rPr>
            <b/>
            <sz val="9"/>
            <color indexed="81"/>
            <rFont val="宋体"/>
            <family val="3"/>
            <charset val="134"/>
          </rPr>
          <t>个险数据变化造成总数据变动幅度较大。</t>
        </r>
      </text>
    </comment>
    <comment ref="J5"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个险数据变化造成总数据变动幅度较大。</t>
        </r>
      </text>
    </comment>
    <comment ref="L5"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个险数据变化造成总数据变动幅度较大。</t>
        </r>
      </text>
    </comment>
    <comment ref="N6"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原始数据为</t>
        </r>
        <r>
          <rPr>
            <sz val="9"/>
            <color indexed="81"/>
            <rFont val="Tahoma"/>
            <family val="2"/>
          </rPr>
          <t>7205</t>
        </r>
        <r>
          <rPr>
            <sz val="9"/>
            <color indexed="81"/>
            <rFont val="宋体"/>
            <family val="3"/>
            <charset val="134"/>
          </rPr>
          <t>，辽宁人数为</t>
        </r>
        <r>
          <rPr>
            <sz val="9"/>
            <color indexed="81"/>
            <rFont val="Tahoma"/>
            <family val="2"/>
          </rPr>
          <t>6</t>
        </r>
        <r>
          <rPr>
            <sz val="9"/>
            <color indexed="81"/>
            <rFont val="宋体"/>
            <family val="3"/>
            <charset val="134"/>
          </rPr>
          <t>月</t>
        </r>
        <r>
          <rPr>
            <sz val="9"/>
            <color indexed="81"/>
            <rFont val="Tahoma"/>
            <family val="2"/>
          </rPr>
          <t>30</t>
        </r>
        <r>
          <rPr>
            <sz val="9"/>
            <color indexed="81"/>
            <rFont val="宋体"/>
            <family val="3"/>
            <charset val="134"/>
          </rPr>
          <t>在职，</t>
        </r>
        <r>
          <rPr>
            <sz val="9"/>
            <color indexed="81"/>
            <rFont val="Tahoma"/>
            <family val="2"/>
          </rPr>
          <t>7</t>
        </r>
        <r>
          <rPr>
            <sz val="9"/>
            <color indexed="81"/>
            <rFont val="宋体"/>
            <family val="3"/>
            <charset val="134"/>
          </rPr>
          <t>月</t>
        </r>
        <r>
          <rPr>
            <sz val="9"/>
            <color indexed="81"/>
            <rFont val="Tahoma"/>
            <family val="2"/>
          </rPr>
          <t>1</t>
        </r>
        <r>
          <rPr>
            <sz val="9"/>
            <color indexed="81"/>
            <rFont val="宋体"/>
            <family val="3"/>
            <charset val="134"/>
          </rPr>
          <t>离职。天津为统一口径</t>
        </r>
      </text>
    </comment>
    <comment ref="X20" authorId="0">
      <text>
        <r>
          <rPr>
            <b/>
            <sz val="9"/>
            <color indexed="81"/>
            <rFont val="宋体"/>
            <family val="3"/>
            <charset val="134"/>
          </rPr>
          <t>本季度数据包括6月份零点冲刺保单量，真实性问题保单有所增加。</t>
        </r>
      </text>
    </comment>
    <comment ref="X21"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本季度数据包括</t>
        </r>
        <r>
          <rPr>
            <sz val="9"/>
            <color indexed="81"/>
            <rFont val="Tahoma"/>
            <family val="2"/>
          </rPr>
          <t>6</t>
        </r>
        <r>
          <rPr>
            <sz val="9"/>
            <color indexed="81"/>
            <rFont val="宋体"/>
            <family val="3"/>
            <charset val="134"/>
          </rPr>
          <t>月份零点冲刺保单量，承保数量增加。</t>
        </r>
      </text>
    </comment>
    <comment ref="J22" authorId="2">
      <text>
        <r>
          <rPr>
            <sz val="9"/>
            <color indexed="81"/>
            <rFont val="宋体"/>
            <family val="3"/>
            <charset val="134"/>
          </rPr>
          <t>1.18Q1公司在对营销员微信群和朋友圈监控中发现辽宁丹东中心支公司业务员在朋友圈传播一份伪造的公司核保规则类的通知文件。个险上报
2.18Q1江苏分公司个别人员存在私自印制展业宣传资料的违规行为。个险上报
3.18Q1江苏苏州、徐州、泰州机构个别培训课件中存在“存”、“理财”、“返本”等违规的销售误导字眼。个险上报
4&amp;5 18Q1山东&amp;河南有私印宣传，来源于分公司OR04表
6.18Q2江苏分公司南京、扬州、盐城机构个别内部培训课件中存在“存”、“理财”、“返本”等违规的销售误导字眼。个险上报
7.18Q2大连有私印宣传材料，来源于分公司OR04表</t>
        </r>
      </text>
    </comment>
    <comment ref="L22" authorId="2">
      <text>
        <r>
          <rPr>
            <sz val="9"/>
            <color indexed="81"/>
            <rFont val="宋体"/>
            <family val="3"/>
            <charset val="134"/>
          </rPr>
          <t>1.18Q1公司在对营销员微信群和朋友圈监控中发现辽宁丹东中心支公司业务员在朋友圈传播一份伪造的公司核保规则类的通知文件。个险上报
2.18Q1江苏分公司个别人员存在私自印制展业宣传资料的违规行为。个险上报
3.18Q1江苏苏州、徐州、泰州机构个别培训课件中存在“存”、“理财”、“返本”等违规的销售误导字眼。个险上报
4&amp;5 18Q1山东&amp;河南有私印宣传，来源于分公司OR04表
6.18Q2江苏分公司南京、扬州、盐城机构个别内部培训课件中存在“存”、“理财”、“返本”等违规的销售误导字眼。个险上报
7.18Q2大连有私印宣传材料，来源于分公司OR04表</t>
        </r>
      </text>
    </comment>
    <comment ref="N22" authorId="2">
      <text>
        <r>
          <rPr>
            <b/>
            <sz val="9"/>
            <color indexed="81"/>
            <rFont val="宋体"/>
            <family val="3"/>
            <charset val="134"/>
          </rPr>
          <t xml:space="preserve">
总公司个险渠道上报</t>
        </r>
        <r>
          <rPr>
            <b/>
            <sz val="9"/>
            <color indexed="81"/>
            <rFont val="Tahoma"/>
            <family val="2"/>
          </rPr>
          <t xml:space="preserve"> 
1</t>
        </r>
        <r>
          <rPr>
            <b/>
            <sz val="9"/>
            <color indexed="81"/>
            <rFont val="宋体"/>
            <family val="3"/>
            <charset val="134"/>
          </rPr>
          <t>）恒安标准辽分司字</t>
        </r>
        <r>
          <rPr>
            <b/>
            <sz val="9"/>
            <color indexed="81"/>
            <rFont val="Tahoma"/>
            <family val="2"/>
          </rPr>
          <t>[2017]38</t>
        </r>
        <r>
          <rPr>
            <b/>
            <sz val="9"/>
            <color indexed="81"/>
            <rFont val="宋体"/>
            <family val="3"/>
            <charset val="134"/>
          </rPr>
          <t xml:space="preserve">号辽宁分公司关于开展保险产品销售管理情况自查自纠工作的报告
</t>
        </r>
        <r>
          <rPr>
            <b/>
            <sz val="9"/>
            <color indexed="81"/>
            <rFont val="Tahoma"/>
            <family val="2"/>
          </rPr>
          <t>2</t>
        </r>
        <r>
          <rPr>
            <b/>
            <sz val="9"/>
            <color indexed="81"/>
            <rFont val="宋体"/>
            <family val="3"/>
            <charset val="134"/>
          </rPr>
          <t xml:space="preserve">）公司在对营销员微信群和朋友圈监控中发现辽宁丹东中心支公司业务员在朋友圈传播一份伪造的公司核保规则类的通知文件
</t>
        </r>
        <r>
          <rPr>
            <b/>
            <sz val="9"/>
            <color indexed="81"/>
            <rFont val="Tahoma"/>
            <family val="2"/>
          </rPr>
          <t>3</t>
        </r>
        <r>
          <rPr>
            <b/>
            <sz val="9"/>
            <color indexed="81"/>
            <rFont val="宋体"/>
            <family val="3"/>
            <charset val="134"/>
          </rPr>
          <t xml:space="preserve">）江苏分公司个别人员存在私自印制展业宣传资料的违规行为。
</t>
        </r>
        <r>
          <rPr>
            <b/>
            <sz val="9"/>
            <color indexed="81"/>
            <rFont val="Tahoma"/>
            <family val="2"/>
          </rPr>
          <t>4</t>
        </r>
        <r>
          <rPr>
            <b/>
            <sz val="9"/>
            <color indexed="81"/>
            <rFont val="宋体"/>
            <family val="3"/>
            <charset val="134"/>
          </rPr>
          <t xml:space="preserve">）江苏苏州、徐州、泰州机构个别培训课件中存在“存”、“理财”、“返本”等违规的销售误导字眼。
填写数据中发现：
</t>
        </r>
        <r>
          <rPr>
            <b/>
            <sz val="9"/>
            <color indexed="81"/>
            <rFont val="Tahoma"/>
            <family val="2"/>
          </rPr>
          <t>18Q1 2</t>
        </r>
        <r>
          <rPr>
            <b/>
            <sz val="9"/>
            <color indexed="81"/>
            <rFont val="宋体"/>
            <family val="3"/>
            <charset val="134"/>
          </rPr>
          <t>件</t>
        </r>
        <r>
          <rPr>
            <b/>
            <sz val="9"/>
            <color indexed="81"/>
            <rFont val="Tahoma"/>
            <family val="2"/>
          </rPr>
          <t xml:space="preserve"> 18Q21</t>
        </r>
        <r>
          <rPr>
            <b/>
            <sz val="9"/>
            <color indexed="81"/>
            <rFont val="宋体"/>
            <family val="3"/>
            <charset val="134"/>
          </rPr>
          <t xml:space="preserve">件
</t>
        </r>
      </text>
    </comment>
    <comment ref="J27" authorId="3">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年度非法集资排查中，山东上报</t>
        </r>
        <r>
          <rPr>
            <sz val="9"/>
            <color indexed="81"/>
            <rFont val="Tahoma"/>
            <family val="2"/>
          </rPr>
          <t>Q2</t>
        </r>
      </text>
    </comment>
    <comment ref="L27" authorId="3">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年度非法集资排查中，山东上报</t>
        </r>
        <r>
          <rPr>
            <sz val="9"/>
            <color indexed="81"/>
            <rFont val="Tahoma"/>
            <family val="2"/>
          </rPr>
          <t>Q2</t>
        </r>
      </text>
    </comment>
    <comment ref="L36" authorId="0">
      <text>
        <r>
          <rPr>
            <b/>
            <sz val="9"/>
            <color indexed="81"/>
            <rFont val="宋体"/>
            <family val="3"/>
            <charset val="134"/>
          </rPr>
          <t>领</t>
        </r>
        <r>
          <rPr>
            <b/>
            <sz val="9"/>
            <color indexed="81"/>
            <rFont val="Tahoma"/>
            <family val="2"/>
          </rPr>
          <t>D</t>
        </r>
        <r>
          <rPr>
            <b/>
            <sz val="9"/>
            <color indexed="81"/>
            <rFont val="宋体"/>
            <family val="3"/>
            <charset val="134"/>
          </rPr>
          <t>投诉增多</t>
        </r>
      </text>
    </comment>
    <comment ref="X36"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t>
        </r>
        <r>
          <rPr>
            <sz val="9"/>
            <color indexed="81"/>
            <rFont val="Tahoma"/>
            <family val="2"/>
          </rPr>
          <t>D</t>
        </r>
        <r>
          <rPr>
            <sz val="9"/>
            <color indexed="81"/>
            <rFont val="宋体"/>
            <family val="3"/>
            <charset val="134"/>
          </rPr>
          <t>满期</t>
        </r>
      </text>
    </comment>
    <comment ref="AB36"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除非投诉次数为</t>
        </r>
        <r>
          <rPr>
            <sz val="9"/>
            <color indexed="81"/>
            <rFont val="Tahoma"/>
            <family val="2"/>
          </rPr>
          <t>0</t>
        </r>
        <r>
          <rPr>
            <sz val="9"/>
            <color indexed="81"/>
            <rFont val="宋体"/>
            <family val="3"/>
            <charset val="134"/>
          </rPr>
          <t>，否则</t>
        </r>
        <r>
          <rPr>
            <sz val="9"/>
            <color indexed="81"/>
            <rFont val="Tahoma"/>
            <family val="2"/>
          </rPr>
          <t>10</t>
        </r>
        <r>
          <rPr>
            <sz val="9"/>
            <color indexed="81"/>
            <rFont val="宋体"/>
            <family val="3"/>
            <charset val="134"/>
          </rPr>
          <t xml:space="preserve">分全扣
</t>
        </r>
      </text>
    </comment>
    <comment ref="D40"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1"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2" authorId="0">
      <text>
        <r>
          <rPr>
            <sz val="9"/>
            <color indexed="81"/>
            <rFont val="宋体"/>
            <family val="3"/>
            <charset val="134"/>
          </rPr>
          <t>自填</t>
        </r>
        <r>
          <rPr>
            <sz val="9"/>
            <color indexed="81"/>
            <rFont val="Tahoma"/>
            <family val="2"/>
          </rPr>
          <t xml:space="preserve">
</t>
        </r>
      </text>
    </comment>
  </commentList>
</comments>
</file>

<file path=xl/comments9.xml><?xml version="1.0" encoding="utf-8"?>
<comments xmlns="http://schemas.openxmlformats.org/spreadsheetml/2006/main">
  <authors>
    <author>pe0826</author>
    <author>徐梦薇/Mengwei Xu</author>
    <author>徐梦薇</author>
  </authors>
  <commentList>
    <comment ref="N14" authorId="0">
      <text>
        <r>
          <rPr>
            <sz val="9"/>
            <color indexed="81"/>
            <rFont val="宋体"/>
            <family val="3"/>
            <charset val="134"/>
          </rPr>
          <t>结案时效提升</t>
        </r>
      </text>
    </comment>
    <comment ref="N18"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本季度无</t>
        </r>
      </text>
    </comment>
    <comment ref="J19" authorId="0">
      <text>
        <r>
          <rPr>
            <b/>
            <sz val="9"/>
            <color indexed="81"/>
            <rFont val="宋体"/>
            <family val="3"/>
            <charset val="134"/>
          </rPr>
          <t xml:space="preserve">1、丁一、丁建华诉恒安标准人寿保险有限公司江苏分公司南通中心支公司理赔纠纷案件 
2、李万影诉恒安标准人寿保险有限公司天津分公司理赔纠纷案件                             
3、郭淑娟诉恒安标准人寿保险有限公司辽宁分公司理赔纠纷案件                              
4、邢嘉旭诉恒安标准人寿保险有限公司辽宁分公司营口营销服务部理赔纠纷案件                 
5、高玉平诉恒安标准人寿保险股份有限公司山东分公司理赔纠纷案件                               
6、李淑燕、曲春凤诉恒安标准人寿保险有限公司青岛分公司理赔纠纷案件        
7、苏华建设集团有限公司诉恒安标准人寿保险有限公司江苏分公司理赔纠纷案件                                  
8、周秀文诉恒安标准人寿保险有限公司辽宁分公司理赔纠纷案件         
9、张景霞诉恒安标准人寿保险有限公司河南分公司理赔纠纷案件
</t>
        </r>
      </text>
    </comment>
    <comment ref="L19" authorId="0">
      <text>
        <r>
          <rPr>
            <b/>
            <sz val="9"/>
            <color indexed="81"/>
            <rFont val="宋体"/>
            <family val="3"/>
            <charset val="134"/>
          </rPr>
          <t>1、郭淑娟诉恒安标准人寿保险有限公司辽宁分公司理赔纠纷案件                              
2、邢嘉旭诉恒安标准人寿保险有限公司辽宁分公司营口营销服务部理赔纠纷案件                 
3、高玉平诉恒安标准人寿保险股份有限公司山东分公司理赔纠纷案件                               
4、苏华建设集团有限公司诉恒安标准人寿保险有限公司江苏分公司理赔纠纷案件                                 
5、周秀文诉恒安标准人寿保险有限公司辽宁分公司理赔纠纷案件         
6、张景霞诉恒安标准人寿保险有限公司河南分公司理赔纠纷案件
7、周淑芹诉恒安标准人寿保险有限公司锦州中心支公司理赔纠纷案件
8、王永法诉恒安标准人寿保险有限公司山东分公司退保纠纷案件
9、济宁市欣和食品有限公司诉恒安标准人寿保险有限公司济宁中心支公司理赔纠纷案件
10、高岚诉恒安标准人寿保险有限公司丹东中心支公司其他纠纷案件</t>
        </r>
      </text>
    </comment>
    <comment ref="J20"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D24"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自填
</t>
        </r>
      </text>
    </comment>
    <comment ref="D25"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List>
</comments>
</file>

<file path=xl/sharedStrings.xml><?xml version="1.0" encoding="utf-8"?>
<sst xmlns="http://schemas.openxmlformats.org/spreadsheetml/2006/main" count="6483" uniqueCount="2530">
  <si>
    <t>人身保险公司销售、承保业务线的操作风险</t>
  </si>
  <si>
    <t>销售人员离职率</t>
  </si>
  <si>
    <t>销售人员学历水平</t>
  </si>
  <si>
    <t>评估期末，销售人员中大专以上学历人员数量</t>
  </si>
  <si>
    <t>评估期评估公司规模保费</t>
  </si>
  <si>
    <t>评估期电话回访成功的保单件数</t>
  </si>
  <si>
    <t>评估期开展电话回访的保单件数</t>
  </si>
  <si>
    <t>电话营销质监问题比例</t>
  </si>
  <si>
    <t>评估期公司电话营销质监发现存在销售误导问题的保单件数</t>
  </si>
  <si>
    <t>评估期公司进行电话营销质监的保单总数</t>
  </si>
  <si>
    <t>与核心业务系统实时对接情况</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</si>
  <si>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</si>
  <si>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</si>
  <si>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</si>
  <si>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</si>
  <si>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</si>
  <si>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</si>
  <si>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</si>
  <si>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</si>
  <si>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</si>
  <si>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</si>
  <si>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</si>
  <si>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</si>
  <si>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</si>
  <si>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</si>
  <si>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 xml:space="preserve">人身保险公司理赔、保全业务线的操作风险 </t>
  </si>
  <si>
    <t>评估期末具有3年以上理赔工作经验的理赔工作人员数量</t>
  </si>
  <si>
    <t>评估期末理赔工作人员数量</t>
  </si>
  <si>
    <t>从事保全工作的时间在5年以上的保全工作人员数量</t>
  </si>
  <si>
    <t>从事保全工作的时间在1年以下的保全工作人员数量</t>
  </si>
  <si>
    <t>评估期末保全工作人员数量</t>
  </si>
  <si>
    <t>保险公司资金运用业务线操作风险</t>
  </si>
  <si>
    <t>资产管理部门负责人从业年限</t>
  </si>
  <si>
    <t>资产管理部门负责人违法违规及处罚情况</t>
  </si>
  <si>
    <t>1|最近4个季度内资产管理部门负责人未因违法违规受到行政处罚</t>
  </si>
  <si>
    <t>2|最近4个季度内资产管理部门负责人因违法违规受到行政处罚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</si>
  <si>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</si>
  <si>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</si>
  <si>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</si>
  <si>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2|资产管理部门未在投资研究、资产清算、托管、风险控制、业绩评估、相关保障等环节设置岗位</t>
  </si>
  <si>
    <t>3|不适用</t>
  </si>
  <si>
    <t>保险公司自行投资的，资产管理部门岗位设置情况</t>
  </si>
  <si>
    <t>1|资产管理部门除在投资研究、资产清算或托管、风险控制、业绩评估、相关保障等环节设置岗位外，还设置投资、交易等与资金运用业务直接相关的岗位</t>
  </si>
  <si>
    <t>2|资产管理部门未在投资研究、资产清算或托管、风险控制、业绩评估、相关保障等环节设置岗位，也未设置投资、交易等与资金运用业务直接相关的岗位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</si>
  <si>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</si>
  <si>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</si>
  <si>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</si>
  <si>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</si>
  <si>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</si>
  <si>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</si>
  <si>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</si>
  <si>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</si>
  <si>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</si>
  <si>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</si>
  <si>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</si>
  <si>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</si>
  <si>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</si>
  <si>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1|对投研人员无激励机制或激励机制只与短期（一年及以内）业绩挂钩</t>
  </si>
  <si>
    <t>2|对投研人员的激励机制与长期（一年以上）业绩挂钩</t>
  </si>
  <si>
    <t>保险公司委托投资的，投研人员激励机制情况</t>
  </si>
  <si>
    <t>1|能够提供受托机构相关证明材料</t>
  </si>
  <si>
    <t>2|不能提供受托机构相关证明材料</t>
  </si>
  <si>
    <t>保险公司自行投资的，风险管理人员激励机制情况</t>
  </si>
  <si>
    <t>1|资金运用风险管理人员激励机制不直接与投资业绩挂钩</t>
  </si>
  <si>
    <t>2|资金运用风险管理人员激励机制直接与投资业绩挂钩</t>
  </si>
  <si>
    <t>保险公司委托投资的，风险管理人员激励机制情况</t>
  </si>
  <si>
    <t>2|不能够提供受托机构相关证明材料</t>
  </si>
  <si>
    <t>1|业绩考核与操作风险挂钩</t>
  </si>
  <si>
    <t>2|业绩考核不与操作风险挂钩</t>
  </si>
  <si>
    <t>操作风险数据库情况</t>
  </si>
  <si>
    <t>1|建立资金运用操作风险数据库且如实记录操作风险事件</t>
  </si>
  <si>
    <t>2|未建立资金运用操作风险数据库或未如实记录操作风险事件</t>
  </si>
  <si>
    <t>委托投资管理制度情况</t>
  </si>
  <si>
    <t>1|保险公司委托投资的，全部建立相关制度</t>
  </si>
  <si>
    <t>2|保险公司委托投资的，未全部建立相关制度</t>
  </si>
  <si>
    <t>3|保险公司未开展委托投资</t>
  </si>
  <si>
    <t>委托投资指引情况</t>
  </si>
  <si>
    <t>1|委托投资指引达到要求</t>
  </si>
  <si>
    <t>2|委托投资指引未达到要求</t>
  </si>
  <si>
    <t>定期评估情况</t>
  </si>
  <si>
    <t>1|最近4个季度内对全部投资管理人评估大于1次</t>
  </si>
  <si>
    <t>2|最近4个季度内只对部分投资管理人进行评估</t>
  </si>
  <si>
    <t>3|最近4个季度内未对投资管理人进行评估</t>
  </si>
  <si>
    <t>压力测试情况</t>
  </si>
  <si>
    <t>1|资产配置压力测试达到要求</t>
  </si>
  <si>
    <t>2|资产配置压力测试未达到要求</t>
  </si>
  <si>
    <t>保险公司自行投资的，分账户情况</t>
  </si>
  <si>
    <t>1|资产配置分账户管理达到要求</t>
  </si>
  <si>
    <t>2|资产配置分账户管理未达到要求</t>
  </si>
  <si>
    <t>保险公司委托投资的，分账户情况</t>
  </si>
  <si>
    <t>托管情况</t>
  </si>
  <si>
    <t>1|全部投资资产实施托管</t>
  </si>
  <si>
    <t>2|投资资产部分托管</t>
  </si>
  <si>
    <t>3|投资资产未托管</t>
  </si>
  <si>
    <t>投资授权制度情况</t>
  </si>
  <si>
    <t>1|具备完善的投资授权制度，建立董事会投资决策委员会体系，决策及批准权限明确</t>
  </si>
  <si>
    <t>2|不具备完善的投资授权制度，未建立董事会投资决策委员会体系，决策及批准权限不明确</t>
  </si>
  <si>
    <t>保险公司自行投资的，决策流程信息化和自动化情况</t>
  </si>
  <si>
    <t>1|实现决策流程的信息化和自动化，通过信息系统手段实现投资决策流程、次序自动控制</t>
  </si>
  <si>
    <t>2|未实现决策流程的信息化和自动化，未能通过信息系统手段实现投资决策流程、次序自动控制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</si>
  <si>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</si>
  <si>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</si>
  <si>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</si>
  <si>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2|重要投资决策没有相关书面记录，如会议纪要、最终投资决议等，或者决策人未在最终投资决议上确认</t>
  </si>
  <si>
    <t>保险公司委托投资的，投资决策书面记录情况</t>
  </si>
  <si>
    <t>保险公司自行投资的，投资池、备选池和禁投池体系情况</t>
  </si>
  <si>
    <t>1|构建投资池、备选池和禁投池体系且定期维护</t>
  </si>
  <si>
    <t>2|未构建投资池、备选池和禁投池体系或未定期维护</t>
  </si>
  <si>
    <t>3|未开展股票、债券、开放式基金等投资</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</si>
  <si>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</si>
  <si>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</si>
  <si>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</si>
  <si>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</si>
  <si>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2|未实行集中交易制度，未安装必要的监测系统、预警系统和反馈系统，未对交易室通讯设备进行监控</t>
  </si>
  <si>
    <t>保险公司委托投资的，集中交易情况</t>
  </si>
  <si>
    <t>保险公司自行投资的，交易记录情况</t>
  </si>
  <si>
    <t>1|建立完善的交易记录制度，每日对交易记录及时核对并存档</t>
  </si>
  <si>
    <t>2|未建立完善的交易记录制度，未对交易记录及时核对并存档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</si>
  <si>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</si>
  <si>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</si>
  <si>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</si>
  <si>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</si>
  <si>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2|未建立会计估值政策与制度规范，估值未经过复核审查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</si>
  <si>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</si>
  <si>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</si>
  <si>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</si>
  <si>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2|投资部门的业务交易台账未能与后台清算记录和资金记录保持一致，未保留复核纪录，每日完成交易后未进行清算和交易信息核对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</si>
  <si>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</si>
  <si>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</si>
  <si>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2|投资部门未督促检查管理人和托管人的业务交易台账与后台清算记录和资金记录是否保持一致，管理人和托管人每日未核对清算和交易信息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</si>
  <si>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</si>
  <si>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</si>
  <si>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</si>
  <si>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</si>
  <si>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2|建立资金运用信息系统，设定合规性和风险指标阀值，将部分合规性和风险指标阀值设置于信息系统</t>
  </si>
  <si>
    <t>3|未建立资金运用信息系统，未设定合规性和风险指标阀值，未将风险监控的各项要素固化到信息系统之中</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</si>
  <si>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</si>
  <si>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</si>
  <si>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</si>
  <si>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</si>
  <si>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</si>
  <si>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</si>
  <si>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</si>
  <si>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</si>
  <si>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2|未能积极参与、密切跟踪新的资金运用、偿付能力等政策制度，未能及时对新政作出调整资金运用管理流程和经营行为</t>
  </si>
  <si>
    <t>新政策培训情况</t>
  </si>
  <si>
    <t>1|对新的资金运用、偿付能力等政策制度，保险公司能够及时对高管、相关部门人员进行培训</t>
  </si>
  <si>
    <t>2|对新的资金运用、偿付能力等政策制度，保险公司未能及时对高管、相关部门人员进行培训</t>
  </si>
  <si>
    <t>保险公司财务管理操作风险</t>
  </si>
  <si>
    <t>1|财会部门主要负责人符合专业性要求</t>
  </si>
  <si>
    <t>2|保险公司有多个部门负责财会工作的，所有的部门主要负责人符合专业性要求</t>
  </si>
  <si>
    <t>3|其他</t>
  </si>
  <si>
    <t>最近4个季度内离职的财会人员数量</t>
  </si>
  <si>
    <t>前4个季度初的财会人员数量</t>
  </si>
  <si>
    <t>最近4个季度增加的财会人员数量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</si>
  <si>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</si>
  <si>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</si>
  <si>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</si>
  <si>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</si>
  <si>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</si>
  <si>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</si>
  <si>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</si>
  <si>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</si>
  <si>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</si>
  <si>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</si>
  <si>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</si>
  <si>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</si>
  <si>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</si>
  <si>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</si>
  <si>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</si>
  <si>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</si>
  <si>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1|单证的领用、核销有专门内控程序和专人负责</t>
  </si>
  <si>
    <t>2|单证的领用、核销无专门内控程序和专人负责</t>
  </si>
  <si>
    <t>最近4个季度内已发放空白单证缺失的数量</t>
  </si>
  <si>
    <t>最近4个季度内空白单证发放的数量</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</si>
  <si>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</si>
  <si>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</si>
  <si>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</si>
  <si>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</si>
  <si>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</si>
  <si>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</si>
  <si>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</si>
  <si>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</si>
  <si>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</si>
  <si>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</si>
  <si>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</si>
  <si>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</si>
  <si>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</si>
  <si>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</si>
  <si>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</si>
  <si>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</si>
  <si>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</si>
  <si>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</si>
  <si>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</si>
  <si>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</si>
  <si>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</si>
  <si>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</si>
  <si>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</si>
  <si>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</si>
  <si>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</si>
  <si>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</si>
  <si>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</si>
  <si>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</si>
  <si>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</si>
  <si>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</si>
  <si>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</si>
  <si>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</si>
  <si>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</si>
  <si>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</si>
  <si>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</si>
  <si>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</si>
  <si>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</si>
  <si>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</si>
  <si>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</si>
  <si>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</si>
  <si>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</si>
  <si>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</si>
  <si>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</si>
  <si>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</si>
  <si>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</si>
  <si>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</si>
  <si>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</si>
  <si>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</si>
  <si>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被1-5家主流媒体报道的次数</t>
  </si>
  <si>
    <t>被10家以上主流媒体报道的次数</t>
  </si>
  <si>
    <t>被6-10家主流媒体连续报道超过7天的次数</t>
  </si>
  <si>
    <t>保险公司声誉风险</t>
    <phoneticPr fontId="3" type="noConversion"/>
  </si>
  <si>
    <t>评价指标</t>
    <phoneticPr fontId="3" type="noConversion"/>
  </si>
  <si>
    <t>行次</t>
    <phoneticPr fontId="3" type="noConversion"/>
  </si>
  <si>
    <t>评估期初销售人员数量</t>
    <phoneticPr fontId="3" type="noConversion"/>
  </si>
  <si>
    <t>人身保险公司准备金、再保险业务线操作风险</t>
    <phoneticPr fontId="3" type="noConversion"/>
  </si>
  <si>
    <t>序号</t>
    <phoneticPr fontId="3" type="noConversion"/>
  </si>
  <si>
    <t>报表名称</t>
    <phoneticPr fontId="3" type="noConversion"/>
  </si>
  <si>
    <t>行次</t>
    <phoneticPr fontId="3" type="noConversion"/>
  </si>
  <si>
    <t>评估期末销售人员数量</t>
    <phoneticPr fontId="3" type="noConversion"/>
  </si>
  <si>
    <t>评价指标</t>
    <phoneticPr fontId="3" type="noConversion"/>
  </si>
  <si>
    <t>总公司财会部门人员数量</t>
    <phoneticPr fontId="3" type="noConversion"/>
  </si>
  <si>
    <t>最近4个季度内员工培训人次</t>
    <phoneticPr fontId="3" type="noConversion"/>
  </si>
  <si>
    <t>收支两条线</t>
    <phoneticPr fontId="3" type="noConversion"/>
  </si>
  <si>
    <t>单证管理</t>
    <phoneticPr fontId="3" type="noConversion"/>
  </si>
  <si>
    <t>印章管理情况</t>
    <phoneticPr fontId="3" type="noConversion"/>
  </si>
  <si>
    <t>保险公司合规风险</t>
  </si>
  <si>
    <t>评价指标</t>
    <phoneticPr fontId="3" type="noConversion"/>
  </si>
  <si>
    <t>保险公司自行投资的，业绩考核</t>
    <phoneticPr fontId="3" type="noConversion"/>
  </si>
  <si>
    <t>保险公司委托投资的，业绩考核</t>
    <phoneticPr fontId="3" type="noConversion"/>
  </si>
  <si>
    <t>最近4个季度数据差错金额绝对值之和</t>
    <phoneticPr fontId="3" type="noConversion"/>
  </si>
  <si>
    <t>具有三年以上工作经验的人员占比</t>
    <phoneticPr fontId="3" type="noConversion"/>
  </si>
  <si>
    <t>被1-5家主流媒体报道的标题</t>
    <phoneticPr fontId="3" type="noConversion"/>
  </si>
  <si>
    <t>被6-10家主流媒体报道的次数</t>
    <phoneticPr fontId="3" type="noConversion"/>
  </si>
  <si>
    <t>被6-10家主流媒体报道的标题</t>
    <phoneticPr fontId="3" type="noConversion"/>
  </si>
  <si>
    <t>被10家以上主流媒体报道的标题</t>
    <phoneticPr fontId="3" type="noConversion"/>
  </si>
  <si>
    <t>进行了负面舆情处置的报道的标题</t>
    <phoneticPr fontId="3" type="noConversion"/>
  </si>
  <si>
    <t>评估期保险公司关于理赔、保全业务线的投诉次数</t>
    <phoneticPr fontId="12" type="noConversion"/>
  </si>
  <si>
    <t>总公司客服部</t>
    <phoneticPr fontId="3" type="noConversion"/>
  </si>
  <si>
    <t>总公司法律合规部</t>
  </si>
  <si>
    <t>总公司信息技术部</t>
  </si>
  <si>
    <t>总公司财务部</t>
  </si>
  <si>
    <t>总公司投资部</t>
  </si>
  <si>
    <t>总公司精算部</t>
  </si>
  <si>
    <t>总公司产品市场部</t>
  </si>
  <si>
    <t>审计报告</t>
  </si>
  <si>
    <t>投资部人员JD</t>
  </si>
  <si>
    <t>绩效合约</t>
  </si>
  <si>
    <t>再保账单、再保公司付款确认</t>
  </si>
  <si>
    <t>数据校验底稿</t>
  </si>
  <si>
    <t>准备金文件备份</t>
  </si>
  <si>
    <t>各相关报告</t>
  </si>
  <si>
    <t>上面没有扣分的话，此处不计分</t>
    <phoneticPr fontId="3" type="noConversion"/>
  </si>
  <si>
    <t>咨诉系统</t>
  </si>
  <si>
    <t>HR的人力编制</t>
  </si>
  <si>
    <t>协同业务系统</t>
  </si>
  <si>
    <t>HR人力编制</t>
  </si>
  <si>
    <t>理赔系统</t>
  </si>
  <si>
    <t>保全系统</t>
  </si>
  <si>
    <t>是</t>
  </si>
  <si>
    <t>总分</t>
    <phoneticPr fontId="12" type="noConversion"/>
  </si>
  <si>
    <t>总分</t>
    <phoneticPr fontId="12" type="noConversion"/>
  </si>
  <si>
    <t>总分</t>
    <phoneticPr fontId="3" type="noConversion"/>
  </si>
  <si>
    <t>总分</t>
    <phoneticPr fontId="3" type="noConversion"/>
  </si>
  <si>
    <t>行业水平评分</t>
    <phoneticPr fontId="12" type="noConversion"/>
  </si>
  <si>
    <t>直接评分</t>
    <phoneticPr fontId="12" type="noConversion"/>
  </si>
  <si>
    <t>直接评分</t>
    <phoneticPr fontId="12" type="noConversion"/>
  </si>
  <si>
    <t>直接评分</t>
  </si>
  <si>
    <t>行业水平评分</t>
  </si>
  <si>
    <t>直接评分</t>
    <phoneticPr fontId="3" type="noConversion"/>
  </si>
  <si>
    <t>上面没有扣分的话，此处不计分</t>
    <phoneticPr fontId="3" type="noConversion"/>
  </si>
  <si>
    <t>评估期末，核保人员中具有三年以上核保工作经验的人员占比。</t>
  </si>
  <si>
    <t>设行业平均水平为θ，评分为：
x&lt;0.85∙θ，0分；
0.85∙θ≤x&lt;1.25∙θ，2分；
1.25∙θ≤x&lt;1.5∙θ，4分；
1.5∙θ≤x，6分。</t>
  </si>
  <si>
    <t>评估期末，销售人员中大专以上学历人员占比。</t>
  </si>
  <si>
    <t>发现一次，扣0.5分，扣完为止</t>
  </si>
  <si>
    <t>发现一次，扣0.5分，扣完为止。</t>
  </si>
  <si>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</si>
  <si>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</si>
  <si>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评估期内发现公司内勤员工或销售人员组织参与非法集资的案件数量。评估期为评估时点之前12个月。</t>
  </si>
  <si>
    <t>评估期内发现发现公司内勤员工或销售人员通过盗用、伪造印鉴和保单等手段进行诈骗的案件数量。                                                         
评估期为评估时点之前12个月。</t>
  </si>
  <si>
    <t>评估期内发现公司销售人员侵占、挪用保费的案件数量。                               评估期为评估时点之前12个月。</t>
  </si>
  <si>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</si>
  <si>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</si>
  <si>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</si>
  <si>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</si>
  <si>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系统故障导致无法出单，系统故障导致保单信息缺失和错误，系统故障导致业务系统与财务系统未实现无缝对接。</t>
  </si>
  <si>
    <t>每出现一次系统故障，扣1分。合计扣分不超过5分</t>
  </si>
  <si>
    <t>设行业平均水平为θ，评分为：
x&lt;0.85∙θ，4分；
0.85∙θ≤x&lt;1.25∙θ，6分；
1.25∙θ≤x&lt;1.5∙θ，8分；
1.5∙θ≤x，10分。</t>
  </si>
  <si>
    <t>评估期内作出核定结果的全部索赔申请从保险公司接到报案到通知被保险人或受益人核定结果的平均天数。                                       评估期为评估时点之前3个月。</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</si>
  <si>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</si>
  <si>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</si>
  <si>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</si>
  <si>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评估期内处理完毕的全部保全申请，从保险公司接到保全申请到处理完毕的平均天数。                 
评估期为评估时点之前3个月。</t>
  </si>
  <si>
    <t>设行业平均水平为θ天，如果7≤θ，则评分为：
x≤7，10分；
7&lt;x≤13，4分；
13&lt;x，0分；
如果θ&lt;7，则评分为：
x≤θ，10分；
θ&lt;x≤7，7分；
7&lt;x≤13，4分；
13&lt;x，0分。</t>
  </si>
  <si>
    <t>评估期内保险公司受理的投诉自受理之日到向投诉人做出明确答复的时间。                                          
评估期为评估时点之前3个月。</t>
  </si>
  <si>
    <t>设行业平均水平为θ天，如果10≤θ，则评分为：
x≤10，7分；
10&lt;x≤15，3分；
15&lt;x，0分；
如果θ&lt;10，则评分为：
x≤θ，7分；
θ&lt;x≤10，5分；
10&lt;x≤15，3分；
15&lt;x，0分。</t>
  </si>
  <si>
    <t>评估期内发现保全或理赔工作人员侵占、挪用保费或保险金的案件数量。                                            
评估期为评估时点之前12个月。</t>
  </si>
  <si>
    <t>评估期内系统故障导致无法进行理赔、保全操作，或者导致理赔、保全数据遗失。                            
评估期为评估时点之前12个月</t>
  </si>
  <si>
    <t>发现一次，扣1分，扣完为止。</t>
  </si>
  <si>
    <t>评估期内发现系统存在管控漏洞，导致理赔、保全操作出现违法违规问题。                                       
评估期为评估时点之前12个月</t>
  </si>
  <si>
    <t>每发生一件，扣0.5分；每败诉一件，扣1分，最多扣至0分。评估期内发生且败诉，扣1分</t>
  </si>
  <si>
    <t>评估期内保险公司因理赔、保全业务引发的群体性事件数量。       评估期为评估时点之前12个月。</t>
  </si>
  <si>
    <t>每发生一件，扣1分，最多扣至0分。</t>
  </si>
  <si>
    <t>具有7年以上从业经验的，得2分；5年以上得1分；否则，得0分。</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</si>
  <si>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</si>
  <si>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</si>
  <si>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</si>
  <si>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</si>
  <si>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</si>
  <si>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</si>
  <si>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资金运用风险管理人员数量与投研人员数量的比例在1/4以上得1分；其他得0分。</t>
  </si>
  <si>
    <t>资产管理部门人员流失率＝最近4个季度内离职的部门人员数量÷（前4个季度初的部门人员数量+最近4个季度增加的部门人员数量）×100％</t>
  </si>
  <si>
    <t>资产管理部门人员流失率小于20％的，得2分；小于30％的，得1分；超过30％的，得0分。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</si>
  <si>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</si>
  <si>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</si>
  <si>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</si>
  <si>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</si>
  <si>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</si>
  <si>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</si>
  <si>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</si>
  <si>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</si>
  <si>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</si>
  <si>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</si>
  <si>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</si>
  <si>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</si>
  <si>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</si>
  <si>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</si>
  <si>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</si>
  <si>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</si>
  <si>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</si>
  <si>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</si>
  <si>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</si>
  <si>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</si>
  <si>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</si>
  <si>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</si>
  <si>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</si>
  <si>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</si>
  <si>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</si>
  <si>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</si>
  <si>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</si>
  <si>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</si>
  <si>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</si>
  <si>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</si>
  <si>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</si>
  <si>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</si>
  <si>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</si>
  <si>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</si>
  <si>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</si>
  <si>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</si>
  <si>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</si>
  <si>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</si>
  <si>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</si>
  <si>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</si>
  <si>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</si>
  <si>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</si>
  <si>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</si>
  <si>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</si>
  <si>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</si>
  <si>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</si>
  <si>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</si>
  <si>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</si>
  <si>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</si>
  <si>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</si>
  <si>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</si>
  <si>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</si>
  <si>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</si>
  <si>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</si>
  <si>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</si>
  <si>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</si>
  <si>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</si>
  <si>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</si>
  <si>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</si>
  <si>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财会部门主要负责人专业性指财会部门主要负责人具有财务、会计类学历专业背景；且具有金融机构财务会计工作3年以上从业经验。
财会部门是指履行《保险公司财会工作规范》第七条规定职责的相关部门。（下同）</t>
  </si>
  <si>
    <t>财会部门人数指保险公司总公司财会部门的人员数量。</t>
  </si>
  <si>
    <t>财会部门人员流失率＝最近4个季度内离职的财会人员数量÷（前4个季度初的财会人员数量+最近4个季度增加的财会人员数量）×100％；
财会部门人员指总公司财会部门的人员。</t>
  </si>
  <si>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</si>
  <si>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</si>
  <si>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业绩考核指公司有明确的制度规定总公司财会部门负责人和分支机构财会部门负责人的业绩考核应与财务管理相关操作风险相挂钩。</t>
  </si>
  <si>
    <t>总公司财会部门负责人和分支机构财会部门负责人的业绩考核与相关操作风险相挂钩的，得4分；否则，得0分</t>
  </si>
  <si>
    <t>操作风险数据库指保险公司建立的财务管理操作风险数据库及时记录会计核算、财务报告、资金管理、单证管理、印章管理、税收管理的操作风险事件。</t>
  </si>
  <si>
    <t>建立财务管理操作风险数据库且如实记录操作风险事件的，得5分，否则得0分。</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</si>
  <si>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</si>
  <si>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</si>
  <si>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</si>
  <si>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</si>
  <si>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</si>
  <si>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 xml:space="preserve"> 符合要求的，得1分；否则，得0分。</t>
  </si>
  <si>
    <t>偿付能力报告差错量指保险公司向保监会报送偿付能力报告出现错报、漏报、未按时报送等差错的次数。</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</si>
  <si>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</si>
  <si>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</si>
  <si>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</si>
  <si>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</si>
  <si>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</si>
  <si>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</si>
  <si>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单证管理指单证的领用、核销等有专门内控程序和专人负责。单证是指保险公司财会部门负责管理的有价单证，如发票、银行票据等（下同）。</t>
  </si>
  <si>
    <t>单证的领用、核销有专门内控程序和专人负责的，得1分；否则，得0分。</t>
  </si>
  <si>
    <t>空白单证缺失率＝最近4个季度内已发放空白单证缺失的数量÷最近4个季度内空白单证发放的数量×100％。</t>
  </si>
  <si>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</si>
  <si>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</si>
  <si>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</si>
  <si>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</si>
  <si>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</si>
  <si>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</si>
  <si>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</si>
  <si>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</si>
  <si>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</si>
  <si>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</si>
  <si>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</si>
  <si>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</si>
  <si>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</si>
  <si>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</si>
  <si>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</si>
  <si>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</si>
  <si>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</si>
  <si>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</si>
  <si>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评估期末，公司从事寿险准备金评估工作的精算人员中具有三年以上寿险精算工作经验的人员占比。</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</si>
  <si>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</si>
  <si>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</si>
  <si>
    <t>设行业平均水平为θ，评分为：x&lt;0.5∙θ，1分；0.5∙θ≤x&lt;0.85∙θ，3分；0.85∙θ≤x&lt;1.25∙θ，5分；1.25∙θ≤x&lt;1.5∙θ，7分；1.5∙θ≤x，9分。</t>
  </si>
  <si>
    <t>过去2年公司总精算师（包括精算临时负责人）的变更次数。</t>
  </si>
  <si>
    <t>大于2次，得0分；等于2次，得1分；等于1次，得5分；等于0次，得9分。</t>
  </si>
  <si>
    <t>公司从事再保险管理工作的人员中具有三年以上相关工作经验的人员占比。再保险管理相关工作经验是指再保险合同签订和管理等工作。</t>
  </si>
  <si>
    <t>设行业平均水平为θ，评分为：x&lt;0.85∙θ，3分；0.85∙θ≤x&lt;1.25∙θ，5分；1.25∙θ≤x&lt;1.5∙θ，7分；1.5∙θ≤x，9分。</t>
  </si>
  <si>
    <t>过去12个月因再保险合同内容出现遗漏或错误导致公司经济损失。</t>
  </si>
  <si>
    <t>每出现一次，扣2分，扣完为止。</t>
  </si>
  <si>
    <t>过去12个月直保公司在分出业务时计算分出保费、再保险费、摊回赔款、摊回手续费和摊回费用等业务数据时出现计算错误，或者财务系统中记录的上述再保险业务数据出现差错。</t>
  </si>
  <si>
    <t>过去12个月准备金评估所使用的基础数据与核心业务系统中的数据存在偏差。</t>
  </si>
  <si>
    <t>过去12个月精算软件或EXCEL软件中用于准备金评估的模型设置存在错误，或者用于准备金评估的方法不符合监管规定。</t>
  </si>
  <si>
    <t>过去12个月精算报告、偿付能力报告等监管报告中存在数据错误、遗漏。</t>
  </si>
  <si>
    <t>过去12个月用于准备金评估的数据库系统、精算软件发生故障的次数。</t>
  </si>
  <si>
    <t>过去12个月保险公司与再保险公司发生合同纠纷的次数。</t>
  </si>
  <si>
    <t>未受到该类行政处罚的，扣0分。受到该类行政处罚的，扣5分。</t>
  </si>
  <si>
    <t>未设置合规管理部门，扣10分。
未按照规定制定合规管理政策，扣5分。
未制定员工行为准则等落实合规政策的文件，扣5分。
未定期开展合规培训，扣5分。
未按时提交年度合规报告，扣5分。</t>
  </si>
  <si>
    <t>警告，或者罚款和没收违法所得累计金额30万元以下的次数</t>
    <phoneticPr fontId="3" type="noConversion"/>
  </si>
  <si>
    <t>罚款和没收违法所得累计金额30万元以上100万元以下的次数</t>
    <phoneticPr fontId="3" type="noConversion"/>
  </si>
  <si>
    <t>罚款和没收违法所得累计金额100万元以上的次数</t>
    <phoneticPr fontId="3" type="noConversion"/>
  </si>
  <si>
    <t>董事长、总经理被处以罚款的次数</t>
    <phoneticPr fontId="3" type="noConversion"/>
  </si>
  <si>
    <t>董事长、总经理以外的其他董事、高级管理人员被撤销任职资格或者禁止进入保险业的次数</t>
    <phoneticPr fontId="3" type="noConversion"/>
  </si>
  <si>
    <t>每家分支机构受罚款金额</t>
    <phoneticPr fontId="3" type="noConversion"/>
  </si>
  <si>
    <t>评估期内各分支机构罚款总额</t>
    <phoneticPr fontId="3" type="noConversion"/>
  </si>
  <si>
    <t>总公司当期保险类行政处罚情况</t>
    <phoneticPr fontId="3" type="noConversion"/>
  </si>
  <si>
    <t>评估期内受处罚的分支机构总家次</t>
    <phoneticPr fontId="3" type="noConversion"/>
  </si>
  <si>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</si>
  <si>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</si>
  <si>
    <t>总公司在上一评估期内受到行政处罚的，扣5分。</t>
  </si>
  <si>
    <t>总公司保险类既往行政处罚情况</t>
    <phoneticPr fontId="3" type="noConversion"/>
  </si>
  <si>
    <t>特殊评价</t>
    <phoneticPr fontId="3" type="noConversion"/>
  </si>
  <si>
    <t>（100）</t>
    <phoneticPr fontId="3" type="noConversion"/>
  </si>
  <si>
    <t>“公开回应”是指保险公司通过官方微博、微信公众号、官方网站等平台以及接受媒体采访、电话问询或撰写署名文章等方式主动澄清和回应涉及本单位的负面报道。</t>
  </si>
  <si>
    <t>评估期内总公司（不包括责任人员）因违反反洗钱、反垄断或者其他金融监管规定，受到人民银行、发改委等单位或者其他金融监管部门的行政处罚。</t>
    <phoneticPr fontId="3" type="noConversion"/>
  </si>
  <si>
    <t>根据保险公司总公司执行保监会合规监管要求的情况，评价保险公司的合规管理。</t>
    <phoneticPr fontId="3" type="noConversion"/>
  </si>
  <si>
    <t>评估期内保险公司总公司及其责任人员受到严重处罚，对公司的合规风险产生重大影响，则直接扣除该保险公司合规风险100分。</t>
    <phoneticPr fontId="3" type="noConversion"/>
  </si>
  <si>
    <t>有下列情形之一的，扣100分：
1.总公司被限制业务范围、责令停止接受新业务、责令停业整顿、吊销业务许可证的；
2.总公司董事长、总经理被撤销任职资格或者禁止进入保险业的。</t>
    <phoneticPr fontId="3" type="noConversion"/>
  </si>
  <si>
    <t>“负面舆情”指在评估期内，社会公众对保险市场、保险经营所持有的负面态度、意见。“主要媒体”为国家网信办公布的“可供网站转载新闻的新闻单位名单”，包括原创和转载报道，不包括监管行政处罚类报道。失实报道以主要媒体是否进行更正为判定标准，不做扣分处理。</t>
    <phoneticPr fontId="3" type="noConversion"/>
  </si>
  <si>
    <t>统计期间</t>
    <phoneticPr fontId="3" type="noConversion"/>
  </si>
  <si>
    <t>指标说明</t>
    <phoneticPr fontId="3" type="noConversion"/>
  </si>
  <si>
    <t>评分规则</t>
    <phoneticPr fontId="3" type="noConversion"/>
  </si>
  <si>
    <t>评估期内</t>
  </si>
  <si>
    <t>评估期内</t>
    <phoneticPr fontId="12" type="noConversion"/>
  </si>
  <si>
    <t>评估期末时点</t>
  </si>
  <si>
    <t>评估期末时点</t>
    <phoneticPr fontId="12" type="noConversion"/>
  </si>
  <si>
    <t>评估期末</t>
    <phoneticPr fontId="12" type="noConversion"/>
  </si>
  <si>
    <t>4个季度</t>
  </si>
  <si>
    <t>4个季度</t>
    <phoneticPr fontId="3" type="noConversion"/>
  </si>
  <si>
    <t>评估期末时点</t>
    <phoneticPr fontId="3" type="noConversion"/>
  </si>
  <si>
    <t>评估期末时点</t>
    <phoneticPr fontId="3" type="noConversion"/>
  </si>
  <si>
    <t>2年</t>
    <phoneticPr fontId="3" type="noConversion"/>
  </si>
  <si>
    <t>12个月</t>
    <phoneticPr fontId="3" type="noConversion"/>
  </si>
  <si>
    <t>评估期内</t>
    <phoneticPr fontId="3" type="noConversion"/>
  </si>
  <si>
    <t>评估期内</t>
    <phoneticPr fontId="3" type="noConversion"/>
  </si>
  <si>
    <t>上一评估期</t>
    <phoneticPr fontId="3" type="noConversion"/>
  </si>
  <si>
    <t>总分</t>
    <phoneticPr fontId="3" type="noConversion"/>
  </si>
  <si>
    <t>4个季度</t>
    <phoneticPr fontId="3" type="noConversion"/>
  </si>
  <si>
    <t>评价项目</t>
    <phoneticPr fontId="3" type="noConversion"/>
  </si>
  <si>
    <t>分值</t>
  </si>
  <si>
    <t>指标说明</t>
    <phoneticPr fontId="23" type="noConversion"/>
  </si>
  <si>
    <t>评价标准</t>
    <phoneticPr fontId="3" type="noConversion"/>
  </si>
  <si>
    <t>报告期的实际净现金流</t>
    <phoneticPr fontId="3" type="noConversion"/>
  </si>
  <si>
    <t>保险公司报告期的净现金流量。</t>
    <phoneticPr fontId="23" type="noConversion"/>
  </si>
  <si>
    <t>净现金流量小于0，得0分；净现金流量大于等于0，得10分。</t>
  </si>
  <si>
    <t>在基本情景下未来预计净现金流</t>
    <phoneticPr fontId="3" type="noConversion"/>
  </si>
  <si>
    <t>保险公司在基本情景下未来一段期间内的净现金流量。</t>
    <phoneticPr fontId="3" type="noConversion"/>
  </si>
  <si>
    <t>（1）财产险公司和再保险公司，未来1季度、未来2季度、未来3季度、未来4季度的净现金流量每项小于0的，该项得0分；净现金流量每项大于等于0的，该项得2.5分。
（2）人身险公司，现金流测试范围为公司整体，未来1季度、未来2季度、未来3季度、未来4季度、报告日后第2年、报告日后第3年的净现金流量每项小于0的，该项得0分；未来1季度、未来2季度、未来3季度、未来4季度的净现金流量每项大于等于0的，该项得2分；报告日后第2年、报告日后第3年的净现金流量每项大于等于0的，该项得1分。</t>
  </si>
  <si>
    <t>保险公司在压力情景下未来一段时间内的净现金流量。</t>
    <phoneticPr fontId="3" type="noConversion"/>
  </si>
  <si>
    <t>（1）财产险公司和再保险公司，必测压力情景一、必测压力情景二下的未来1季度、未来2季度、未来3季度、未来4季度的净现金流量每项小于0的，该项得0分；净现金流量每项大于等于0的，该项得1.25分。
（2）人身险公司，现金流测试范围为公司整体，必测压力情景一、必测压力情景二下的未来1季度、未来2季度、未来3季度、未来4季度、报告日后第2年、报告日后第3年的净现金流量每项小于0的，该项得0分；必测压力情景一、必测压力情景二下的未来1季度、未来2季度、未来3季度、未来4季度的净现金流量每项大于等于0的，该项得1分；报告日后第2年、报告日后第3年的净现金流量每项大于等于0的，该项得0.5分。</t>
  </si>
  <si>
    <t>综合流动比率</t>
    <phoneticPr fontId="3"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</si>
  <si>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23" type="noConversion"/>
  </si>
  <si>
    <t>未来1季度</t>
  </si>
  <si>
    <t>未来2季度</t>
  </si>
  <si>
    <t>未来3季度</t>
  </si>
  <si>
    <t>未来4季度</t>
  </si>
  <si>
    <t>报告日后第2年</t>
  </si>
  <si>
    <t>报告日后第3年</t>
  </si>
  <si>
    <t>必测压力情景1
净现金流量</t>
    <phoneticPr fontId="3" type="noConversion"/>
  </si>
  <si>
    <t>3个月内</t>
    <phoneticPr fontId="3" type="noConversion"/>
  </si>
  <si>
    <t>1年内</t>
    <phoneticPr fontId="3" type="noConversion"/>
  </si>
  <si>
    <t>将全部n家公司的销售人员责任追究指标按从小到大排序，根据排名Ri进行赋分，其中
1≤Ri&lt;[0.25∙n]，8分；
[0.25∙n]≤Ri&lt;[0.5∙n]，6分；
[0.5∙n]≤Ri&lt;[0.75∙n]，3分；
[0.75∙n]≤Ri&lt;n，0分。</t>
    <phoneticPr fontId="12" type="noConversion"/>
  </si>
  <si>
    <t>每发现一次，扣2分，扣完为止。</t>
    <phoneticPr fontId="3" type="noConversion"/>
  </si>
  <si>
    <t>每发现一次，扣3分，扣完为止。</t>
    <phoneticPr fontId="3" type="noConversion"/>
  </si>
  <si>
    <t>将全部n家公司各自接到的投诉占比指标按从小到大排序，根据排名Ri进行赋分，其中：
1≤Ri&lt;[0.2∙n]，10分；
[0.2∙n]≤Ri&lt;[0.4∙n]，7分；
[0.4∙n]≤Ri&lt;[0.6∙n]，5分；
[0.6∙n]≤Ri&lt;[0.8∙n]，3分；
[0.8∙n]≤Ri&lt;n，0分。</t>
    <phoneticPr fontId="12" type="noConversion"/>
  </si>
  <si>
    <t>将全部n家公司各自接到的投诉占比指标按从小到大排序，根据排名Ri进行赋分，其中：
1≤Ri&lt;[0.2∙n]，11分；
[0.2∙n]≤Ri&lt;[0.4∙n]，9分；
[0.4∙n]≤Ri&lt;[0.6∙n]，6分；
[0.6∙n]≤Ri&lt;[0.8∙n]，3分；
[0.8∙n]≤Ri&lt;n，0分。</t>
    <phoneticPr fontId="12" type="noConversion"/>
  </si>
  <si>
    <t>上一评估期内，总公司受到保险行政处罚的递延影响。</t>
    <phoneticPr fontId="3" type="noConversion"/>
  </si>
  <si>
    <t>1年至3年内</t>
    <phoneticPr fontId="3" type="noConversion"/>
  </si>
  <si>
    <t>3年至5年内</t>
    <phoneticPr fontId="3" type="noConversion"/>
  </si>
  <si>
    <t>5年以上</t>
    <phoneticPr fontId="3" type="noConversion"/>
  </si>
  <si>
    <t>流动性覆盖率反映保险公司在压力情景下未来一个季度的流动性水平，压力情景由保监会另行制定。
流动性覆盖率＝优质流动资产的期末账面价值/未来一个季度的净现金流*100%</t>
  </si>
  <si>
    <t>公司整体</t>
    <phoneticPr fontId="3" type="noConversion"/>
  </si>
  <si>
    <t>压力情景一下流动性覆盖率</t>
    <phoneticPr fontId="3" type="noConversion"/>
  </si>
  <si>
    <t>独立账户</t>
    <phoneticPr fontId="3" type="noConversion"/>
  </si>
  <si>
    <t>压力情景二下流动性覆盖率</t>
    <phoneticPr fontId="3" type="noConversion"/>
  </si>
  <si>
    <t>12个月</t>
    <phoneticPr fontId="12" type="noConversion"/>
  </si>
  <si>
    <t>必测压力情景2
净现金流量</t>
    <phoneticPr fontId="3" type="noConversion"/>
  </si>
  <si>
    <t>12个月</t>
    <phoneticPr fontId="12" type="noConversion"/>
  </si>
  <si>
    <t>总公司人力资源部</t>
    <phoneticPr fontId="3" type="noConversion"/>
  </si>
  <si>
    <t>总公司法律合规部</t>
    <phoneticPr fontId="3" type="noConversion"/>
  </si>
  <si>
    <t>总公司各个渠道</t>
    <phoneticPr fontId="3" type="noConversion"/>
  </si>
  <si>
    <t>总公司信息技术部</t>
    <phoneticPr fontId="3" type="noConversion"/>
  </si>
  <si>
    <t>流动性覆盖率的测试范围为公司整体和独立账户，压力情景分为压力情景一和压力情景二。压力情景一下公司整体流动性覆盖率、压力情景一下独立账户流动性覆盖率、压力情景二下公司整体流动性覆盖率、压力情景二下独立账户流动性覆盖率，每项满足：
流动性覆盖率≥2,得7.5分；1≤流动性覆盖率&lt;2，得6.25分；
0.8≤流动性覆盖率&lt;1，得3.75分；0.5≤流动性覆盖率&lt;0.8，得1.25分；流动性覆盖率&lt;0.5，得0分。</t>
    <phoneticPr fontId="3" type="noConversion"/>
  </si>
  <si>
    <t>总得分</t>
    <phoneticPr fontId="3" type="noConversion"/>
  </si>
  <si>
    <t>扣分</t>
    <phoneticPr fontId="3" type="noConversion"/>
  </si>
  <si>
    <t>百分制后</t>
    <phoneticPr fontId="3" type="noConversion"/>
  </si>
  <si>
    <t>对IRR总分影响</t>
    <phoneticPr fontId="3" type="noConversion"/>
  </si>
  <si>
    <t>行业水平确定可得</t>
    <phoneticPr fontId="12" type="noConversion"/>
  </si>
  <si>
    <t>监管评分</t>
    <phoneticPr fontId="12" type="noConversion"/>
  </si>
  <si>
    <t>行业评分无法确定</t>
    <phoneticPr fontId="12" type="noConversion"/>
  </si>
  <si>
    <t>扣分项</t>
    <phoneticPr fontId="12" type="noConversion"/>
  </si>
  <si>
    <t>扣分项</t>
    <phoneticPr fontId="3" type="noConversion"/>
  </si>
  <si>
    <t>设行业平均水平为θ，评分为：
x&lt;0.85∙θ，4分；
0.85∙θ≤x&lt;1.25∙θ，5分；
1.25∙θ≤x&lt;1.5∙θ，6分；
1.5∙θ≤x，7分。</t>
    <phoneticPr fontId="12" type="noConversion"/>
  </si>
  <si>
    <t xml:space="preserve">将全部n家公司的客户信息真实性比例按从小到大排序，根据排名Ri进行赋分，其中
1≤Ri&lt;[0.25∙n]，7分；
[0.25∙n]≤Ri&lt;[0.5∙n]，5分；
[0.5∙n]≤Ri&lt;[0.75∙n]，3分；
[0.75∙n]≤Ri≤n，1分；
</t>
    <phoneticPr fontId="12" type="noConversion"/>
  </si>
  <si>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12" type="noConversion"/>
  </si>
  <si>
    <t>3个月</t>
    <phoneticPr fontId="3" type="noConversion"/>
  </si>
  <si>
    <t>将全部n家公司的销售人员离职率按从小到大排序，根据排名Ri进行赋分，其中
1≤Ri&lt;[0.25∙n]，9分；
[0.25∙n]≤Ri&lt;[0.5∙n]，6分；
[0.5∙n]≤Ri&lt;[0.75∙n]，3分；
[0.75∙n]≤Ri≤n，0分。</t>
    <phoneticPr fontId="12"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</si>
  <si>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12" type="noConversion"/>
  </si>
  <si>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12" type="noConversion"/>
  </si>
  <si>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3" type="noConversion"/>
  </si>
  <si>
    <t>数据差错率＝数据差错金额绝对值之和/当期保费收入
数据差错金额指最近4个季度内保险公司财务系统与业务、再保、精算等系统之间出现数据差错的金额。</t>
    <phoneticPr fontId="3" type="noConversion"/>
  </si>
  <si>
    <t>评估时点之前12个月发现产品说明会销售误导事件的次数</t>
  </si>
  <si>
    <t>评估时点之前12个月发现组织参与非法集资事件的次数</t>
  </si>
  <si>
    <t>评估时点之前12个月发现通过盗用、伪造印鉴和保单进行诈骗的次数</t>
  </si>
  <si>
    <t>评估时点之前12个月发现侵占、挪用保费事件的次数</t>
  </si>
  <si>
    <t>评估时点之前12个月发现侵占、挪用保费或保险金的次数</t>
  </si>
  <si>
    <t>评估时点之前12个月系统发生故障次数</t>
  </si>
  <si>
    <t>评估时点之前12个月发现系统管控漏洞的次数</t>
  </si>
  <si>
    <t>评估时点之前12个月理赔、保全业务引发的群体性事件的数量</t>
  </si>
  <si>
    <t>具有三年以上工作经验的人员占比</t>
  </si>
  <si>
    <t>检查发现再保险业务数据出现差错次数</t>
  </si>
  <si>
    <t>检查发现准备金评估数据存在偏差次数</t>
  </si>
  <si>
    <t>检查发现准备金评估模型错误次数</t>
  </si>
  <si>
    <t>检查发现监管报告错误次数</t>
  </si>
  <si>
    <t>检查发现的合同纠纷次数</t>
  </si>
  <si>
    <t>被1-5家主流媒体报道的标题</t>
    <phoneticPr fontId="3" type="noConversion"/>
  </si>
  <si>
    <t>被6-10家主流媒体报道的标题</t>
    <phoneticPr fontId="3" type="noConversion"/>
  </si>
  <si>
    <t>被10家以上主流媒体报道的标题</t>
    <phoneticPr fontId="3" type="noConversion"/>
  </si>
  <si>
    <t>进行了负面舆情处置的报道的标题</t>
    <phoneticPr fontId="3"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</si>
  <si>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12" type="noConversion"/>
  </si>
  <si>
    <t>指标类别</t>
    <phoneticPr fontId="3" type="noConversion"/>
  </si>
  <si>
    <t>分值</t>
    <phoneticPr fontId="3" type="noConversion"/>
  </si>
  <si>
    <t>附件1</t>
    <phoneticPr fontId="3" type="noConversion"/>
  </si>
  <si>
    <t>保险法人机构公司治理自评表</t>
    <phoneticPr fontId="3" type="noConversion"/>
  </si>
  <si>
    <t>指标事项</t>
  </si>
  <si>
    <t>指标说明</t>
  </si>
  <si>
    <t>自我评价</t>
    <phoneticPr fontId="3" type="noConversion"/>
  </si>
  <si>
    <t>得分</t>
    <phoneticPr fontId="3" type="noConversion"/>
  </si>
  <si>
    <t>职责边界</t>
  </si>
  <si>
    <t>股东（大）会、董事会和管理层职责</t>
  </si>
  <si>
    <t>股东（大）会、董事会和管理层的职责清晰</t>
    <phoneticPr fontId="3" type="noConversion"/>
  </si>
  <si>
    <t>是</t>
    <phoneticPr fontId="3" type="noConversion"/>
  </si>
  <si>
    <t>主要负责人权力制衡</t>
  </si>
  <si>
    <t>对主要负责人的授权明确</t>
    <phoneticPr fontId="3" type="noConversion"/>
  </si>
  <si>
    <t>对主要负责人的授权不过于集中</t>
    <phoneticPr fontId="3" type="noConversion"/>
  </si>
  <si>
    <t>内部授权体系</t>
  </si>
  <si>
    <t>重大决策有明确标准</t>
    <phoneticPr fontId="3" type="noConversion"/>
  </si>
  <si>
    <t>有明确的重大决策审议程序并实际执行</t>
    <phoneticPr fontId="3" type="noConversion"/>
  </si>
  <si>
    <t>部门设置及部门职责分工制度</t>
  </si>
  <si>
    <t>有明确制度界定各部门职责分工</t>
    <phoneticPr fontId="3" type="noConversion"/>
  </si>
  <si>
    <t>对分支机构授权</t>
  </si>
  <si>
    <t>公司的IT系统能对分支机构的财务、业务进行有效的监控</t>
    <phoneticPr fontId="3" type="noConversion"/>
  </si>
  <si>
    <t>胜任能力</t>
  </si>
  <si>
    <t>主要股东持续出资能力及股权结构稳定性</t>
  </si>
  <si>
    <t>主要股东在过去三年未连续亏损</t>
    <phoneticPr fontId="3" type="noConversion"/>
  </si>
  <si>
    <t>主要股东未频繁变更</t>
    <phoneticPr fontId="3" type="noConversion"/>
  </si>
  <si>
    <t>董事专业能力及董事会专业结构</t>
  </si>
  <si>
    <t>董事的能力和经验胜任</t>
    <phoneticPr fontId="3" type="noConversion"/>
  </si>
  <si>
    <t>董事会的专业结构合理</t>
    <phoneticPr fontId="3" type="noConversion"/>
  </si>
  <si>
    <t>监事会专业结构</t>
  </si>
  <si>
    <t>监事会的专业结构合理</t>
    <phoneticPr fontId="3" type="noConversion"/>
  </si>
  <si>
    <t>不适用</t>
    <phoneticPr fontId="3" type="noConversion"/>
  </si>
  <si>
    <t>管理层成员专业结构及配合能力</t>
    <phoneticPr fontId="3" type="noConversion"/>
  </si>
  <si>
    <t>管理层成员的经验和管理能力胜任</t>
    <phoneticPr fontId="3" type="noConversion"/>
  </si>
  <si>
    <t>管理层成员专业结构合理、团队配合协调</t>
    <phoneticPr fontId="3" type="noConversion"/>
  </si>
  <si>
    <t>董事、监事及高管人员培训</t>
  </si>
  <si>
    <t>建立了董事、监事和高管人员培训制度并严格执行</t>
    <phoneticPr fontId="3" type="noConversion"/>
  </si>
  <si>
    <t>否</t>
    <phoneticPr fontId="3" type="noConversion"/>
  </si>
  <si>
    <t>董事会及管理层稳定性</t>
  </si>
  <si>
    <t>董事会及管理层成员未频繁变动</t>
    <phoneticPr fontId="3" type="noConversion"/>
  </si>
  <si>
    <t>不存在董事长、总经理或关键岗位长期空缺的情况</t>
    <phoneticPr fontId="3" type="noConversion"/>
  </si>
  <si>
    <t>运行控制</t>
  </si>
  <si>
    <t>股东对公司业务和管理信息的获取及熟悉程度</t>
  </si>
  <si>
    <t>定期充分公平地向股东报送或披露公司业务、财务和管理信息</t>
    <phoneticPr fontId="3" type="noConversion"/>
  </si>
  <si>
    <t>及时充分地向股东披露公司重大事项</t>
    <phoneticPr fontId="3" type="noConversion"/>
  </si>
  <si>
    <t>董事对公司财务、业务和管理信息的获取及熟悉程度</t>
  </si>
  <si>
    <t>定期向董事报送公司业务、财务和管理信息</t>
    <phoneticPr fontId="3" type="noConversion"/>
  </si>
  <si>
    <t>对公司会计政策进行讨论，包括会计政策的合规性以及是否真实公允反映公司财务状况和经营成果等</t>
    <phoneticPr fontId="3" type="noConversion"/>
  </si>
  <si>
    <t>董事对公司重大事项知情</t>
    <phoneticPr fontId="3" type="noConversion"/>
  </si>
  <si>
    <t>运行控制</t>
    <phoneticPr fontId="3" type="noConversion"/>
  </si>
  <si>
    <t>董事会会议发言及表决情况</t>
  </si>
  <si>
    <t>董事会会议对议案进行详细说明</t>
    <phoneticPr fontId="3" type="noConversion"/>
  </si>
  <si>
    <t>董事相互尊重，积极充分地讨论议案</t>
    <phoneticPr fontId="3" type="noConversion"/>
  </si>
  <si>
    <t>董事积极发言并提出有价值的专业性意见或建议</t>
    <phoneticPr fontId="3" type="noConversion"/>
  </si>
  <si>
    <t>董事会对公司战略目标和业务计划执行情况的定期审查</t>
  </si>
  <si>
    <t>董事会制定清晰的公司战略目标并定期审查</t>
    <phoneticPr fontId="3" type="noConversion"/>
  </si>
  <si>
    <t>董事会定期审查管理层对业务、财务计划的执行情况</t>
    <phoneticPr fontId="3" type="noConversion"/>
  </si>
  <si>
    <t>公司经营预算和财务预算的制定情况</t>
  </si>
  <si>
    <t>董事会及时、认真制定公司经营预算和财务预算</t>
    <phoneticPr fontId="3" type="noConversion"/>
  </si>
  <si>
    <t>董事会对公司风险状况的定期评估</t>
  </si>
  <si>
    <t>董事会积极推动公司建立风险管理体系</t>
    <phoneticPr fontId="3" type="noConversion"/>
  </si>
  <si>
    <t>要求管理层定期报告风险管理工作及公司风险状况</t>
    <phoneticPr fontId="3" type="noConversion"/>
  </si>
  <si>
    <t>定期对公司风险状况进行全面评估并跟踪整改情况</t>
    <phoneticPr fontId="3" type="noConversion"/>
  </si>
  <si>
    <t>董事长与总经理的沟通协调</t>
  </si>
  <si>
    <t>董事长与总经理间工作沟通配合顺畅、协调</t>
    <phoneticPr fontId="3" type="noConversion"/>
  </si>
  <si>
    <t>专业委员会运作情况</t>
  </si>
  <si>
    <t>及时召开会议对重大事项进行专题审议</t>
    <phoneticPr fontId="3" type="noConversion"/>
  </si>
  <si>
    <t>对重大事项进行深入讨论形成专业意见并对风险作充分提示</t>
    <phoneticPr fontId="3" type="noConversion"/>
  </si>
  <si>
    <t>独立董事的独立性</t>
  </si>
  <si>
    <t>独立董事有充分的独立性</t>
    <phoneticPr fontId="3" type="noConversion"/>
  </si>
  <si>
    <t>独立董事的勤勉尽职情况</t>
  </si>
  <si>
    <t>独立董事对重大事项资料进行认真审议</t>
    <phoneticPr fontId="3" type="noConversion"/>
  </si>
  <si>
    <t>能有效的利用自己的知识、经验和专业技术，帮助公司解决所面临的问题</t>
    <phoneticPr fontId="3" type="noConversion"/>
  </si>
  <si>
    <t>能与其他董事进行有效沟通，并保持独立判断</t>
    <phoneticPr fontId="3" type="noConversion"/>
  </si>
  <si>
    <t>独立董事说明弃权或反对的原因</t>
    <phoneticPr fontId="3" type="noConversion"/>
  </si>
  <si>
    <t>法人事务管理情况</t>
    <phoneticPr fontId="3" type="noConversion"/>
  </si>
  <si>
    <t>资本规划和资本管理合理</t>
    <phoneticPr fontId="3" type="noConversion"/>
  </si>
  <si>
    <t>业务范围变更符合要求</t>
    <phoneticPr fontId="3" type="noConversion"/>
  </si>
  <si>
    <t>变更营业场所经保监会审批</t>
    <phoneticPr fontId="3" type="noConversion"/>
  </si>
  <si>
    <t>住所变更及时报备</t>
    <phoneticPr fontId="3" type="noConversion"/>
  </si>
  <si>
    <t>公司章程、股东名册及工商登记文件与实际情况一致</t>
    <phoneticPr fontId="3" type="noConversion"/>
  </si>
  <si>
    <t>股权管理情况</t>
    <phoneticPr fontId="3" type="noConversion"/>
  </si>
  <si>
    <t>无股权委托代持行为</t>
    <phoneticPr fontId="3" type="noConversion"/>
  </si>
  <si>
    <t>股权没有频繁、高比例质押</t>
    <phoneticPr fontId="3" type="noConversion"/>
  </si>
  <si>
    <t>及时将公司股东的控股股东、实际控制人及其变更情况和股东之间的关联关系报告保监会</t>
    <phoneticPr fontId="3" type="noConversion"/>
  </si>
  <si>
    <t>按照《保险公司股权管理办法》第22条要求，将股东相关事项及时报告保监会</t>
    <phoneticPr fontId="3" type="noConversion"/>
  </si>
  <si>
    <t>关联交易管理情况</t>
  </si>
  <si>
    <t>收集并及时更正关联方信息</t>
    <phoneticPr fontId="3" type="noConversion"/>
  </si>
  <si>
    <t>资金运用关联交易符合比例要求</t>
    <phoneticPr fontId="3" type="noConversion"/>
  </si>
  <si>
    <t>关联交易按照相关规定进行信息披露</t>
    <phoneticPr fontId="3" type="noConversion"/>
  </si>
  <si>
    <t>关联交易按规定进行内部审查</t>
    <phoneticPr fontId="3" type="noConversion"/>
  </si>
  <si>
    <t>每年对关联交易进行审计</t>
    <phoneticPr fontId="3" type="noConversion"/>
  </si>
  <si>
    <t>信息披露管理</t>
    <phoneticPr fontId="3" type="noConversion"/>
  </si>
  <si>
    <t>建立信息披露内部管理制度并报保监会</t>
    <phoneticPr fontId="3" type="noConversion"/>
  </si>
  <si>
    <t>指定专人负责信息披露事务</t>
    <phoneticPr fontId="3" type="noConversion"/>
  </si>
  <si>
    <t>根据保监会监管要求，在保险公司网站等信息披露载体上披露公司治理、风险管理、重大关联交易、重大事项和资金运用关联交易等信息</t>
    <phoneticPr fontId="3" type="noConversion"/>
  </si>
  <si>
    <t>考核激励</t>
    <phoneticPr fontId="3" type="noConversion"/>
  </si>
  <si>
    <t>董事、监事及高管薪酬水平</t>
  </si>
  <si>
    <t>薪酬水平与公司业务规模、盈利状况相匹配</t>
    <phoneticPr fontId="3" type="noConversion"/>
  </si>
  <si>
    <t>高管人员绩效考核指标的合理性</t>
  </si>
  <si>
    <t>考核指标纳入偿付能力、企业价值、业务质量及风险等因素</t>
    <phoneticPr fontId="3" type="noConversion"/>
  </si>
  <si>
    <t>考核结果能科学反映高管人员对公司的贡献</t>
    <phoneticPr fontId="3" type="noConversion"/>
  </si>
  <si>
    <t>董事会对高管业绩考核指标体系建立及执行的参与度</t>
  </si>
  <si>
    <t>高管人员薪酬考核指标由薪酬委员会主导制定</t>
    <phoneticPr fontId="3" type="noConversion"/>
  </si>
  <si>
    <t>薪酬管理情况</t>
  </si>
  <si>
    <t>薪酬管理程序严格明确</t>
    <phoneticPr fontId="3" type="noConversion"/>
  </si>
  <si>
    <t>不存在在业务计划执行末期调整考核标准的情形</t>
    <phoneticPr fontId="3" type="noConversion"/>
  </si>
  <si>
    <t>董事会自我评价制度的建立及执行情况</t>
  </si>
  <si>
    <t>已建立和落实董事会自我评价制度</t>
    <phoneticPr fontId="3" type="noConversion"/>
  </si>
  <si>
    <t>职务消费制度的建立及执行情况</t>
  </si>
  <si>
    <t>有明确制度规定高管人员职务消费并有效执行</t>
    <phoneticPr fontId="3" type="noConversion"/>
  </si>
  <si>
    <t>监督问责</t>
    <phoneticPr fontId="3" type="noConversion"/>
  </si>
  <si>
    <t>监事会对董事会决议及董事和高管人员行为的监督</t>
  </si>
  <si>
    <t>监事会能够对董事会决议提出意见或建议</t>
    <phoneticPr fontId="3" type="noConversion"/>
  </si>
  <si>
    <t>监事会对高管人员进行监督谈话或调查</t>
    <phoneticPr fontId="3" type="noConversion"/>
  </si>
  <si>
    <t>管理层及分支机构高管人员离任审计</t>
  </si>
  <si>
    <t>对管理层或分公司高管人员进行离任审计</t>
    <phoneticPr fontId="3" type="noConversion"/>
  </si>
  <si>
    <t>内审的健全性和独立性</t>
  </si>
  <si>
    <t>审计人员数量和结构符合监管要求或满足工作需要</t>
    <phoneticPr fontId="3" type="noConversion"/>
  </si>
  <si>
    <t>采取审计集中制或垂直管理</t>
    <phoneticPr fontId="3" type="noConversion"/>
  </si>
  <si>
    <t>内审工作的覆盖面和频率</t>
  </si>
  <si>
    <t>不存在主要业务单位连续两年未被审计的情况</t>
    <phoneticPr fontId="3" type="noConversion"/>
  </si>
  <si>
    <t>内审结果与薪酬考核、职务任免和责任追究的关联性</t>
  </si>
  <si>
    <t>建立了审计问题整改的跟踪、督促制度</t>
    <phoneticPr fontId="3" type="noConversion"/>
  </si>
  <si>
    <t>内审结果在被审计对象的考核任免中得到体现</t>
    <phoneticPr fontId="3" type="noConversion"/>
  </si>
  <si>
    <t>外部审计</t>
  </si>
  <si>
    <t>及时出具外审报告</t>
    <phoneticPr fontId="3" type="noConversion"/>
  </si>
  <si>
    <t>内部举报机制的健全性和有效性</t>
  </si>
  <si>
    <t>建立通畅的举报机制并及时处理举报</t>
    <phoneticPr fontId="3" type="noConversion"/>
  </si>
  <si>
    <t>重要工作岗位的委派制度</t>
  </si>
  <si>
    <t>建立人事、财务和审计等重要岗位的委派制度</t>
    <phoneticPr fontId="3" type="noConversion"/>
  </si>
  <si>
    <t>董事、监事及高管人员问责制度的建立和执行</t>
  </si>
  <si>
    <t>董事和高管人员没有违反公司章程、股东会决议及董事会决议的情形</t>
    <phoneticPr fontId="3" type="noConversion"/>
  </si>
  <si>
    <t>有明确制度规定董事、监事及高管人员的责任追究</t>
    <phoneticPr fontId="3" type="noConversion"/>
  </si>
  <si>
    <t>自评得分</t>
    <phoneticPr fontId="3" type="noConversion"/>
  </si>
  <si>
    <t>填报说明：</t>
  </si>
  <si>
    <t>1.由各公司在“自我评价”栏下填写“是”或“否”,其中，“是”得分，“否”不得分。</t>
    <phoneticPr fontId="3" type="noConversion"/>
  </si>
  <si>
    <t>2.人寿集团和出口信保对董事会的相关指标不予填报。阳光集团、太保集团、平安集团、中再集团及太平集团5家集团(控股)公司的下属子公司对独立董事、董事会专业委员会的相关指标可以不予填报。财产险公司、资产管理公司可以不填写总精算师指标。外资保险公司对独立董事、专业委员会、监事会相关指标可以暂不填报。外国保险公司在中国设立的分公司不参与评价。</t>
    <phoneticPr fontId="3" type="noConversion"/>
  </si>
  <si>
    <t>3.主要负责人包括董事长、首席执行官、总经理、财务负责人及与上述人员具有相同或相似职权的人。</t>
    <phoneticPr fontId="3" type="noConversion"/>
  </si>
  <si>
    <t>4.主要股东是指持有公司15%以上股份（上市公司为5%）或其持有股份不足15%（上市公司为5%），但以其出资额或持有的股份所享有的表决权足以对公司股东（大）会、董事会决议产生重大影响的股东。</t>
    <phoneticPr fontId="3" type="noConversion"/>
  </si>
  <si>
    <t>5.主要股东频繁变更是指在过去两年内，公司有两家以上主要股东的持股比例发生变化；董事和高管频繁变动是指在过去两年内公司有25%的董事和高管离职、职级或职责分工发生变动。</t>
    <phoneticPr fontId="3" type="noConversion"/>
  </si>
  <si>
    <t>6.关键岗位是指合规负责人、总精算师、财务负责人、审计责任人和财务部门负责人等。</t>
    <phoneticPr fontId="3" type="noConversion"/>
  </si>
  <si>
    <t>7.重大事项是指涉及利润分配、薪酬、董事和高管任免及占公司净资产的百分之一以上的重大投资及资产处置事项。</t>
    <phoneticPr fontId="3" type="noConversion"/>
  </si>
  <si>
    <t>8.“明确”、“清晰”、“胜任”、“合理”、“充分”等主观性指标的得分标准为：符合相关法律法规要求；与保险公司经营管理要求相匹配；独立董事认可。</t>
    <phoneticPr fontId="3" type="noConversion"/>
  </si>
  <si>
    <t>9.“频繁”指次数大于一次。</t>
    <phoneticPr fontId="3" type="noConversion"/>
  </si>
  <si>
    <t>10.各公司应按照实际情况开展自评，确保评分的真实性和准确性。</t>
    <phoneticPr fontId="3" type="noConversion"/>
  </si>
  <si>
    <t>11.各公司应于每年5月15日前报送《保险公司治理报告》时报送本表，《关于进一步规范报送〈保险公司治理报告〉的通知》（保监发改〔2015〕95号）附件中的《保险法人机构公司治理自评表》作废</t>
    <phoneticPr fontId="3" type="noConversion"/>
  </si>
  <si>
    <t>设行业平均水平为θ，待评价保险公司的风险事件合计次数为x，本项得分＝Min{ 10,  10-10×(x-θ)/θ }。</t>
    <phoneticPr fontId="3" type="noConversion"/>
  </si>
  <si>
    <t>风险事件合计次数（10分）</t>
    <phoneticPr fontId="3" type="noConversion"/>
  </si>
  <si>
    <t>未发现</t>
  </si>
  <si>
    <t>未发生</t>
    <phoneticPr fontId="12" type="noConversion"/>
  </si>
  <si>
    <t>人事铂金系统抽取数据</t>
  </si>
  <si>
    <t>各渠道提供</t>
  </si>
  <si>
    <t>HR提供报表</t>
    <phoneticPr fontId="3" type="noConversion"/>
  </si>
  <si>
    <t>会议通知</t>
    <phoneticPr fontId="3" type="noConversion"/>
  </si>
  <si>
    <t>1季度投资收益率计算错误，2季度已更正</t>
    <phoneticPr fontId="3" type="noConversion"/>
  </si>
  <si>
    <t>单证月报，台账</t>
    <phoneticPr fontId="3" type="noConversion"/>
  </si>
  <si>
    <t>取自Oracle财务系统老准则保费收入口径</t>
  </si>
  <si>
    <t>公司OA</t>
  </si>
  <si>
    <t>附件8：保险公司信息系统相关的操作风险评价标准</t>
    <phoneticPr fontId="12" type="noConversion"/>
  </si>
  <si>
    <t>评价指标</t>
    <phoneticPr fontId="3" type="noConversion"/>
  </si>
  <si>
    <t>评价点</t>
    <phoneticPr fontId="3" type="noConversion"/>
  </si>
  <si>
    <t>评分标准</t>
    <phoneticPr fontId="3" type="noConversion"/>
  </si>
  <si>
    <t>（一）信息化治理（本项目采取百分制，最后综合得分×15%，为该项监管内容的最终评分。）</t>
    <phoneticPr fontId="3" type="noConversion"/>
  </si>
  <si>
    <t>信息化目标与规划（10分）</t>
  </si>
  <si>
    <t>（1）工作目标与规划制定</t>
    <phoneticPr fontId="3" type="noConversion"/>
  </si>
  <si>
    <t>根据业务发展目标明确信息化目标和规划，3分；信息化规划得到批准，2分。</t>
  </si>
  <si>
    <t>（2）规划实施与定期评估</t>
    <phoneticPr fontId="3" type="noConversion"/>
  </si>
  <si>
    <t>根据信息化规划开展工作，3分；每年进行一次评估和审查，2分。</t>
  </si>
  <si>
    <t>信息化治理架构（40分）</t>
  </si>
  <si>
    <t>（1）董事会职责</t>
    <phoneticPr fontId="3" type="noConversion"/>
  </si>
  <si>
    <t>董事会对信息化工作重大决策，4分；掌握公司主要的信息化工作情况，每年审阅信息化工作年度报告，4分。</t>
  </si>
  <si>
    <t>（2）信息化工作委员会</t>
    <phoneticPr fontId="3" type="noConversion"/>
  </si>
  <si>
    <t>按照要求设立信息化工作委员会，4分；履行信息化工作委员会的各项职责，4分。</t>
  </si>
  <si>
    <t>（3）首席信息官</t>
    <phoneticPr fontId="3" type="noConversion"/>
  </si>
  <si>
    <t>设计首席信息官，4分；首席信息官履行各项职责，4分。</t>
  </si>
  <si>
    <t>（4）信息技术部门</t>
    <phoneticPr fontId="3" type="noConversion"/>
  </si>
  <si>
    <t>设立专职信息技术部门，4分；信息技术部门全面履行职责，4分。</t>
  </si>
  <si>
    <t>（5）信息化人员配备</t>
    <phoneticPr fontId="3" type="noConversion"/>
  </si>
  <si>
    <t>查看组织架构岗位设置与岗位职责说明，4分；岗位分离和职责权限限制，4分。</t>
  </si>
  <si>
    <t>信息化发展环境（50分）</t>
    <phoneticPr fontId="3" type="noConversion"/>
  </si>
  <si>
    <t>（1）信息化水平</t>
    <phoneticPr fontId="3" type="noConversion"/>
  </si>
  <si>
    <t>核心业务、财务、经营管理信息化，5分；核心业务系统、财务系统、经营管理系统无缝对接，5分。</t>
  </si>
  <si>
    <t>（2）信息化工作经费</t>
    <phoneticPr fontId="3" type="noConversion"/>
  </si>
  <si>
    <t>预算能够支撑信息化规划，10分。</t>
  </si>
  <si>
    <t>（3）信息化工作考核</t>
    <phoneticPr fontId="3" type="noConversion"/>
  </si>
  <si>
    <t>建立了信息化工作评价体系，5分；开展了信息化工作评价。5分。</t>
  </si>
  <si>
    <t>（4）信息技术能力</t>
    <phoneticPr fontId="3" type="noConversion"/>
  </si>
  <si>
    <t>具有专业的技术研究组织或者团队，或者结合业务自身需求积极引入新技术应用：4分；通过国家/国际标准组织认证：每通过一项得1分，最高3分；参加制定行业技术标准：每参与一项得1分，最高3分。</t>
  </si>
  <si>
    <t>（5）信息化人力资源规划与培训</t>
    <phoneticPr fontId="3" type="noConversion"/>
  </si>
  <si>
    <t>信息化人员比例合理，5分；培训考核，5分。</t>
    <phoneticPr fontId="3" type="noConversion"/>
  </si>
  <si>
    <t>（二）信息化风险管理（本项目采用百分制，最后综合得分×15%，为该项监管内容的最终评分。）</t>
    <phoneticPr fontId="3" type="noConversion"/>
  </si>
  <si>
    <t>信息化风险管理制度（20分）</t>
    <phoneticPr fontId="3" type="noConversion"/>
  </si>
  <si>
    <t>（1）风险管理制度体系</t>
    <phoneticPr fontId="3" type="noConversion"/>
  </si>
  <si>
    <t>具备规范的风险管理制度，覆盖信息化主要风险，8分；管理制度定期评审，4分；具备执行层面的技术标准和操作流程，8分。</t>
    <phoneticPr fontId="3" type="noConversion"/>
  </si>
  <si>
    <t>信息化风险识别与控制（40分）</t>
    <phoneticPr fontId="3" type="noConversion"/>
  </si>
  <si>
    <t>（1）技术风险</t>
    <phoneticPr fontId="3" type="noConversion"/>
  </si>
  <si>
    <t>（2）合规风险</t>
    <phoneticPr fontId="3" type="noConversion"/>
  </si>
  <si>
    <t>本年度无违法违规行为，8分。</t>
  </si>
  <si>
    <t>（3）声誉风险</t>
    <phoneticPr fontId="3" type="noConversion"/>
  </si>
  <si>
    <t>建立了与信息技术有关的客户投诉处理和调解的管理机制，4分；建立了与信息技术有关的声誉危机应对机制，4分。</t>
  </si>
  <si>
    <t>（4）知识产权</t>
    <phoneticPr fontId="3" type="noConversion"/>
  </si>
  <si>
    <t>软硬件产品均为正版化，4分；对自主研发的产品进行知识产权保护，4分。</t>
  </si>
  <si>
    <t>（5）风险提示与发布</t>
    <phoneticPr fontId="3" type="noConversion"/>
  </si>
  <si>
    <t>建立了信息化风险提示与发布的管理制度，4分；对近期发生过的风险事件已经按照保监会相关规定要求进行了排查与报送，4分。</t>
  </si>
  <si>
    <t>信息化风险内控（40分）</t>
    <phoneticPr fontId="3" type="noConversion"/>
  </si>
  <si>
    <t>（1）风险管理策略检查</t>
    <phoneticPr fontId="3" type="noConversion"/>
  </si>
  <si>
    <t>建立了对信息化风险管理策略执行情况的检查机制，4分；具有信息化风险管理策略执行情况的检查记录，4分。</t>
  </si>
  <si>
    <t>（2）风险评估</t>
    <phoneticPr fontId="3" type="noConversion"/>
  </si>
  <si>
    <t>建立了风险评估制度，4分；每年至少开展一次信息化风险评估：4分。</t>
  </si>
  <si>
    <t>（3）风险处置</t>
    <phoneticPr fontId="3" type="noConversion"/>
  </si>
  <si>
    <t>建立了风险处置流程，4分；建立了风险管理持续改进机制，4分。</t>
    <phoneticPr fontId="3" type="noConversion"/>
  </si>
  <si>
    <t>（4）与风险管理部门沟通</t>
    <phoneticPr fontId="3" type="noConversion"/>
  </si>
  <si>
    <t>建立了与风险管理相关职能部门沟通的机制，4分；具有与风险管理相关职能部门进行沟通的记录，4分。</t>
  </si>
  <si>
    <t>（5）风险监测和计量机制</t>
    <phoneticPr fontId="3" type="noConversion"/>
  </si>
  <si>
    <t>建立了风险监测和计量的方法，4分；有监测和计量记录，4分。</t>
  </si>
  <si>
    <t>（三）信息安全（本项目采用百分制，最后综合得分×20%，为该项监管内容的最终评分。）</t>
    <phoneticPr fontId="3" type="noConversion"/>
  </si>
  <si>
    <t>信息安全等级保护机制（10分）</t>
  </si>
  <si>
    <t>（1）定级备案</t>
    <phoneticPr fontId="3" type="noConversion"/>
  </si>
  <si>
    <t>对重要信息系统进行定级并备案，5分。</t>
  </si>
  <si>
    <t>（2）测评整改</t>
    <phoneticPr fontId="3" type="noConversion"/>
  </si>
  <si>
    <t>聘请具有资质的测评机构进行测评并通过，5分。</t>
  </si>
  <si>
    <t>物理安全（10分）</t>
  </si>
  <si>
    <t>（1）机房设施</t>
    <phoneticPr fontId="3" type="noConversion"/>
  </si>
  <si>
    <t>重要基础设施建设应符合国家《电子信息系统机房设计规范》A级要求，具备完善的供电、访问控制、防电磁、防雷、防水、防火、温湿度控制等措施，并配备环境自动监控系统，5分。</t>
  </si>
  <si>
    <t>（2）访问控制</t>
  </si>
  <si>
    <t>对物理区域进行合理的划分，2分；建立了物理安全访问控制机制，3分。</t>
  </si>
  <si>
    <t>网络安全（15分）</t>
  </si>
  <si>
    <t>（1）网络结构</t>
  </si>
  <si>
    <t>划分合理的网络区域，3分；具有网络带宽保障和设备、线路冗余备份措施，2分。</t>
  </si>
  <si>
    <t>（2）网络防护</t>
  </si>
  <si>
    <t>具有网络边界隔离措施，3分；具有网络安全防范措施与设备，2分。</t>
  </si>
  <si>
    <t>（3）网络安全审计</t>
  </si>
  <si>
    <t>具有网络审计日志记录，5分。</t>
  </si>
  <si>
    <t>主机安全（15分）</t>
  </si>
  <si>
    <t>（1）主机安全防护</t>
  </si>
  <si>
    <t>具有主机安全防护措施，主要包括系统最小化安装和补丁管理、身份鉴别、访问控制、恶意代码防范、资源控制等措施，5分；具有主机监控措施，5分。</t>
  </si>
  <si>
    <t>（2）主机安全审计</t>
  </si>
  <si>
    <t>具有审计日志记录，5分。</t>
  </si>
  <si>
    <t>应用安全（10分）</t>
  </si>
  <si>
    <t>（1）应用安全防护</t>
  </si>
  <si>
    <t>具有身份鉴别，访问和资源控制，通信安全等措施，5分。</t>
  </si>
  <si>
    <t>（2）应用安全审计</t>
  </si>
  <si>
    <t>数据安全（15分）</t>
  </si>
  <si>
    <t>（1）数据安全防护</t>
  </si>
  <si>
    <t>（2）数据管理与使用</t>
  </si>
  <si>
    <t>具有重要数据使用与流转的控制措施，3分。</t>
  </si>
  <si>
    <t>（3）重要数据安全审计</t>
  </si>
  <si>
    <t>具有重要数据安全审计机制与定期（至少每年一次）审计报告，2分。</t>
  </si>
  <si>
    <t>密码与算法（10分）</t>
  </si>
  <si>
    <t>（1）国产密码算法</t>
  </si>
  <si>
    <t>电子保单及保险各领域应用系统使用国产密码算法和支持国产密码算法的密码设备产品。在华外资机构按照“法人为主、标准引导、自主选择”的原则开展国产密码的应用推广工作。</t>
  </si>
  <si>
    <t>安全评估与自查（10分）</t>
  </si>
  <si>
    <t>（1）对外部安全风险态势和事件的响应</t>
    <phoneticPr fontId="3" type="noConversion"/>
  </si>
  <si>
    <t>具有外部重大安全风险事件排查记录和应对措施，4分。</t>
  </si>
  <si>
    <t>（2）信息安全控制措施执行情况的检查</t>
    <phoneticPr fontId="3" type="noConversion"/>
  </si>
  <si>
    <t>对安全策略、标准及制度的执行进行跟踪和检查的记录，6分。</t>
  </si>
  <si>
    <t>信息安全培训（5分）</t>
  </si>
  <si>
    <t>（1）信息安全培训</t>
  </si>
  <si>
    <t>有定期（至少每年一次）全员信息化安全方面的培训制度，2分；有定期全员培训的记录，3分。</t>
  </si>
  <si>
    <t>（四）信息系统开发与测试（本项目采用百分制，最后综合得分×10%，为该项监管内容的最终评分。）</t>
    <phoneticPr fontId="3" type="noConversion"/>
  </si>
  <si>
    <t>项目管理（50 分）</t>
  </si>
  <si>
    <t>（1）项目管理制度</t>
  </si>
  <si>
    <t>具有项目管理制度，5分；具有项目管理制度执行记录，5分。</t>
  </si>
  <si>
    <t>（2）项目风险评估</t>
  </si>
  <si>
    <t>（3）项目风险控制</t>
  </si>
  <si>
    <t>（4）项目群管理</t>
  </si>
  <si>
    <t>建立了项目群协调机制（如项目管理办公室PMO），2分；具有项目群管理执行流程，2分；具有子项目沟通协调机制，1分。</t>
  </si>
  <si>
    <t>开发管理（20 分）</t>
  </si>
  <si>
    <t>（1）需求和技术架构管理</t>
    <phoneticPr fontId="3" type="noConversion"/>
  </si>
  <si>
    <t>具有需求分析方案和可行性报告，2分；具有技术架构管理机制，2分。</t>
  </si>
  <si>
    <t>（2）开发质量保证</t>
  </si>
  <si>
    <t>（3）开发、测试、生产环境相互分离</t>
    <phoneticPr fontId="3" type="noConversion"/>
  </si>
  <si>
    <t xml:space="preserve">（4）开发过程检查 </t>
  </si>
  <si>
    <t>具有开发过程的检查记录，3分；具有完整性、恶意代码和后门程序的检查记录，2分；制定信息系统代码编写安全规范，3分。</t>
  </si>
  <si>
    <t xml:space="preserve">测试管理（20分） </t>
  </si>
  <si>
    <t>（1）测试的充分性</t>
  </si>
  <si>
    <t>具有完整的测试记录，测试包括单元测试、集成测试和验收测试；具有测试充分性的审核报告，4分。</t>
    <phoneticPr fontId="3" type="noConversion"/>
  </si>
  <si>
    <t xml:space="preserve">（2）测试的独立性 </t>
  </si>
  <si>
    <t>建立了独立于开发队伍的测试团队，4分；测试团队的测试人员中参与了项目开发活动，或测试用例由开发人员参与编写，本评价点不得分。</t>
  </si>
  <si>
    <t>（3）功能测试</t>
  </si>
  <si>
    <t>（4）非功能测试</t>
  </si>
  <si>
    <t>具有完整的非功能测试报告，非功能测试主要包括：配置和安装测试、兼容性和互操作性测试、文档和帮助测试、错误恢复测试、性能测试、可靠性测试、保密性测试、压力测试、可用性测试、容量测试，4分。</t>
  </si>
  <si>
    <t>（5）安全性测试</t>
  </si>
  <si>
    <t>具有完整的安全性测试文档，4分。</t>
  </si>
  <si>
    <t>验收和发布管理（10分）</t>
  </si>
  <si>
    <t>（1）系统测试验收</t>
  </si>
  <si>
    <t>系统发布前对测试的过程和充分性进行了审查并对测试质量进行了评估，2分。</t>
  </si>
  <si>
    <t>（2）系统版本交付物完整性验收</t>
  </si>
  <si>
    <t>对系统版本交付物的完整性进行了检查，检查的内容应该包括软件开发文档、发布计划、操作手册、部署环境和应急预案等文档，2分。</t>
  </si>
  <si>
    <t xml:space="preserve">（3）试运行 </t>
  </si>
  <si>
    <t xml:space="preserve">（4）发布管理 </t>
  </si>
  <si>
    <t>具有软件发布相关过程的文档以及上线审批记录，如版本计划、流程审核、用户通知等软件发布相关过程的文档以及上线审批记录，3分。</t>
    <phoneticPr fontId="3" type="noConversion"/>
  </si>
  <si>
    <t>（五）信息系统运行（本项目采取百分制，最后综合得分×18%，为该项监管内容的最终评分。）</t>
    <phoneticPr fontId="3" type="noConversion"/>
  </si>
  <si>
    <t>系统管理（20 分）</t>
  </si>
  <si>
    <t>（1）系统账户管理</t>
  </si>
  <si>
    <t>（2）系统性能监控</t>
  </si>
  <si>
    <t>建立了监控系统，并设定了系统重要监控参数和预警阈值（至少包含：CPU利用率、网络利用率、存储容量、系统状态），3分；具有峰值报警记录，具有性能状况、趋势的分析报告，2分。</t>
  </si>
  <si>
    <t>（3）日志管理与分析</t>
  </si>
  <si>
    <t>按规定保存日志记录，3分；具有定期分析日志的记录，2分。</t>
  </si>
  <si>
    <t>（4）运行报告</t>
  </si>
  <si>
    <t>具有重要系统运行报告；3分。具有将运行报告上报管理层的记录，2分。</t>
    <phoneticPr fontId="3" type="noConversion"/>
  </si>
  <si>
    <t>配置与变更管理（20分）</t>
  </si>
  <si>
    <t>（1）信息系统配置管理</t>
  </si>
  <si>
    <t>（2）信息系统变更管理</t>
  </si>
  <si>
    <t>具有变更管理制度与流程，3分；具有变更流程记录，4分；具有变更的应急回退计划，3分。</t>
  </si>
  <si>
    <t>事件管理（15分）</t>
  </si>
  <si>
    <t>（1）服务台管理</t>
  </si>
  <si>
    <t>建立了服务台及管理制度，2分；有服务台服务过程记录文档，3分。</t>
  </si>
  <si>
    <t>（2）事件与问题管理</t>
  </si>
  <si>
    <t>建立了事件与问题管理机制，4分；有问题管理处理过程记录文档，2分；建立了知识库，4分。</t>
  </si>
  <si>
    <t>基础设施运行管理（15分）</t>
  </si>
  <si>
    <t>（1）物理环境运行管理</t>
  </si>
  <si>
    <t>对物理设施的运行状态进行了管理，5分。</t>
  </si>
  <si>
    <t>（2）网络运行管理</t>
  </si>
  <si>
    <t>按照各类系统的重要性，定义了网络优先服务等级，2分；对网络性能进行了监控，3分。</t>
  </si>
  <si>
    <t>（3）设备与介质管理</t>
  </si>
  <si>
    <t>可用性管理（15分）</t>
  </si>
  <si>
    <t>（1）信息系统备份恢复管理</t>
  </si>
  <si>
    <t>建立了管理制度并有备份恢复记录，5分。</t>
  </si>
  <si>
    <t>（2）信息系统运行的风险排查</t>
  </si>
  <si>
    <t>具有排查记录，5分。</t>
  </si>
  <si>
    <t>（3）单点故障的排查</t>
  </si>
  <si>
    <t>运行维护管理平台(15分)</t>
    <phoneticPr fontId="3" type="noConversion"/>
  </si>
  <si>
    <t>（1）运行维护管理平台</t>
  </si>
  <si>
    <t>是否建立了运行维护管理平台，5分；所有运维工单是否通过运维平台进行电子化流转，5分；是否定期对运维工作进行评估与改进，5分。</t>
    <phoneticPr fontId="3" type="noConversion"/>
  </si>
  <si>
    <t>（六）灾难恢复（本项目采取百分制，最后综合得分×7%，为该项监管内容的最终评分。）</t>
    <phoneticPr fontId="3" type="noConversion"/>
  </si>
  <si>
    <t>需求分析和策略制定（20）</t>
  </si>
  <si>
    <t>（1）需求分析和风险分析</t>
  </si>
  <si>
    <t xml:space="preserve">具有内容全面的风险分析和业务影响分析报告，3分 ；灾难恢复需求再分析周期不超过3年，2分。                       </t>
  </si>
  <si>
    <t>（2）灾难恢复范围</t>
  </si>
  <si>
    <t>具有明确的灾难恢复范围，5分。</t>
  </si>
  <si>
    <t>（3）灾难恢复目标</t>
  </si>
  <si>
    <t>明确了应用系统的灾难恢复能力等级，以及具体的灾难恢复指标，至少包括RTO和RPO，5分。</t>
  </si>
  <si>
    <t>（4）灾难恢复策略</t>
  </si>
  <si>
    <t>具有完善的灾难恢复策略，3分；具有策略审核批准材料，2分。</t>
  </si>
  <si>
    <t>灾难恢复建设模式选择与备案（10分）</t>
  </si>
  <si>
    <t>（1）灾难恢复建设模式</t>
  </si>
  <si>
    <t>自建模式，5分；外包模式，且满足资质要求和外包管理要求，5分；共建模式，且满足共建模式要求，5分。保险机构选择三种建设模式中的一种或几种，本评价点最高得分不超过5分。</t>
    <phoneticPr fontId="3" type="noConversion"/>
  </si>
  <si>
    <t>（2）灾备中心设立备案</t>
  </si>
  <si>
    <t>已向中国保监会备案，5分。</t>
    <phoneticPr fontId="3" type="noConversion"/>
  </si>
  <si>
    <t>灾备中心建设（20分）</t>
  </si>
  <si>
    <t>（1）灾备中心选址</t>
  </si>
  <si>
    <t>灾难备份中心在中华人民共和国境内，5分。</t>
  </si>
  <si>
    <t>（2）灾备中心基础设施</t>
  </si>
  <si>
    <t>有完善的基础设施，5分。</t>
  </si>
  <si>
    <t>（3）灾备系统技术方案</t>
  </si>
  <si>
    <t>制定灾备系统技术方案，4分；定期灾备恢复测试，3分；技术支持体系完善，3分。</t>
  </si>
  <si>
    <t>灾备中心运维（20分）</t>
  </si>
  <si>
    <t>（1）运维制度与流程</t>
  </si>
  <si>
    <t xml:space="preserve">具有完善的运维管理制度和流程，5分。                                                       </t>
  </si>
  <si>
    <t>（2）运维队伍</t>
  </si>
  <si>
    <t>具有专业的运维队伍，5分。</t>
  </si>
  <si>
    <t>（3）检测维护</t>
  </si>
  <si>
    <t>具有定期检测和维护的记录，5分。</t>
  </si>
  <si>
    <t>（4）监控</t>
  </si>
  <si>
    <t>具有监控机制和记录，5分。</t>
  </si>
  <si>
    <t>灾难恢复预案建立与演练（20分）</t>
  </si>
  <si>
    <t>（1）灾难恢复预案</t>
  </si>
  <si>
    <t>预案的结构、内容和步骤清晰明确，其中：组织职责，2分； 灾难恢复过程，2分；所需资料和配套资源，2分。</t>
  </si>
  <si>
    <t>（2）预案演练</t>
  </si>
  <si>
    <t>具有演练记录，6分；具有总结评估报告，4分；频次低于要求，此评价点（分值）得分不超过5分。</t>
  </si>
  <si>
    <t>（3）预案维护</t>
  </si>
  <si>
    <t>预案有专人维护，1分；预案有更新机制和记录，2分；每年进行预案审查和批准，1分。</t>
  </si>
  <si>
    <t>应急响应和灾难恢复（10分）</t>
  </si>
  <si>
    <t>（1）应急机制的建立</t>
  </si>
  <si>
    <t>具有应急指挥处置组织和机制，4分。</t>
  </si>
  <si>
    <t>（2）信息系统重建方案</t>
  </si>
  <si>
    <t>具有明确的信息系统重建方案，2分。</t>
  </si>
  <si>
    <t>（3）灾难恢复总结</t>
  </si>
  <si>
    <t xml:space="preserve">具有灾难恢复总结报告与修订，2分。                                                       </t>
  </si>
  <si>
    <t>（4）第三方应急管理</t>
  </si>
  <si>
    <t>具有与第三方应急沟通机制和协议，2分。</t>
  </si>
  <si>
    <t>（七）外包与采购管理（本项目采取百分制，最后综合得分×5%，为该项监管内容的最终评分。）</t>
    <phoneticPr fontId="3" type="noConversion"/>
  </si>
  <si>
    <t>信息技术安全可控能力（20分）</t>
  </si>
  <si>
    <t>（1）信息技术外包事项</t>
  </si>
  <si>
    <t>信息系统安全管理责任未外包；对涉及国家安全信息、本机构商业秘密，以及客户隐私等敏感内容的信息系统进行外包经过本机构信息化工作委员会批准；数据中心、信息技术基础设施准备实施外包时书面材料正式报告中国保监会，10分。</t>
  </si>
  <si>
    <t>（2）信息产品安全可控程度</t>
  </si>
  <si>
    <t>重要系统和关键部位安全可控率达到10%，得1分；达到20%；得2分；以此类推，最高得10分。</t>
  </si>
  <si>
    <t>外包与采购服务（50分）</t>
  </si>
  <si>
    <t>（1）外包与采购管理制度</t>
  </si>
  <si>
    <t>制定了外包管理制度，10分；有外包服务审核流程及内外部的审计，5分；重要设施外包已报备保监会，5分。</t>
  </si>
  <si>
    <t>（2）外包与采购过程</t>
  </si>
  <si>
    <t>外包与采购过程和记录符合管理制度，10分。</t>
  </si>
  <si>
    <t>（3）外包服务商考核评估</t>
  </si>
  <si>
    <t>具有对外包服务商财务状况、技术实力、安全资质、风险控制水平、诚信记录和成功案例等的考核评估记录，5分；具有对外包服务质量及外包风险的评估报告，5分。</t>
  </si>
  <si>
    <t>（4）外包服务商管理</t>
  </si>
  <si>
    <t xml:space="preserve">具有外包服务商服务水平、服务规范性等方面的管理机制和管理记录，10分。                                                     </t>
  </si>
  <si>
    <t>外包软件开发（30分）</t>
  </si>
  <si>
    <t>（1）软件质量检测</t>
  </si>
  <si>
    <t>具有测试记录，5分；具有验收报告，5分。</t>
    <phoneticPr fontId="3" type="noConversion"/>
  </si>
  <si>
    <t>（2）源代码审查</t>
  </si>
  <si>
    <t>具有源代码审查报告，10分。</t>
  </si>
  <si>
    <t>（3）开发文档管理</t>
  </si>
  <si>
    <t>具有需求分析、软件设计说明书、软件操作手册等开发文档，10分。</t>
    <phoneticPr fontId="3" type="noConversion"/>
  </si>
  <si>
    <t>（八）互联网保险（本项目采取百分制，最后综合得分×5%，为该项监管内容的最终评分。）</t>
    <phoneticPr fontId="3" type="noConversion"/>
  </si>
  <si>
    <t>技术资质条件（20分）</t>
  </si>
  <si>
    <t>网络接入地点</t>
  </si>
  <si>
    <t>网络接入地在中华人民共和国境内（不含港、澳、台地区），10分。</t>
  </si>
  <si>
    <t>互联网主管部门备案</t>
  </si>
  <si>
    <t>互联网保险业务网站依法取得互联网行业主管部门颁发的互联网信息服务增值电信业务经营许可证，或者在互联网行业主管部门完成网站备案，5分。</t>
  </si>
  <si>
    <t>第三方平台技术资质条件</t>
  </si>
  <si>
    <t>基于第三方平台开展互联网保险业务，确认第三方平台满足上述技术资质条件，5分。</t>
  </si>
  <si>
    <t>网站技术安全保障（60分）</t>
  </si>
  <si>
    <t>客户端安全</t>
  </si>
  <si>
    <t>客户端软件具有完整性、程序逻辑机密性和数据安全技术措施，3分；客户端软件定期进行评估，2分。</t>
  </si>
  <si>
    <t>交易认证手段</t>
  </si>
  <si>
    <t>具有身份鉴别、交易认证手段，5分；身份鉴别和交易认证手段应满足监管要求和业界规范，5分。</t>
  </si>
  <si>
    <t>交易请求验证</t>
  </si>
  <si>
    <t>交易具有请求入口和权限控制措施，5分 ；具有服务器端请求数据检查措施，5分。</t>
  </si>
  <si>
    <t>网络安全防护</t>
  </si>
  <si>
    <t>具有合理的网络安全防护措施，10分。</t>
  </si>
  <si>
    <t>定期风险评估</t>
  </si>
  <si>
    <t>每年进行风险评估，5分。</t>
  </si>
  <si>
    <t>数据安全保护</t>
  </si>
  <si>
    <t>具有保护客户端输入信息的技术措施，4分 ；具有保证机构返回到客户端重要信息完整性的技术措施，4分；具有防钓鱼欺诈措施，2分。</t>
  </si>
  <si>
    <t>支付指令安全控制</t>
  </si>
  <si>
    <t>具有确保交易指令安全的措施，10分。</t>
  </si>
  <si>
    <t>第三方平台网站技术安全保障</t>
  </si>
  <si>
    <t>或者60</t>
    <phoneticPr fontId="3" type="noConversion"/>
  </si>
  <si>
    <t>如果基于第三方平台开展互联网保险业务，不单独评价1-7项，保险机构自行评估或者通过协议确认第三方平台满足上述技术安全保障措施，60分。注：自建网站，不填写该项。</t>
    <phoneticPr fontId="3" type="noConversion"/>
  </si>
  <si>
    <t>内容安全和风险提示（20分）</t>
    <phoneticPr fontId="3" type="noConversion"/>
  </si>
  <si>
    <t>内容管理</t>
  </si>
  <si>
    <t>具有内容发布和变更流程，10分。</t>
  </si>
  <si>
    <t>客户宣传和提示</t>
  </si>
  <si>
    <t>具有客户宣传和提示手段，5分。</t>
  </si>
  <si>
    <t>假冒网站管理</t>
  </si>
  <si>
    <t>有检查报告，5分。</t>
  </si>
  <si>
    <t>（九）信息技术审计（本项目采取百分制，最后综合得分×5%，为该项监管内容的最终评分。）</t>
    <phoneticPr fontId="3" type="noConversion"/>
  </si>
  <si>
    <t xml:space="preserve">审计组织与计划（25分） </t>
  </si>
  <si>
    <t>（1）审计部门</t>
    <phoneticPr fontId="3" type="noConversion"/>
  </si>
  <si>
    <t>设立独立于信息技术部门的信息化审计部门或者审计岗位，可以是设在公司审计部门或者其他部门，5分。</t>
  </si>
  <si>
    <t>（2）信息技术审计制度</t>
  </si>
  <si>
    <t>制定信息技术审计制度，规范审计目标、范围、流程和周期，6分。</t>
  </si>
  <si>
    <t>（3）信息技术审计计划</t>
  </si>
  <si>
    <t>制订了本年度审计计划，计划内容至少包括审计覆盖层面、审计性质、审计目标、审计范围及工作计划，4分。</t>
  </si>
  <si>
    <t>（4）信息技术外部审计</t>
    <phoneticPr fontId="3" type="noConversion"/>
  </si>
  <si>
    <t>外部审计机构和审计人员具备审计资质，10分。</t>
    <phoneticPr fontId="3" type="noConversion"/>
  </si>
  <si>
    <t xml:space="preserve">信息技术一般控制审计（20 分） </t>
  </si>
  <si>
    <t>（1）信息化规划及其实施情况的审计</t>
  </si>
  <si>
    <t>审计报告中含信息化规划及其实施情况，5分。</t>
  </si>
  <si>
    <t>（2）信息安全审计</t>
  </si>
  <si>
    <t>审计报告中包含信息安全管理制度和措施执行和有效性情况，10分。</t>
  </si>
  <si>
    <t>（3）对灾难恢复工作的审计</t>
  </si>
  <si>
    <t>审计报告中含灾难恢复工作的审计，5分。</t>
  </si>
  <si>
    <t>信息技术应用控制审计（15分）</t>
  </si>
  <si>
    <t xml:space="preserve">（1）信息技术应用控制审计 </t>
  </si>
  <si>
    <t>以保险业务流程为核心，根据业务流程风险管理要求，对应用系统访问控制、职责分离、输入控制、处理控制、输出控制机制进行了审计，15分。</t>
  </si>
  <si>
    <t>信息技术审计报告与备案（10分）</t>
  </si>
  <si>
    <t xml:space="preserve">（1）向管理层报告 </t>
  </si>
  <si>
    <t>具有管理层确认审计报告的记录，2分。</t>
  </si>
  <si>
    <t>（2）向保监会备案</t>
  </si>
  <si>
    <t>每两年向保监会备案信息技术审计报告，4分；每三年向保监会备案灾难恢复工作专项审计报告，4分。</t>
  </si>
  <si>
    <t>信息技术审计监控与后续跟进（30分）</t>
  </si>
  <si>
    <t xml:space="preserve">（1）审计结果反馈 </t>
  </si>
  <si>
    <t>管理层根据审计意见提出了具体的整改要求，10分。</t>
  </si>
  <si>
    <t>（2）整改计划落实</t>
  </si>
  <si>
    <t>提出了整改计划，2分；落实了整改计划，8分。</t>
  </si>
  <si>
    <t>（3）整改跟踪审计</t>
  </si>
  <si>
    <t>整改效果达到了管理层确定的整改要求，10分；后续审计意见没有管理层确认的记录，本评价点不得分。</t>
  </si>
  <si>
    <t>（十）扣分项目</t>
    <phoneticPr fontId="3" type="noConversion"/>
  </si>
  <si>
    <t>保险机构未按照保监会要求通过信息化风险监管系统报送信息化风险监管报表数据，存在严重拒报、迟报、漏报、瞒报、虚报、误报等行为的，视情节严重程度扣减1-10分。</t>
    <phoneticPr fontId="3" type="noConversion"/>
  </si>
  <si>
    <t>保险机构未按照保监会要求通过中国保险统计信息系统报送统计数据快报、月报、季报、半年报，存在拒报、迟报、漏报、瞒报、虚报、误报等行为的，视情节严重程度扣减1-10分。</t>
    <phoneticPr fontId="3" type="noConversion"/>
  </si>
  <si>
    <t>对于发生重大信息安全事件，未采取应急处理措施或者应急处理不力，对保险业造成重大损失或者不良影响的，视情节严重程度扣减10-30分。</t>
    <phoneticPr fontId="3" type="noConversion"/>
  </si>
  <si>
    <t>在保监会和相关信息安全监管机构检查过程中发现重大风险的，扣减对应评价指标项的分值。</t>
    <phoneticPr fontId="3" type="noConversion"/>
  </si>
  <si>
    <t>拒绝或者妨碍保监会依法进行网络安全与信息化工作进行检查监督的，视情节严重程度扣减10-30分。</t>
    <phoneticPr fontId="3" type="noConversion"/>
  </si>
  <si>
    <t>总公司投资部，信息技术部</t>
  </si>
  <si>
    <t>总公司投资部，信息技术部</t>
    <phoneticPr fontId="3" type="noConversion"/>
  </si>
  <si>
    <t xml:space="preserve">根据《保险资产运用管理暂行办法》（保监会令2014年第3号），保险公司应实行集中交易制度，严格隔离投资决策与交易执行，构建符合相关要求的集中交易监测系统、预警系统和反馈系统。
</t>
    <phoneticPr fontId="3" type="noConversion"/>
  </si>
  <si>
    <t>保险公司自行投资的，建立完善的交易记录制度，每日对交易记录及时核对并存档的，得1分；否则，得0分。保险公司委托投资的，能够提供受托机构相关证明材料的，得1分；否则，得0分。</t>
    <phoneticPr fontId="3" type="noConversion"/>
  </si>
  <si>
    <t>总公司财务部</t>
    <phoneticPr fontId="3" type="noConversion"/>
  </si>
  <si>
    <t>月度非法集资报表</t>
    <phoneticPr fontId="12" type="noConversion"/>
  </si>
  <si>
    <t>附件11：保险公司战略风险评价标准</t>
    <phoneticPr fontId="3" type="noConversion"/>
  </si>
  <si>
    <t>评价指标</t>
  </si>
  <si>
    <t>评分标准</t>
  </si>
  <si>
    <t>规划机制（6分）</t>
    <phoneticPr fontId="12" type="noConversion"/>
  </si>
  <si>
    <t>工作机制</t>
  </si>
  <si>
    <t>建立发展规划委员会（或明确其他专业委员会），设置专职部门（或指定相关部门）</t>
  </si>
  <si>
    <t>董事会秘书</t>
  </si>
  <si>
    <t>尽职情况</t>
  </si>
  <si>
    <t>规划要素（20分）</t>
    <phoneticPr fontId="12" type="noConversion"/>
  </si>
  <si>
    <t>战略目标</t>
  </si>
  <si>
    <t>战略定位清晰，发展目标切实可行</t>
    <phoneticPr fontId="12" type="noConversion"/>
  </si>
  <si>
    <t>经营领域</t>
    <phoneticPr fontId="12" type="noConversion"/>
  </si>
  <si>
    <t>主营和非主营业务领域符合监管要求，非主营业务清晰，可行性论证充分，与公司经营状况、管理水平和人才储备情况相匹配</t>
    <phoneticPr fontId="12" type="noConversion"/>
  </si>
  <si>
    <t>业务发展</t>
  </si>
  <si>
    <t>业务规模、结构、渠道等（保险集团包括非保险金融类企业和非金融类企业发展规划）</t>
  </si>
  <si>
    <t>机构发展</t>
  </si>
  <si>
    <t>经营区域范围、分支机构类型等（保险集团拟进入和退出的行业领域）</t>
  </si>
  <si>
    <t>偿付能力管理</t>
  </si>
  <si>
    <t>资本管理</t>
  </si>
  <si>
    <t>风险管理</t>
  </si>
  <si>
    <t>基础管理</t>
  </si>
  <si>
    <t>保障措施</t>
  </si>
  <si>
    <t>制定程序（6分）</t>
    <phoneticPr fontId="3" type="noConversion"/>
  </si>
  <si>
    <t>制定</t>
  </si>
  <si>
    <t>充分研究论证</t>
  </si>
  <si>
    <t>审议</t>
  </si>
  <si>
    <t>听取主要股东和监事会意见</t>
  </si>
  <si>
    <t>规划报董事会审议</t>
  </si>
  <si>
    <t>经股东大会（创立大会）通过</t>
  </si>
  <si>
    <t>调整频率（5分）</t>
    <phoneticPr fontId="3" type="noConversion"/>
  </si>
  <si>
    <t>年度调整</t>
  </si>
  <si>
    <t>次数≤1</t>
  </si>
  <si>
    <t>规划实施（32分）</t>
    <phoneticPr fontId="3" type="noConversion"/>
  </si>
  <si>
    <t>任务分解</t>
  </si>
  <si>
    <t>制定年度分解任务和落实措施</t>
  </si>
  <si>
    <t>报董事会和经理层通过</t>
  </si>
  <si>
    <t>分支机构</t>
  </si>
  <si>
    <t>新设机构符合发展规划</t>
  </si>
  <si>
    <t>日常监测</t>
  </si>
  <si>
    <t>开展季度分析并报董事会和经理层</t>
  </si>
  <si>
    <t>内容调整</t>
  </si>
  <si>
    <t>规划部门提出调整建议报董事会审议</t>
  </si>
  <si>
    <t>重大事项调整说明清楚、详尽、理由充分</t>
  </si>
  <si>
    <t>年度考核</t>
  </si>
  <si>
    <t>制定方案，完成年度考核报告，
结果报董事会和公司经理层</t>
  </si>
  <si>
    <t>考核报告符合实际，责任清晰，措施得当</t>
  </si>
  <si>
    <t>评估工作（16分）</t>
    <phoneticPr fontId="3" type="noConversion"/>
  </si>
  <si>
    <t>组织评估</t>
  </si>
  <si>
    <t>制定方案，开展评估，并将结果报董事会审议</t>
  </si>
  <si>
    <t>监事会意见</t>
  </si>
  <si>
    <t>监事会审议规划年度实施情况并提出意见</t>
  </si>
  <si>
    <t>评估报告</t>
  </si>
  <si>
    <t>对照规划要素全面评估</t>
  </si>
  <si>
    <t>说明保费收入、总资产、利润率、偿付能力充足率、分支机构建设等重要指标年度完成情况，并与规划目标进行差异分析</t>
  </si>
  <si>
    <t>材料报送（15分）</t>
    <phoneticPr fontId="3" type="noConversion"/>
  </si>
  <si>
    <t>报送时间</t>
  </si>
  <si>
    <t>按时报送保险公司发展规划、调整说明
和评估报告</t>
  </si>
  <si>
    <t>附件9：保险公司案件管理相关的操作风险评价标准</t>
    <phoneticPr fontId="12" type="noConversion"/>
  </si>
  <si>
    <t>评价项目</t>
    <phoneticPr fontId="12" type="noConversion"/>
  </si>
  <si>
    <t>评价指标</t>
    <phoneticPr fontId="3" type="noConversion"/>
  </si>
  <si>
    <t>分值</t>
    <phoneticPr fontId="12" type="noConversion"/>
  </si>
  <si>
    <t>指标说明</t>
    <phoneticPr fontId="12" type="noConversion"/>
  </si>
  <si>
    <t>评价标准</t>
    <phoneticPr fontId="12" type="noConversion"/>
  </si>
  <si>
    <t xml:space="preserve">洗钱风险（20分）
</t>
    <phoneticPr fontId="3" type="noConversion"/>
  </si>
  <si>
    <t>机构人员</t>
    <phoneticPr fontId="3" type="noConversion"/>
  </si>
  <si>
    <t>设置反洗钱专门机构或者指定内设机构，设立反洗钱岗位</t>
    <phoneticPr fontId="12" type="noConversion"/>
  </si>
  <si>
    <t>基础分3分，最高3分，最低0分。分别统计产险、寿险公司百亿元保费反洗钱人员配置数量，计算被评价公司百亿元保费反洗钱人员配置人数并与之相比较，每低于平均数50%扣1.5分，最多扣3分。</t>
    <phoneticPr fontId="3" type="noConversion"/>
  </si>
  <si>
    <t>客户身份识别</t>
    <phoneticPr fontId="12" type="noConversion"/>
  </si>
  <si>
    <t>按照规定开展客户身份识别工作</t>
    <phoneticPr fontId="3" type="noConversion"/>
  </si>
  <si>
    <t>基础分4分，最高4分，最低0分。分别统计产险、寿险公司达到识别金额以上的百亿元保费平均识别件数，计算被评价公司百亿元保费识别件数并与之相比较，每低于平均数50%扣2分，最多扣4分。</t>
    <phoneticPr fontId="3" type="noConversion"/>
  </si>
  <si>
    <t>大额和可疑交易报告</t>
    <phoneticPr fontId="3" type="noConversion"/>
  </si>
  <si>
    <t>1.及时、准确报送大额交易和可疑交易</t>
    <phoneticPr fontId="3" type="noConversion"/>
  </si>
  <si>
    <t>基础分4分，最高4分，最低0分。1.分别统计产险、寿险公司百亿元保费可疑交易报告平均件数，计算被评价公司百亿元保费报告件数并与之相比较，每低于平均数50%扣1分，最多扣2分；2.根据反洗钱监测分析中心保险机构大额和可疑交易报告通报情况，受批评公司扣2分。</t>
    <phoneticPr fontId="3" type="noConversion"/>
  </si>
  <si>
    <t>2.报送的可疑交易质量高</t>
    <phoneticPr fontId="12" type="noConversion"/>
  </si>
  <si>
    <t>洗钱案件</t>
    <phoneticPr fontId="12" type="noConversion"/>
  </si>
  <si>
    <t>协助发现洗钱案件，对已发生洗钱案件报告了可疑交易报告</t>
    <phoneticPr fontId="12" type="noConversion"/>
  </si>
  <si>
    <t xml:space="preserve">基础分4分，最高4分，最低0分。公司发生洗钱案件，在查证之前，公司存在应报未报可疑交易情形的，每件扣1分，最多扣4分。应报未报可疑交易情形包括：（1）客户投保金额50万元以上；（2）客户投保理财型保险产品；（3）客户为恐怖组织或恐怖分子；（4）其他具有明显可疑情形的。
</t>
    <phoneticPr fontId="12" type="noConversion"/>
  </si>
  <si>
    <t>信息报送</t>
    <phoneticPr fontId="3" type="noConversion"/>
  </si>
  <si>
    <t>及时、准确、规范报送监管机构要求的反洗钱信息</t>
    <phoneticPr fontId="3" type="noConversion"/>
  </si>
  <si>
    <t>基础分2分，最高2分，最低0分。在反洗钱信息报送工作中迟报、漏报、不报的扣1分，连续两次迟报、漏报、不报的扣2分。</t>
    <phoneticPr fontId="3" type="noConversion"/>
  </si>
  <si>
    <t>奖惩情况</t>
    <phoneticPr fontId="3" type="noConversion"/>
  </si>
  <si>
    <t>1.在人民银行、保监会系统组织的反洗钱评比中获得荣誉，或因协助发现重大洗钱案件获得人民银行、司法机关等部门书面表扬或荣誉</t>
    <phoneticPr fontId="3" type="noConversion"/>
  </si>
  <si>
    <t>基础分1分，最高3分，最低0分。1.公司各级机构在人民银行、保监会系统组织的反洗钱评比中获得荣誉，或因协助发现重大洗钱案件获得人民银行、司法机关等部门书面表扬或荣誉的，每次加1分，最多加2分；2.公司在人民银行组织的反洗钱检查中受到行政处罚，扣1分。</t>
    <phoneticPr fontId="3" type="noConversion"/>
  </si>
  <si>
    <t>2.反洗钱工作受到人民银行行政处罚</t>
    <phoneticPr fontId="3" type="noConversion"/>
  </si>
  <si>
    <t xml:space="preserve">保险欺诈风险（30分）
</t>
    <phoneticPr fontId="3" type="noConversion"/>
  </si>
  <si>
    <t>制度建设</t>
    <phoneticPr fontId="12" type="noConversion"/>
  </si>
  <si>
    <t>健全反保险欺诈制度</t>
    <phoneticPr fontId="12" type="noConversion"/>
  </si>
  <si>
    <t>基础分5分，最高分5分，最低分0分。1.未制定与业务种类、规模以及性质相适应的欺诈风险管理制度，扣2分；2.未对交易对手欺诈风险的评估、识别和管控建立制度规范，扣1分；3.未建立欺诈案件调查和协查制度，扣2分。</t>
    <phoneticPr fontId="3" type="noConversion"/>
  </si>
  <si>
    <t>组织体系</t>
    <phoneticPr fontId="12" type="noConversion"/>
  </si>
  <si>
    <t>完善反保险欺诈组织体系</t>
    <phoneticPr fontId="12" type="noConversion"/>
  </si>
  <si>
    <t>基础分5分，最高分5分，最低分0分。1.总公司未设立专门的部门或指定内设机构作为反欺诈职能部门，扣2分；2.省级分支机构未设立反欺诈岗位，1个省级分支机构扣0.5分，最高扣3分。</t>
    <phoneticPr fontId="3" type="noConversion"/>
  </si>
  <si>
    <t>预防欺诈风险</t>
    <phoneticPr fontId="12" type="noConversion"/>
  </si>
  <si>
    <t>强化保险欺诈风险监测与评估</t>
    <phoneticPr fontId="12" type="noConversion"/>
  </si>
  <si>
    <t>基础分5分，最高分5分，最低分0分。1.未定期分析、评估公司整体的欺诈风险状况，扣3分；2.内部审计部门未检查或评估公司欺诈风险管理体系运行情况和运行效果，监督欺诈风险管理政策的执行情况，扣2分。</t>
    <phoneticPr fontId="3" type="noConversion"/>
  </si>
  <si>
    <t>处置欺诈风险</t>
    <phoneticPr fontId="12" type="noConversion"/>
  </si>
  <si>
    <t>主动处置保险欺诈风险</t>
    <phoneticPr fontId="12" type="noConversion"/>
  </si>
  <si>
    <t>基础分10分，最高分10分，最低分0分。1.未建立保险欺诈行为的举报投诉渠道，扣2分；2.保险公司每漏报、迟报1起保险欺诈类风险案件扣0.5分，瞒报1起扣2分，最高扣4分；3.未对保险欺诈责任人进行责任追究或案件移送的，扣4分。</t>
    <phoneticPr fontId="3" type="noConversion"/>
  </si>
  <si>
    <t>信息系统</t>
    <phoneticPr fontId="12" type="noConversion"/>
  </si>
  <si>
    <t>借助信息系统防控保险欺诈风险</t>
    <phoneticPr fontId="12" type="noConversion"/>
  </si>
  <si>
    <t>基础分5分，最高分5分，最低分0分。1.未建立欺诈风险的识别、计量、监测和控制的信息系统，或者现有的信息系统未嵌入上述功能，扣2分；2.未按监管规定要求向反保险欺诈系统平台报送数据，存在错报、漏报、报送不规范的，扣3分。</t>
    <phoneticPr fontId="3" type="noConversion"/>
  </si>
  <si>
    <t xml:space="preserve">刑事案件风险（50分）
</t>
    <phoneticPr fontId="3" type="noConversion"/>
  </si>
  <si>
    <t>百亿元保费案件数</t>
    <phoneticPr fontId="12" type="noConversion"/>
  </si>
  <si>
    <t>截至季末累计案件数÷截至季末累计原保险保费收入（单位：件/百亿元）</t>
    <phoneticPr fontId="12" type="noConversion"/>
  </si>
  <si>
    <t>R为公司指标值，N为行业平均值：
R≤N，不扣分
N＜R≤1.5N，扣2分
1.5N＜R≤2N，扣4分
2N＜R≤3N，扣6分
3N＜R，扣8分</t>
    <phoneticPr fontId="12" type="noConversion"/>
  </si>
  <si>
    <t>案发机构占比</t>
    <phoneticPr fontId="12" type="noConversion"/>
  </si>
  <si>
    <t>截至季末发案省公司数÷季末省公司数×100%</t>
    <phoneticPr fontId="12" type="noConversion"/>
  </si>
  <si>
    <t>1.未发生刑事案件的公司，不扣分；
2.发生刑事案件的公司计分方式为：
R为排名，N为发案公司总数：
R≤20%N，扣1分
20%N＜R≤40%N，扣3分
40%N＜R≤60%N，扣5分
60%N＜R≤80%N，扣7分
80%N＜R，扣9分</t>
    <phoneticPr fontId="3" type="noConversion"/>
  </si>
  <si>
    <t>重大案件情况</t>
    <phoneticPr fontId="12" type="noConversion"/>
  </si>
  <si>
    <t>截至季末累计发生涉案金额100万元及以上案件的情况。</t>
    <phoneticPr fontId="12" type="noConversion"/>
  </si>
  <si>
    <t>S为涉案金额，每发生1件扣分标准为：
100万元≤S＜500万元，扣2分
500万元≤S＜1000万元，扣4分
1000万元≤S＜2000万元，扣6分
2000万元≤S＜5000万元，扣8分
5000万元≤S＜1亿元，扣10分
1亿元≤S，扣12分
最高扣20分。</t>
    <phoneticPr fontId="12" type="noConversion"/>
  </si>
  <si>
    <t>案件报送情况</t>
    <phoneticPr fontId="3" type="noConversion"/>
  </si>
  <si>
    <t>保险公司应准确、及时、规范报送案件信息</t>
    <phoneticPr fontId="12" type="noConversion"/>
  </si>
  <si>
    <t>基础分5分，最高5分，最低0分。每迟报、错报或漏报1起案件扣0.5分，瞒报案件扣5分，最高扣5分。</t>
    <phoneticPr fontId="3" type="noConversion"/>
  </si>
  <si>
    <t>宣传教育</t>
    <phoneticPr fontId="12" type="noConversion"/>
  </si>
  <si>
    <t>加强风险案件宣传教育</t>
    <phoneticPr fontId="12" type="noConversion"/>
  </si>
  <si>
    <t>基础分5分，最高5分，最低0分。1.未开展反保险欺诈公益宣传、教育培训的，扣2分；2.未按规定开展风险案件警示教育，每发生1起，扣1分，最高扣3分。</t>
    <phoneticPr fontId="3" type="noConversion"/>
  </si>
  <si>
    <t>不适用</t>
    <phoneticPr fontId="3" type="noConversion"/>
  </si>
  <si>
    <t>行业水平评分</t>
    <phoneticPr fontId="3" type="noConversion"/>
  </si>
  <si>
    <t>直接评分</t>
    <phoneticPr fontId="3" type="noConversion"/>
  </si>
  <si>
    <t>评价标准</t>
  </si>
  <si>
    <t>从业经验指资产管理部门主持工作的负责人从事金融机构投资相关工作的时间。</t>
    <phoneticPr fontId="3" type="noConversion"/>
  </si>
  <si>
    <t>人员结构是指资金运用风险管理人员数量与投研人员数量的比例。风险管理人员数量是指与资金运用相关的风险控制、合规法律、内控稽核、投后跟踪管理人员数量。</t>
    <phoneticPr fontId="3" type="noConversion"/>
  </si>
  <si>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3" type="noConversion"/>
  </si>
  <si>
    <t>不扣分</t>
  </si>
  <si>
    <t>HR人员名单</t>
  </si>
  <si>
    <t>行业水平评分</t>
    <phoneticPr fontId="3"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</si>
  <si>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12" type="noConversion"/>
  </si>
  <si>
    <t>责任部门权重</t>
    <phoneticPr fontId="3" type="noConversion"/>
  </si>
  <si>
    <t>投资部</t>
    <phoneticPr fontId="3" type="noConversion"/>
  </si>
  <si>
    <t>责任部门权重</t>
    <phoneticPr fontId="12" type="noConversion"/>
  </si>
  <si>
    <t>人身保险公司分支机构销售、承保、保全业务线操作风险</t>
  </si>
  <si>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</si>
  <si>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</si>
  <si>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</si>
  <si>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</si>
  <si>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</si>
  <si>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</si>
  <si>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</si>
  <si>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</si>
  <si>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</si>
  <si>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</si>
  <si>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责任部门权重</t>
    <phoneticPr fontId="3" type="noConversion"/>
  </si>
  <si>
    <t>行次</t>
    <phoneticPr fontId="3" type="noConversion"/>
  </si>
  <si>
    <t>评价指标</t>
    <phoneticPr fontId="3" type="noConversion"/>
  </si>
  <si>
    <t>指标说明</t>
    <phoneticPr fontId="3" type="noConversion"/>
  </si>
  <si>
    <t>评价标准</t>
    <phoneticPr fontId="3" type="noConversion"/>
  </si>
  <si>
    <t>证据</t>
    <phoneticPr fontId="3" type="noConversion"/>
  </si>
  <si>
    <t>数据校验</t>
    <phoneticPr fontId="3" type="noConversion"/>
  </si>
  <si>
    <t>分数差</t>
    <phoneticPr fontId="3" type="noConversion"/>
  </si>
  <si>
    <t>扣分项</t>
    <phoneticPr fontId="3" type="noConversion"/>
  </si>
  <si>
    <t>管理层离职率</t>
  </si>
  <si>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</si>
  <si>
    <t>总公司人力资源部</t>
  </si>
  <si>
    <t>人事铂金系统抽取数据</t>
    <phoneticPr fontId="3" type="noConversion"/>
  </si>
  <si>
    <t>部门负责人具有5年以上保险相关从业经验的占比</t>
    <phoneticPr fontId="3" type="noConversion"/>
  </si>
  <si>
    <t>从业经验指省级分公司和中心支公司销售、承保、保全部门负责人从事保险相关工作的时间。</t>
    <phoneticPr fontId="3" type="noConversion"/>
  </si>
  <si>
    <t>评估期期末省级分公司和中心支公司销售、承保、保全部门负责人具有5年以上保险相关从业经验人数</t>
  </si>
  <si>
    <t>分公司</t>
  </si>
  <si>
    <t>评估期期末省级分公司和中心支公司销售、承保、保全部门负责人人数</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</si>
  <si>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 type="noConversion"/>
  </si>
  <si>
    <t>员工流失率≤15%，得3分；15%＜员工流失率≤30%，得1.5分；员工流失率&gt;30%，得0分。</t>
    <phoneticPr fontId="3" type="noConversion"/>
  </si>
  <si>
    <t>最近4个季度省级分公司及以下分支机构销售、承保、保全部门离职员工人数</t>
  </si>
  <si>
    <t>前4个季度初省级分公司及以下分支机构销售、承保、保全部门员工人数</t>
  </si>
  <si>
    <t>最近4个季度部门负责人培训次数</t>
  </si>
  <si>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</si>
  <si>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</si>
  <si>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4个季度</t>
    <phoneticPr fontId="3" type="noConversion"/>
  </si>
  <si>
    <t>业绩考核</t>
    <phoneticPr fontId="3" type="noConversion"/>
  </si>
  <si>
    <t>将操作风险纳入省级分公司和中心支公司销售、承保、保全部门负责人考核体系的，得4分；否则，得0分。</t>
  </si>
  <si>
    <t>1|将操作风险纳入省级分公司和中心支公司销售、承保、保全部门负责人考核体系</t>
  </si>
  <si>
    <t>中介协议签订率</t>
  </si>
  <si>
    <t>中介协议签订率=评估期期末公司与代理机构签订有效的合作协议份数÷代理机构总家数×100%。合作协议过期视为无效。</t>
    <phoneticPr fontId="49" type="noConversion"/>
  </si>
  <si>
    <t>评估期期末公司与代理机构签订有效的合作协议份数</t>
  </si>
  <si>
    <t>代理机构总家数</t>
  </si>
  <si>
    <t>销售人员协议签订率</t>
    <phoneticPr fontId="3"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</si>
  <si>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23" type="noConversion"/>
  </si>
  <si>
    <t>销售人员协议签订率=100%，得2分；否则，得0分。</t>
    <phoneticPr fontId="49" type="noConversion"/>
  </si>
  <si>
    <t>评估期期末公司与销售人员签订有效的劳动合同、代理合同份数</t>
  </si>
  <si>
    <t>销售人员总人数</t>
  </si>
  <si>
    <t>千张保单投诉量=评估期公司受理的有效投诉件数总量/期末有效保单总量*1000（单位：件/千张）。投诉件包括公司受理的投诉件和监管部门转办的投诉件。</t>
    <phoneticPr fontId="49" type="noConversion"/>
  </si>
  <si>
    <t>千张保单投诉量≤3，得2分；3&lt;千张保单投诉量≤5，得1分；千张保单投诉量&gt;5，得0分。</t>
    <phoneticPr fontId="49" type="noConversion"/>
  </si>
  <si>
    <t>总公司客服部</t>
  </si>
  <si>
    <t>期末有效保单总量</t>
  </si>
  <si>
    <t>精算提供</t>
    <phoneticPr fontId="3"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</si>
  <si>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49" type="noConversion"/>
  </si>
  <si>
    <t>评价得分=2×代理制销售人员13个月留存率。</t>
    <phoneticPr fontId="49" type="noConversion"/>
  </si>
  <si>
    <t>总公司个险渠道</t>
  </si>
  <si>
    <t>展业操作风险事件指公司存在销售误导，给予或承诺给予保险合同约定以外利益，未履行告知义务，代签名或代抄录风险提示语句，未经批准擅自制作或印制产品宣传材料等情形。</t>
    <phoneticPr fontId="3" type="noConversion"/>
  </si>
  <si>
    <t>最近4个季度，监管部门发现公司存在展业操作风险事件的，每项次扣2分；公司自查发现存在展业操作风险事件的，每项次扣0.5分，扣完6分为止。</t>
    <phoneticPr fontId="49" type="noConversion"/>
  </si>
  <si>
    <t>未发现</t>
    <phoneticPr fontId="3" type="noConversion"/>
  </si>
  <si>
    <t>最近4个季度公司自查发现中介业务操作风险事件次数</t>
  </si>
  <si>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</si>
  <si>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最近4个季度监管发现中介业务操作风险事件次数</t>
  </si>
  <si>
    <t>承保标的风险评估评价公司是否建立了保险标的生调、体检等核验和风险评估制度，能否严格按制度规定展开核验可能产生的操作风险。</t>
    <phoneticPr fontId="49" type="noConversion"/>
  </si>
  <si>
    <t>公司建立了保险标的生调、体检等核验和风险评估制度，并能严格按制度规定展开核验的，得1分；其他情况，得0分。</t>
    <phoneticPr fontId="49" type="noConversion"/>
  </si>
  <si>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</si>
  <si>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</si>
  <si>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</si>
  <si>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</si>
  <si>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协同业务系统</t>
    <phoneticPr fontId="3" type="noConversion"/>
  </si>
  <si>
    <t>评估期内承保的保单件数</t>
  </si>
  <si>
    <t>最近4个季度公司因反洗钱工作被监管部门处罚次数</t>
    <phoneticPr fontId="3" type="noConversion"/>
  </si>
  <si>
    <t>最近4个季度，公司因反洗钱工作被监管部门处罚的，每项次扣2分；下发监管函的，每项次扣1分，扣完4分为止。</t>
    <phoneticPr fontId="3" type="noConversion"/>
  </si>
  <si>
    <t>最近4个季度，监管部门发现公司存在承保管理操作风险事件的，每项次扣3分；公司自查发现存在承保管理操作风险事件的，每项次扣0.5分，扣完6分为止。</t>
    <phoneticPr fontId="3" type="noConversion"/>
  </si>
  <si>
    <t>最近4个季度监管部门发现承保管理操作风险事件次数</t>
  </si>
  <si>
    <t>续期收费率=评估期本期应收实收保费 ÷ 评估期本期应收保费 ×100%。续期收费指根据保险合同约定按期缴方式支付保险费的第二期及以后各期保险费的过程。</t>
  </si>
  <si>
    <t>评估期本期应收实收保费</t>
  </si>
  <si>
    <t>总公司续期保费部</t>
  </si>
  <si>
    <t>评估期本期应收保费</t>
  </si>
  <si>
    <t>保全变更完成率</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</si>
  <si>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</si>
  <si>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</si>
  <si>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保全系统数据统计</t>
  </si>
  <si>
    <t>评估期期初保全变更留存件数</t>
  </si>
  <si>
    <t>评估期保全变更新增件数</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</si>
  <si>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</si>
  <si>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</si>
  <si>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评估期本期合计撤保金总额</t>
  </si>
  <si>
    <t>DW数据统计</t>
  </si>
  <si>
    <t>评估期本期合计退保金总额</t>
  </si>
  <si>
    <t>评估期本期合计实收保费金额</t>
  </si>
  <si>
    <t>评估期本期预收保费总额</t>
  </si>
  <si>
    <t>保单失效率</t>
  </si>
  <si>
    <t>失效、退保金额</t>
  </si>
  <si>
    <t>精算提供</t>
  </si>
  <si>
    <t>减保金额</t>
  </si>
  <si>
    <t>复效额</t>
  </si>
  <si>
    <t>增保额</t>
  </si>
  <si>
    <t>年初累计有效保额</t>
  </si>
  <si>
    <t>保全差错率</t>
  </si>
  <si>
    <t>保全差错率=评估期内保全差错件总量（包括保全撤销、影像重扫补扫、非客户原因的账号变更、审批修改、审批退回）÷ 评估期操作的确认生效的保全件总量×100%.</t>
  </si>
  <si>
    <t>评估期内保全差错件总量</t>
  </si>
  <si>
    <t>保全质检登记</t>
  </si>
  <si>
    <t>评估期操作的确认生效的保全件总量</t>
  </si>
  <si>
    <t>保单质押贷款支付方式</t>
  </si>
  <si>
    <t>保单质押贷款支付方式评价公司保单质押贷款是否通过银行转账支付至投保人银行账户可能产生的操作风险。</t>
  </si>
  <si>
    <t>评估期，保单质押贷款均通过银行转账支付至投保人银行账户的，得1分；否则，得0分。</t>
  </si>
  <si>
    <t>评估期内</t>
    <phoneticPr fontId="3" type="noConversion"/>
  </si>
  <si>
    <t>1|评估期，保单质押贷款均通过银行转账支付至投保人银行账户</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</si>
  <si>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</si>
  <si>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</si>
  <si>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最近4个季度监管部门检查发现保全管理操作风险事件的次数</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</si>
  <si>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</si>
  <si>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</si>
  <si>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不扣分</t>
    <phoneticPr fontId="3" type="noConversion"/>
  </si>
  <si>
    <t>公司自查发现账号管理安全事件的次数</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</si>
  <si>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</si>
  <si>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</si>
  <si>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监管部门检查发现账号管理安全事件的次数</t>
  </si>
  <si>
    <t>佣金系统计提情况</t>
  </si>
  <si>
    <t>佣金系统计提评价公司佣金及手续费是否通过系统跟单自动计提可能产生的操作风险。</t>
  </si>
  <si>
    <t>评估期各业务条线佣金及手续费均通过系统跟单自动计提的，得2分；否则，得0分。</t>
  </si>
  <si>
    <t>1|评估期各业务条线佣金及手续费均通过系统跟单自动计提</t>
  </si>
  <si>
    <t>最近4个季度评估公司原保费收入</t>
  </si>
  <si>
    <t>设行业平均水平为θ，评分为：x&lt;θ，10分；θ≤x&lt;1.5θ，5分；1.5θ≤x&lt;2θ，2分；2θ≤x，0分。</t>
  </si>
  <si>
    <t>行业水平评分</t>
    <phoneticPr fontId="3" type="noConversion"/>
  </si>
  <si>
    <t>最近4个季度保户投资款本年新增交费</t>
  </si>
  <si>
    <t>最近4个季度投连险独立账户本年新增交费</t>
  </si>
  <si>
    <t>直接评分</t>
    <phoneticPr fontId="3" type="noConversion"/>
  </si>
  <si>
    <t>公式行</t>
    <phoneticPr fontId="3" type="noConversion"/>
  </si>
  <si>
    <t>人身保险公司分支机构理赔业务线操作风险</t>
    <phoneticPr fontId="3" type="noConversion"/>
  </si>
  <si>
    <t>从业经验指省级分公司及中心支公司理赔部门负责人从事保险理赔相关工作的时间。</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</si>
  <si>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</si>
  <si>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最近4个季度内省公司及以下分支机构理赔部门离职员工人数</t>
  </si>
  <si>
    <t>前4个季度初省公司及以下分支机构的理赔人员数量</t>
  </si>
  <si>
    <t>最近4个季度省公司及以下分支机构增加的理赔人员数量</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</si>
  <si>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</si>
  <si>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</si>
  <si>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</si>
  <si>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</si>
  <si>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1|省级分公司和中心支公司理赔部门负责人的业绩考核与操作风险相挂钩</t>
  </si>
  <si>
    <t>案均核赔支付时效</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</si>
  <si>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</si>
  <si>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3" type="noConversion"/>
  </si>
  <si>
    <t>评估期内所有赔案支付时点至核赔完成时点差值之和</t>
  </si>
  <si>
    <t>理赔系统</t>
    <phoneticPr fontId="3" type="noConversion"/>
  </si>
  <si>
    <t>正常结案数量</t>
  </si>
  <si>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</si>
  <si>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3" type="noConversion"/>
  </si>
  <si>
    <t>与行业平均水平相比</t>
  </si>
  <si>
    <t>评估期内所有已决赔案出险日至结案的天数总和</t>
  </si>
  <si>
    <t>赔款转账直付比例</t>
  </si>
  <si>
    <t>赔款转账直付比例=评估期转账支付至被保险人（或受益人）银行账户的赔款件数÷评估期已决赔案数量×100%</t>
  </si>
  <si>
    <t>赔款转账直付比例≥95%的，得6分；90%≤赔款转账直付比例＜95%，得2分；赔款转账直付比例＜90%的，得0分</t>
    <phoneticPr fontId="3" type="noConversion"/>
  </si>
  <si>
    <t>评估期转账支付至被保险人（或受益人）银行账户的赔款件数</t>
  </si>
  <si>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</si>
  <si>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评估期所有赔案的未决估计赔款与已决赔款差值之和</t>
  </si>
  <si>
    <t>评估期内所有正常结案赔案的已决赔款之和</t>
  </si>
  <si>
    <t>理赔档案遗失次数</t>
  </si>
  <si>
    <t>理赔档案管理评价公司是否存在理赔档案管理遗失、理赔档案案卷资料不完整或要素填写不完整、理赔档案案卷归档不及时等以及其他理赔档案管理不善情形。</t>
  </si>
  <si>
    <t>理赔档案资料不完整或要素填写不完整次数</t>
  </si>
  <si>
    <t>理赔档案案卷归档不及时次数</t>
  </si>
  <si>
    <t>其他理赔档案管理不善的次数</t>
  </si>
  <si>
    <t>最近4个季度，监管部门发现公司存在理赔操管理作风险事件的，每项次扣3分；公司自查发现公司存在理赔操管理作风险事件的，每项次扣0.5分，扣完20分为止。</t>
    <phoneticPr fontId="3" type="noConversion"/>
  </si>
  <si>
    <t>最近4个季度监管部门发现理赔管理操作风险事件的次数</t>
  </si>
  <si>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</si>
  <si>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3" type="noConversion"/>
  </si>
  <si>
    <t>最近4个季度公司发生业外欺诈案件的次数</t>
  </si>
  <si>
    <t>重大操作风险事件调整次数</t>
  </si>
  <si>
    <t>公司理赔环节每发现1项次重大操作风险事件，理赔业务线内部操作流程总得分扣减10分，扣完60分为止。</t>
    <phoneticPr fontId="3"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</si>
  <si>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</si>
  <si>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phoneticPr fontId="3" type="noConversion"/>
  </si>
  <si>
    <t>反欺诈识别</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</si>
  <si>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</si>
  <si>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</si>
  <si>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1|公司理赔信息系统设置了反欺诈识别提醒功能，对出险时间与起保或终止时间接近、保险年度内索赔次数异常等情况进行提示的，对重点领域和环节设立欺诈案件和可疑赔案筛查功能</t>
  </si>
  <si>
    <t>系统对接情况</t>
  </si>
  <si>
    <t>系统对接指公司理赔信息系统与接报案系统对接。</t>
  </si>
  <si>
    <t>公司理赔信息系统与接报案系统对接，理赔信息系统中报案时间由接报案系统直接导入，报案时间无法手工修改的，得1分；否则，得0分。</t>
  </si>
  <si>
    <t>1|公司理赔信息系统与接报案系统对接，理赔信息系统中报案时间由接报案系统直接导入，报案时间无法手工修改</t>
  </si>
  <si>
    <t>设行业平均水平为θ，评分为：x&lt;θ，10分；θ≤x&lt;1.5θ，5分；1.5θ≤x&lt;2θ，2分；2θ≤x，0分。</t>
    <phoneticPr fontId="3" type="noConversion"/>
  </si>
  <si>
    <t>保险分支机构总公司财务管理操作风险</t>
  </si>
  <si>
    <t>四川</t>
  </si>
  <si>
    <t>省级分公司财会部门负责人从业年限</t>
  </si>
  <si>
    <t>从业经验指省级分公司财会部门负责人从事财务、会计类工作的时间。</t>
  </si>
  <si>
    <t>省级分公司财会部门负责人具有5年以上财务、会计类工作经验的，得5分；否则，得0分。</t>
  </si>
  <si>
    <t>财会部门人员流失率小于或等于20%，得2分；超过20％的，得0分。</t>
    <phoneticPr fontId="3" type="noConversion"/>
  </si>
  <si>
    <t>会计证持证率</t>
    <phoneticPr fontId="3" type="noConversion"/>
  </si>
  <si>
    <t>会计证持证率=100%的，得2分; 会计证持证率＜100%的,得0分。</t>
  </si>
  <si>
    <t>期末省级分公司及所有下辖分支机构参加财务工作一年以上的会计人员中持有会计证人员数量</t>
  </si>
  <si>
    <t>期末省级分公司及所有下辖分支机构参加财务工作一年以上的会计人员总数</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</si>
  <si>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</si>
  <si>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</si>
  <si>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财务部门总人数</t>
  </si>
  <si>
    <t>管理方式</t>
  </si>
  <si>
    <t>管理方式指是否存在公司会计、出纳、稽核等不相容岗位兼职的情况。</t>
  </si>
  <si>
    <t>不存在公司会计、出纳、稽核等不相容岗位兼职情况的 得2分；否则，得0分。</t>
  </si>
  <si>
    <t>1|不存在公司会计、出纳、稽核等不相容岗位兼职情况</t>
  </si>
  <si>
    <t>业绩考核指省级分公司财会部门负责人和中心支公司财会部门负责人的业绩考核是否与操作风险相挂钩。</t>
  </si>
  <si>
    <t>省级分公司和中心支公司财务部门负责人的业绩考核与操作风险相挂钩的，得2分；否则，得0分</t>
  </si>
  <si>
    <t>1|省级分公司和中心支公司财务部门负责人的业绩考核与操作风险相挂钩</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</si>
  <si>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</si>
  <si>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</si>
  <si>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出现重大错报或漏报的次数</t>
  </si>
  <si>
    <t>财务报告评价依据</t>
  </si>
  <si>
    <t>无错报、漏报、未按时报送等差错</t>
  </si>
  <si>
    <t>最近4个季度监管部门发现财务核算操作风险事件的次数</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</si>
  <si>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</si>
  <si>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</si>
  <si>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最近4个季度公司自查发现财务核算操作风险事件的次数</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</si>
  <si>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</si>
  <si>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</si>
  <si>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</si>
  <si>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</si>
  <si>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</si>
  <si>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</si>
  <si>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</si>
  <si>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评估期内非现金收款金额</t>
  </si>
  <si>
    <t>评估期评估公司原保费收入</t>
  </si>
  <si>
    <t>评估期内保户投资款本年新增交费</t>
  </si>
  <si>
    <t>评估期内投连险独立账户本年新增交费</t>
  </si>
  <si>
    <t>非现金付款比率</t>
  </si>
  <si>
    <t>非现金付款比率=评估期内非现金付款金额÷（评估期内赔付金+评估期内退保金）×100％</t>
  </si>
  <si>
    <t>非现金付款比率≥95%，得3分；90%≤非现金付款比率＜95%，得1分；非现金付i款比率＜90%，得0分。</t>
  </si>
  <si>
    <t>评估期内非现金付款金额</t>
  </si>
  <si>
    <t>评估期内赔付金</t>
  </si>
  <si>
    <t>评估期内退保金</t>
  </si>
  <si>
    <t>非寿险业务非正常应收保费比例</t>
    <phoneticPr fontId="3" type="noConversion"/>
  </si>
  <si>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</si>
  <si>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</si>
  <si>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评估期末非寿险业务一年期以上应收保费余额</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</si>
  <si>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</si>
  <si>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</si>
  <si>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t>
  </si>
  <si>
    <t>费用预算执行情况评价省级分公司执行总公司预算情况。</t>
  </si>
  <si>
    <t>评估期末公司本年度累计实际发生费用未超过预算的，得3分；否则，得0分。</t>
  </si>
  <si>
    <t>1|评估期末公司本年度累计实际发生费用未超过预算</t>
  </si>
  <si>
    <t>费用管理操作风险事件包括公司以虚列经济事项、虚列人员薪酬、虚假发票报销费用等方式违规套取费用等情形。</t>
    <phoneticPr fontId="3" type="noConversion"/>
  </si>
  <si>
    <t>最近4个季度公司自查发现费用管理操作风险事件次数</t>
    <phoneticPr fontId="3" type="noConversion"/>
  </si>
  <si>
    <t>单证回销率</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</si>
  <si>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</si>
  <si>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</si>
  <si>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最近4个季度内已回销的有价单证数量</t>
  </si>
  <si>
    <t>最近4个季度内按公司规定时限内应回销的有价单证数量</t>
  </si>
  <si>
    <t>最近4个季度监管部门发现单证印章管理操作风险事件次数</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</si>
  <si>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</si>
  <si>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</si>
  <si>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最近4个季度税收操作风险事件次数</t>
    <phoneticPr fontId="3" type="noConversion"/>
  </si>
  <si>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</si>
  <si>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</si>
  <si>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重大操作风险事件次数</t>
    <phoneticPr fontId="3" type="noConversion"/>
  </si>
  <si>
    <t>公司财务环节每发现1项次重大操作风险事件，财务管理内部操作流程总得分扣减10分，扣完60分为止。</t>
  </si>
  <si>
    <t>监管部门发现账号安全问题次数</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</si>
  <si>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</si>
  <si>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</si>
  <si>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公司自查发现账号安全问题次数</t>
  </si>
  <si>
    <t>系统对接指财务系统与单证系统、业务系统、再保系统、精算系统等对接，实现系统间数据自动交换的</t>
  </si>
  <si>
    <t>财务系统与单证系统、业务系统、再保系统、精算系统等对接，实现系统间数据自动交换的，得2分；否则，得0分。</t>
  </si>
  <si>
    <t>1|财务系统与单证系统、业务系统、再保系统、精算系统等对接，实现系统间数据自动交换</t>
  </si>
  <si>
    <t>OR04-分公司销售承保保全</t>
    <phoneticPr fontId="3" type="noConversion"/>
  </si>
  <si>
    <t>OR08-分公司理赔</t>
    <phoneticPr fontId="3" type="noConversion"/>
  </si>
  <si>
    <t>OR13-分公司财务管理</t>
    <phoneticPr fontId="3" type="noConversion"/>
  </si>
  <si>
    <t>OR02-销售承保</t>
    <phoneticPr fontId="3" type="noConversion"/>
  </si>
  <si>
    <t>OR06-理赔保全</t>
    <phoneticPr fontId="3" type="noConversion"/>
  </si>
  <si>
    <t>check</t>
    <phoneticPr fontId="3" type="noConversion"/>
  </si>
  <si>
    <t>check</t>
    <phoneticPr fontId="12" type="noConversion"/>
  </si>
  <si>
    <t>IT</t>
    <phoneticPr fontId="3" type="noConversion"/>
  </si>
  <si>
    <t>财务管理部</t>
    <phoneticPr fontId="3" type="noConversion"/>
  </si>
  <si>
    <t>满分</t>
    <phoneticPr fontId="3" type="noConversion"/>
  </si>
  <si>
    <t>得分</t>
    <phoneticPr fontId="3" type="noConversion"/>
  </si>
  <si>
    <t>15年行业均值</t>
    <phoneticPr fontId="3" type="noConversion"/>
  </si>
  <si>
    <t>绩效评分</t>
    <phoneticPr fontId="12" type="noConversion"/>
  </si>
  <si>
    <t>评估期内发现分支机构及其销售人员、保险中介代理机构存在私印宣传、培训材料问题的次数。                                                             
 评估期为评估时点之前12个月。</t>
    <phoneticPr fontId="12" type="noConversion"/>
  </si>
  <si>
    <t>无</t>
  </si>
  <si>
    <t>分支机构封面页</t>
    <phoneticPr fontId="3" type="noConversion"/>
  </si>
  <si>
    <t>北京保监局</t>
  </si>
  <si>
    <t>报告期间</t>
    <phoneticPr fontId="53" type="noConversion"/>
  </si>
  <si>
    <t>天津保监局</t>
  </si>
  <si>
    <t>公司中文名称</t>
    <phoneticPr fontId="53" type="noConversion"/>
  </si>
  <si>
    <t>公司英文名称</t>
    <phoneticPr fontId="53" type="noConversion"/>
  </si>
  <si>
    <t>公司类型</t>
    <phoneticPr fontId="53" type="noConversion"/>
  </si>
  <si>
    <t>1|人身险公司</t>
  </si>
  <si>
    <t>分支机构负责人</t>
    <phoneticPr fontId="53" type="noConversion"/>
  </si>
  <si>
    <t>辽宁保监局</t>
  </si>
  <si>
    <t>注册地址</t>
    <phoneticPr fontId="53" type="noConversion"/>
  </si>
  <si>
    <t>保险机构法人许可证号（经营保险业务许可证）</t>
    <phoneticPr fontId="53" type="noConversion"/>
  </si>
  <si>
    <t>开业时间</t>
    <phoneticPr fontId="53" type="noConversion"/>
  </si>
  <si>
    <t>业务范围（经营范围）</t>
    <phoneticPr fontId="53" type="noConversion"/>
  </si>
  <si>
    <t>江苏保监局</t>
  </si>
  <si>
    <t>联系人姓名</t>
    <phoneticPr fontId="53" type="noConversion"/>
  </si>
  <si>
    <t>联系人办公室电话</t>
    <phoneticPr fontId="53" type="noConversion"/>
  </si>
  <si>
    <t>联系人移动电话</t>
    <phoneticPr fontId="53" type="noConversion"/>
  </si>
  <si>
    <t>联系人传真号码</t>
    <phoneticPr fontId="53" type="noConversion"/>
  </si>
  <si>
    <t>联系人电子信箱</t>
    <phoneticPr fontId="53" type="noConversion"/>
  </si>
  <si>
    <t>山东保监局</t>
  </si>
  <si>
    <t>分支机构隶属保监局</t>
    <phoneticPr fontId="53" type="noConversion"/>
  </si>
  <si>
    <t>河南保监局</t>
  </si>
  <si>
    <t>广东保监局</t>
  </si>
  <si>
    <t>四川保监局</t>
  </si>
  <si>
    <t>大连保监局</t>
  </si>
  <si>
    <t>青岛保监局</t>
  </si>
  <si>
    <t>恒安标准人寿保险有限公司天津分公司</t>
  </si>
  <si>
    <t>Heng An Standard Life Insurance Company Limited Tianjin Branch</t>
  </si>
  <si>
    <t>李茂森</t>
  </si>
  <si>
    <t>天津市南开区卫津南路与霞光道交口西南侧花园别墅42号宁泰广场7层01单元、4层03单元及18层04单元</t>
  </si>
  <si>
    <t>000056120000</t>
  </si>
  <si>
    <t>（一）人寿保险、健康保险和意外伤害保险等保险业务（二）上款业务的再保险业务</t>
  </si>
  <si>
    <t>于海凤</t>
  </si>
  <si>
    <t>022-87790088-2613</t>
  </si>
  <si>
    <t>022-23136466</t>
  </si>
  <si>
    <t>TJ.Alisa_Yu@hengansl.com</t>
  </si>
  <si>
    <t>恒安标准人寿保险有限公司辽宁分公司</t>
  </si>
  <si>
    <t>000056210000</t>
  </si>
  <si>
    <t>人寿保险、健康保险和意外伤害保险等保险业务（法定保险业务除外）。</t>
  </si>
  <si>
    <t>梁帅</t>
  </si>
  <si>
    <t>隋海生</t>
  </si>
  <si>
    <t>0532-83079905</t>
  </si>
  <si>
    <t>0532-85793249</t>
  </si>
  <si>
    <t>qd.haisheng_sui@hengansl.com</t>
  </si>
  <si>
    <t>恒安标准人寿保险有限公司河南分公司</t>
    <phoneticPr fontId="12" type="noConversion"/>
  </si>
  <si>
    <t>Heng An Standard Life Insurance Company Limited Henan Branch</t>
    <phoneticPr fontId="12" type="noConversion"/>
  </si>
  <si>
    <t>刘剑</t>
    <phoneticPr fontId="3" type="noConversion"/>
  </si>
  <si>
    <t>郑州市金水区经三路北段86号院6号楼，金印现代城9楼02B、03、04室和15 楼02、03、04、05室</t>
    <phoneticPr fontId="12" type="noConversion"/>
  </si>
  <si>
    <t>000056410000</t>
    <phoneticPr fontId="12" type="noConversion"/>
  </si>
  <si>
    <t>在河南省行政辖区内经营以下业务（法定保险业务除外）：人寿保险、健康保险和意外伤害保险等保险业务；上款业务的再保险业务。</t>
    <phoneticPr fontId="12" type="noConversion"/>
  </si>
  <si>
    <t>冯瑞珍</t>
  </si>
  <si>
    <t>0371-60185285</t>
  </si>
  <si>
    <t>0371-60185388</t>
  </si>
  <si>
    <t>ZZ.Fulla_Feng@hengansl.com</t>
  </si>
  <si>
    <t>恒安标准人寿保险有限公司四川分公司</t>
  </si>
  <si>
    <t>Heng An Standard Life Insurance Company Limited Sichuan Branch</t>
  </si>
  <si>
    <t>恒安标准人寿保险有限公司大连分公司</t>
  </si>
  <si>
    <t>大连市中山区同兴街10号东亚银行大厦12层</t>
  </si>
  <si>
    <t>在辽宁省行政辖区内经营下列业务（法定保险业务除外）：（一）人寿保险、健康保险和意外伤害保险等保险业务；（二）上款业务的再保险业务***（依法须经批准的项目，经相关部门批准后方可开展经营活动）。</t>
  </si>
  <si>
    <t>0411-82615960</t>
  </si>
  <si>
    <t>0411-82615888</t>
  </si>
  <si>
    <t>dl.shuai_liang@hengansl.com</t>
  </si>
  <si>
    <t>恒安标准人寿保险有限公司江苏分公司</t>
  </si>
  <si>
    <t>Heng An Standard Life Insurance Company Limited Jiangsu Branch</t>
  </si>
  <si>
    <t>刘剑锋</t>
  </si>
  <si>
    <t>南京市白下区中山南路49号商茂世纪广场38楼A、B、D座</t>
  </si>
  <si>
    <t>一、人寿保险、健康保险和意外伤害保险等保险业务；二、上述业务的再保险业务</t>
  </si>
  <si>
    <t>张烜</t>
  </si>
  <si>
    <t>025-66673733</t>
  </si>
  <si>
    <t>025-66673999</t>
  </si>
  <si>
    <t>NJ.Jacky_Zhang@hengansl.com</t>
  </si>
  <si>
    <t>Heng An Standard Life Insurance Company Limited Liaoning Branch</t>
  </si>
  <si>
    <t>恒安标准人寿保险有限公司北京分公司</t>
  </si>
  <si>
    <t>Heng An Standard Life Insurance Company Limited Beijing Branch</t>
  </si>
  <si>
    <t>张玉臣</t>
  </si>
  <si>
    <t>北京市东城区新怡家园甲3号楼8层803、806室</t>
  </si>
  <si>
    <t>010-59235500</t>
  </si>
  <si>
    <t>恒安标准人寿保险有限公司广东分公司</t>
  </si>
  <si>
    <t>2009月5月25日</t>
  </si>
  <si>
    <t>恒安标准人寿保险有限公司山东分公司</t>
  </si>
  <si>
    <t>崔涛</t>
  </si>
  <si>
    <t>济南市泉城路17号华能大厦</t>
  </si>
  <si>
    <t>在山东省行政辖区内经营：（一）人寿保险、健康保险和意外伤害保险等保险业务；（二）上款业务的再保险业务（依法须经批准的项目，经相关部门批准后方可开展经营活动，有效期限以许可证为准）。</t>
  </si>
  <si>
    <t>郭鲁宝</t>
  </si>
  <si>
    <t>0531-80983619</t>
  </si>
  <si>
    <t>0531-80983699</t>
  </si>
  <si>
    <t>JN.LuBao_Guo@hengansl.com</t>
  </si>
  <si>
    <t>曾毅</t>
  </si>
  <si>
    <t>四川省成都市锦江区顺城大街8号中环广场1座21楼</t>
  </si>
  <si>
    <t>000056510000</t>
  </si>
  <si>
    <t>在四川省行政辖区内经营以下业务（法定保险业务除外）：1、人寿保险、健康保险和意外伤害保险等保险业务；2、上款业务的再保险业务</t>
  </si>
  <si>
    <t>赵文</t>
  </si>
  <si>
    <t>028-66608675</t>
  </si>
  <si>
    <t>028-66608699</t>
  </si>
  <si>
    <t>CD.Summer_Zhao@hengansl.com</t>
  </si>
  <si>
    <t>恒安标准人寿保险有限公司青岛分公司</t>
  </si>
  <si>
    <t>刘忠喜</t>
  </si>
  <si>
    <t>青岛市市南区香港中路59号国际金融大厦42F</t>
  </si>
  <si>
    <t>000056370200</t>
  </si>
  <si>
    <t>人寿保险；健康保险；意外伤害保险；经保监会批准的其他人身保险业务（法定保险业务除外）。(保险业务许可证有效期限以许可证为准）。（依法须经批准的项目，经相关部门批准后方可开展经营活动）。</t>
  </si>
  <si>
    <t>&lt;不适用&gt;</t>
  </si>
  <si>
    <t>000056370000</t>
    <phoneticPr fontId="3" type="noConversion"/>
  </si>
  <si>
    <t>000056320000</t>
    <phoneticPr fontId="3" type="noConversion"/>
  </si>
  <si>
    <t>000056210200</t>
    <phoneticPr fontId="3" type="noConversion"/>
  </si>
  <si>
    <t>遗失具体</t>
  </si>
  <si>
    <t>北京</t>
  </si>
  <si>
    <t>遗失处理银保通2015版1份</t>
  </si>
  <si>
    <t>大连</t>
  </si>
  <si>
    <t>遗失处理银保通2015版13份</t>
  </si>
  <si>
    <t>天津</t>
  </si>
  <si>
    <t>遗失处理银保通2015版615份</t>
  </si>
  <si>
    <t>青岛</t>
  </si>
  <si>
    <t>遗失处理团险单证49份</t>
  </si>
  <si>
    <t>河南</t>
  </si>
  <si>
    <t>遗失处理银保通2015版4份</t>
  </si>
  <si>
    <t>变动情况</t>
  </si>
  <si>
    <t>明细（期间均为2017.01-2017.12）</t>
  </si>
  <si>
    <t>江苏</t>
  </si>
  <si>
    <t>发放数减少</t>
  </si>
  <si>
    <t>期间发放团险卡单28份，增值税发票2644份，共2672份</t>
  </si>
  <si>
    <t>辽宁</t>
  </si>
  <si>
    <t>期间发放团险卡单19份，增值税发票33份，共52份</t>
  </si>
  <si>
    <t>期间发放银保通2016版500份，增值税发票70份，共570份</t>
  </si>
  <si>
    <t>山东</t>
  </si>
  <si>
    <t>期间发放银保通2015版240份，银保通2016版100份，团险卡单2份，增值税发票354份，共696份</t>
  </si>
  <si>
    <t>期间发放银保通2016版700份，团险卡单12份，发票475份，共1187份</t>
  </si>
  <si>
    <t>广东</t>
  </si>
  <si>
    <t>发放数增加</t>
  </si>
  <si>
    <t>期间发放银保通2015版240份，银保通2016版140份，增值税发票2份，共382份</t>
  </si>
  <si>
    <t>发放数量变动原因总结：</t>
  </si>
  <si>
    <r>
      <t>1</t>
    </r>
    <r>
      <rPr>
        <sz val="10.5"/>
        <color theme="1"/>
        <rFont val="宋体"/>
        <family val="3"/>
        <charset val="134"/>
      </rPr>
      <t>、发放数增加主要是因为分公司业务发展需要，导致需求量增加</t>
    </r>
  </si>
  <si>
    <r>
      <t>2</t>
    </r>
    <r>
      <rPr>
        <sz val="10.5"/>
        <color theme="1"/>
        <rFont val="宋体"/>
        <family val="3"/>
        <charset val="134"/>
      </rPr>
      <t>、发放数减少包括部分公司之前回销率未达标，总公司控制发放导致；部分分公司收缩银保渠道导致；增值税发票推广电子发票后纸质发票发放减少</t>
    </r>
  </si>
  <si>
    <t>客服部权重</t>
    <phoneticPr fontId="3" type="noConversion"/>
  </si>
  <si>
    <t>客服部得分</t>
    <phoneticPr fontId="3" type="noConversion"/>
  </si>
  <si>
    <t>个险权重</t>
    <phoneticPr fontId="3" type="noConversion"/>
  </si>
  <si>
    <t>个险得分</t>
    <phoneticPr fontId="3" type="noConversion"/>
  </si>
  <si>
    <t>团险权重</t>
    <phoneticPr fontId="3" type="noConversion"/>
  </si>
  <si>
    <t>团险得分</t>
    <phoneticPr fontId="3" type="noConversion"/>
  </si>
  <si>
    <t>银保权重</t>
    <phoneticPr fontId="3" type="noConversion"/>
  </si>
  <si>
    <t>银保得分</t>
    <phoneticPr fontId="3" type="noConversion"/>
  </si>
  <si>
    <t>多元权重</t>
    <phoneticPr fontId="3" type="noConversion"/>
  </si>
  <si>
    <t>多元得分</t>
    <phoneticPr fontId="3" type="noConversion"/>
  </si>
  <si>
    <t>续期权重</t>
    <phoneticPr fontId="3" type="noConversion"/>
  </si>
  <si>
    <t>续期得分</t>
    <phoneticPr fontId="3" type="noConversion"/>
  </si>
  <si>
    <t>IT权重</t>
    <phoneticPr fontId="3" type="noConversion"/>
  </si>
  <si>
    <t>IT得分</t>
    <phoneticPr fontId="3" type="noConversion"/>
  </si>
  <si>
    <t>绩效评分备注</t>
    <phoneticPr fontId="3" type="noConversion"/>
  </si>
  <si>
    <t>如有扣分，则分渠道拆明细</t>
  </si>
  <si>
    <t>如有扣分，则分渠道拆明细</t>
    <phoneticPr fontId="3" type="noConversion"/>
  </si>
  <si>
    <t>分渠道拆分明细</t>
    <phoneticPr fontId="3" type="noConversion"/>
  </si>
  <si>
    <t>总公司表格</t>
    <phoneticPr fontId="3" type="noConversion"/>
  </si>
  <si>
    <t>分公司表格</t>
    <phoneticPr fontId="3" type="noConversion"/>
  </si>
  <si>
    <t>满分标准</t>
  </si>
  <si>
    <t>绩效得分</t>
    <phoneticPr fontId="3" type="noConversion"/>
  </si>
  <si>
    <t>投资部得分</t>
    <phoneticPr fontId="3" type="noConversion"/>
  </si>
  <si>
    <t>投资部权重</t>
    <phoneticPr fontId="3" type="noConversion"/>
  </si>
  <si>
    <t>精算与战略部</t>
    <phoneticPr fontId="3" type="noConversion"/>
  </si>
  <si>
    <t>精算得分</t>
    <phoneticPr fontId="3" type="noConversion"/>
  </si>
  <si>
    <t>精算权重</t>
    <phoneticPr fontId="3" type="noConversion"/>
  </si>
  <si>
    <t>IT</t>
    <phoneticPr fontId="3" type="noConversion"/>
  </si>
  <si>
    <t>IT得分</t>
    <phoneticPr fontId="3" type="noConversion"/>
  </si>
  <si>
    <t>财务管理部得分</t>
    <phoneticPr fontId="3" type="noConversion"/>
  </si>
  <si>
    <t>IT权重</t>
    <phoneticPr fontId="12" type="noConversion"/>
  </si>
  <si>
    <t>IT得分</t>
    <phoneticPr fontId="12" type="noConversion"/>
  </si>
  <si>
    <t>Q4</t>
    <phoneticPr fontId="3" type="noConversion"/>
  </si>
  <si>
    <t>Q4</t>
    <phoneticPr fontId="3" type="noConversion"/>
  </si>
  <si>
    <t>权重</t>
    <phoneticPr fontId="3" type="noConversion"/>
  </si>
  <si>
    <t>百分制满分</t>
  </si>
  <si>
    <t>得分</t>
    <phoneticPr fontId="3" type="noConversion"/>
  </si>
  <si>
    <t>得分</t>
    <phoneticPr fontId="3" type="noConversion"/>
  </si>
  <si>
    <t>财务管理部</t>
    <phoneticPr fontId="3" type="noConversion"/>
  </si>
  <si>
    <t>会计运营部</t>
    <phoneticPr fontId="3" type="noConversion"/>
  </si>
  <si>
    <t>满分</t>
    <phoneticPr fontId="3" type="noConversion"/>
  </si>
  <si>
    <t>财务管理部得分</t>
    <phoneticPr fontId="3" type="noConversion"/>
  </si>
  <si>
    <t>财务管理部权重</t>
    <phoneticPr fontId="3" type="noConversion"/>
  </si>
  <si>
    <t>会计运营部得分</t>
    <phoneticPr fontId="3" type="noConversion"/>
  </si>
  <si>
    <t>会计运营部权重</t>
    <phoneticPr fontId="3" type="noConversion"/>
  </si>
  <si>
    <t>财务管理部权重</t>
    <phoneticPr fontId="3" type="noConversion"/>
  </si>
  <si>
    <t>会计运营部权重</t>
    <phoneticPr fontId="3" type="noConversion"/>
  </si>
  <si>
    <t>会计运营部得分</t>
    <phoneticPr fontId="3" type="noConversion"/>
  </si>
  <si>
    <t>客服</t>
    <phoneticPr fontId="3" type="noConversion"/>
  </si>
  <si>
    <t>个险</t>
    <phoneticPr fontId="3" type="noConversion"/>
  </si>
  <si>
    <t>团险</t>
    <phoneticPr fontId="3" type="noConversion"/>
  </si>
  <si>
    <t>银保</t>
    <phoneticPr fontId="3" type="noConversion"/>
  </si>
  <si>
    <t>多元</t>
    <phoneticPr fontId="3" type="noConversion"/>
  </si>
  <si>
    <t>续期</t>
    <phoneticPr fontId="3" type="noConversion"/>
  </si>
  <si>
    <t>客服权重</t>
    <phoneticPr fontId="12" type="noConversion"/>
  </si>
  <si>
    <t>客服得分</t>
    <phoneticPr fontId="12" type="noConversion"/>
  </si>
  <si>
    <t>个险权重</t>
    <phoneticPr fontId="12" type="noConversion"/>
  </si>
  <si>
    <t>个险得分</t>
    <phoneticPr fontId="12" type="noConversion"/>
  </si>
  <si>
    <t>团险权重</t>
    <phoneticPr fontId="12" type="noConversion"/>
  </si>
  <si>
    <t>团险得分</t>
    <phoneticPr fontId="12" type="noConversion"/>
  </si>
  <si>
    <t>银保权重</t>
    <phoneticPr fontId="12" type="noConversion"/>
  </si>
  <si>
    <t>银保得分</t>
    <phoneticPr fontId="12" type="noConversion"/>
  </si>
  <si>
    <t>多元权重</t>
    <phoneticPr fontId="12" type="noConversion"/>
  </si>
  <si>
    <t>多元得分</t>
    <phoneticPr fontId="12" type="noConversion"/>
  </si>
  <si>
    <t>续期权重</t>
    <phoneticPr fontId="12" type="noConversion"/>
  </si>
  <si>
    <t>续期得分</t>
    <phoneticPr fontId="12" type="noConversion"/>
  </si>
  <si>
    <t>客服得分</t>
    <phoneticPr fontId="12" type="noConversion"/>
  </si>
  <si>
    <t>客服权重</t>
    <phoneticPr fontId="3" type="noConversion"/>
  </si>
  <si>
    <t>客服得分</t>
    <phoneticPr fontId="3" type="noConversion"/>
  </si>
  <si>
    <t>IT得分</t>
    <phoneticPr fontId="3" type="noConversion"/>
  </si>
  <si>
    <t>IT权重</t>
    <phoneticPr fontId="3" type="noConversion"/>
  </si>
  <si>
    <t>IT得分</t>
    <phoneticPr fontId="3" type="noConversion"/>
  </si>
  <si>
    <t>投资部建议</t>
    <phoneticPr fontId="3" type="noConversion"/>
  </si>
  <si>
    <t>改为HR1.0权重，投资0权重</t>
    <phoneticPr fontId="3" type="noConversion"/>
  </si>
  <si>
    <t>IT建议</t>
    <phoneticPr fontId="3" type="noConversion"/>
  </si>
  <si>
    <t>改为投资部提供数据</t>
    <phoneticPr fontId="3" type="noConversion"/>
  </si>
  <si>
    <t>结论</t>
    <phoneticPr fontId="3" type="noConversion"/>
  </si>
  <si>
    <t>投资、风险各0.5权重</t>
    <phoneticPr fontId="3" type="noConversion"/>
  </si>
  <si>
    <t>改为财务管理部1.0权重，投资1.0权重</t>
    <phoneticPr fontId="3" type="noConversion"/>
  </si>
  <si>
    <t>投资部和IT各1.0权重</t>
    <phoneticPr fontId="3" type="noConversion"/>
  </si>
  <si>
    <t>风险</t>
    <phoneticPr fontId="3" type="noConversion"/>
  </si>
  <si>
    <t>HR</t>
    <phoneticPr fontId="3" type="noConversion"/>
  </si>
  <si>
    <t>2018Q1</t>
    <phoneticPr fontId="3" type="noConversion"/>
  </si>
  <si>
    <t>Q4绩效评分</t>
    <phoneticPr fontId="3" type="noConversion"/>
  </si>
  <si>
    <t>Q1</t>
    <phoneticPr fontId="3" type="noConversion"/>
  </si>
  <si>
    <r>
      <t>建立信息技术风险识别机制，4分；</t>
    </r>
    <r>
      <rPr>
        <sz val="8"/>
        <color rgb="FFFF0000"/>
        <rFont val="微软雅黑"/>
        <family val="2"/>
        <charset val="134"/>
      </rPr>
      <t>建立了新技术、新产品的准入机制，4分。</t>
    </r>
    <phoneticPr fontId="3" type="noConversion"/>
  </si>
  <si>
    <t>SUM</t>
    <phoneticPr fontId="3" type="noConversion"/>
  </si>
  <si>
    <r>
      <t>重要系统具备安全审计功能，2分；</t>
    </r>
    <r>
      <rPr>
        <sz val="8"/>
        <color rgb="FFFF0000"/>
        <rFont val="微软雅黑"/>
        <family val="2"/>
        <charset val="134"/>
      </rPr>
      <t>具有审计记录，3分</t>
    </r>
    <r>
      <rPr>
        <sz val="8"/>
        <rFont val="微软雅黑"/>
        <family val="2"/>
        <charset val="134"/>
      </rPr>
      <t>。</t>
    </r>
    <phoneticPr fontId="3" type="noConversion"/>
  </si>
  <si>
    <r>
      <t>制定了数据安全管理相关制度和流程，对数据采集、传输、交换、存储、备份、恢复和销毁等环节提出了明确要求，4分；</t>
    </r>
    <r>
      <rPr>
        <sz val="8"/>
        <color rgb="FFFF0000"/>
        <rFont val="微软雅黑"/>
        <family val="2"/>
        <charset val="134"/>
      </rPr>
      <t>建立了重要数据分级分类标准，3分</t>
    </r>
    <r>
      <rPr>
        <sz val="8"/>
        <rFont val="微软雅黑"/>
        <family val="2"/>
        <charset val="134"/>
      </rPr>
      <t>；建立了重要数据使用审批流程，3分。</t>
    </r>
    <phoneticPr fontId="3" type="noConversion"/>
  </si>
  <si>
    <t>建立了质量控制体系，3分。</t>
    <phoneticPr fontId="3" type="noConversion"/>
  </si>
  <si>
    <r>
      <t>开发、测试、生产环境相互分离，3分；</t>
    </r>
    <r>
      <rPr>
        <sz val="8"/>
        <color rgb="FFFF0000"/>
        <rFont val="微软雅黑"/>
        <family val="2"/>
        <charset val="134"/>
      </rPr>
      <t>生产数据必须经过脱敏才能在开发或测试中使用，2分。</t>
    </r>
    <phoneticPr fontId="3" type="noConversion"/>
  </si>
  <si>
    <t>具有完整的功能测试报告，功能测试项目主要包括：等价类划分、边界值分析、错误推测分析、因果图分析、判定表驱动分析、正交实验设计、功能图分析，4分。</t>
    <phoneticPr fontId="3" type="noConversion"/>
  </si>
  <si>
    <t>具有试运行报告，3分。</t>
    <phoneticPr fontId="3" type="noConversion"/>
  </si>
  <si>
    <t>按照设备和介质的安全等级，制定了生命周期的管理措施，5分；无报废控制的要求，本评价点（分值）不得分。</t>
    <phoneticPr fontId="3" type="noConversion"/>
  </si>
  <si>
    <t>总公司风险管理部</t>
    <phoneticPr fontId="3" type="noConversion"/>
  </si>
  <si>
    <t>具有完整的重要系统单点故障定期排查的记录，5分。</t>
    <phoneticPr fontId="3" type="noConversion"/>
  </si>
  <si>
    <t>建立了系统配置管理制度与流程，5分；具有系统配置的流程记录，5分。</t>
    <phoneticPr fontId="3" type="noConversion"/>
  </si>
  <si>
    <t>系统管理员严格按照管理规定进行了系统账户管理，并定期清查系统账户，3分；重要系统的系统管理员在使用超级账户时，采取授权管控等制约措施并保留操作记录，2分。</t>
    <phoneticPr fontId="3" type="noConversion"/>
  </si>
  <si>
    <t>具有主要风险点控制措施，5分；具有主要风险点控制措施的落实记录，5分；具有主要风险危机处理预案，5分。</t>
    <phoneticPr fontId="3" type="noConversion"/>
  </si>
  <si>
    <t>具有：项目需求风险评估，2分；系统架构风险评估，2分；技术可实现性风险评估，2分；项目延期交付风险评估，2分；项目成本超支风险评估，2分；第三方风险评估，2分；测试不完整性风险评估，2分；人员流动风险评估，2分；对主要风险点进行分析4分。</t>
    <phoneticPr fontId="3" type="noConversion"/>
  </si>
  <si>
    <t>详见人力部人员变动表</t>
    <phoneticPr fontId="3" type="noConversion"/>
  </si>
  <si>
    <t>《恒安标准人寿2018年短期激励方案》</t>
    <phoneticPr fontId="3" type="noConversion"/>
  </si>
  <si>
    <t>泰康回复：投研人员以成果为导向，严格实行量化考核：投研人员是公司投资业绩的直接产出者，因此，对于其年度考核，以最核心的、量化投资业绩指标为主。同时，为了保证有效激励，对于可量化的关键绩效指标，设置三级目标制（基础目标、目标、挑战目标）。这样分级的目标体系，有效鼓励投研人员不断挑战更高业绩产出。同时，在日常工作中，投研部门内部定期进行绩效回顾和总结，确保了过程的不断优化。</t>
    <phoneticPr fontId="3" type="noConversion"/>
  </si>
  <si>
    <t>朱路总、刘峰总、任硕、边绍泉、朱逸寒JD</t>
    <phoneticPr fontId="3" type="noConversion"/>
  </si>
  <si>
    <t>泰康回复：风险管理、监察稽核人员关键绩效指标与重点工作任务结合，监控指标是重点：除量化的关键绩效指标外，按照公司绩效管理办法，两类人员还需承担岗位重点工作任务，重点工作任务需明确制定任务完成的时间、成果、数量、质量要求，确定衡量标准。同时，两类人员需承担一些确保风险、合规的监控指标，这些监控指标基于制度要求和岗位要求，对于其绩效成绩有较大影响，严重时其绩效成绩为零。这些指标的设置，有效保证了其工作的效果。</t>
    <phoneticPr fontId="3" type="noConversion"/>
  </si>
  <si>
    <t>HR张炜总绩效合约、JD</t>
    <phoneticPr fontId="3" type="noConversion"/>
  </si>
  <si>
    <t>泰康委托合同相关部分和投资指引</t>
    <phoneticPr fontId="3" type="noConversion"/>
  </si>
  <si>
    <t>操作风险数据库</t>
    <phoneticPr fontId="3" type="noConversion"/>
  </si>
  <si>
    <t>《恒安标准人寿委托投资管理办法》</t>
    <phoneticPr fontId="3" type="noConversion"/>
  </si>
  <si>
    <t>CWP/UWP泰康投资指引</t>
    <phoneticPr fontId="3" type="noConversion"/>
  </si>
  <si>
    <t>报送季度、年度委托投资报告</t>
    <phoneticPr fontId="3" type="noConversion"/>
  </si>
  <si>
    <t>年度资产配置情况报告</t>
    <phoneticPr fontId="3" type="noConversion"/>
  </si>
  <si>
    <t>各投资账户投资指引、O32设置、资金划拨</t>
    <phoneticPr fontId="3" type="noConversion"/>
  </si>
  <si>
    <t>产品简称：恒安标准人寿累积分红UWP、恒安标准人寿分红01、恒安标准人寿传统、恒安标准人寿传统分红。四账户分别有不同的托管账户。</t>
    <phoneticPr fontId="3" type="noConversion"/>
  </si>
  <si>
    <t>托管合同</t>
    <phoneticPr fontId="3" type="noConversion"/>
  </si>
  <si>
    <t>《投资部投资授权管理规范》</t>
    <phoneticPr fontId="3" type="noConversion"/>
  </si>
  <si>
    <t>O32/OA</t>
    <phoneticPr fontId="3" type="noConversion"/>
  </si>
  <si>
    <t>《泰康资产管理公司投资决策管理办法》</t>
    <phoneticPr fontId="3" type="noConversion"/>
  </si>
  <si>
    <t>投委会会议记录、会议纪要</t>
    <phoneticPr fontId="3" type="noConversion"/>
  </si>
  <si>
    <t>泰康回复：每笔投资决策均有书面记录，备查。</t>
    <phoneticPr fontId="3" type="noConversion"/>
  </si>
  <si>
    <t>O32</t>
    <phoneticPr fontId="3" type="noConversion"/>
  </si>
  <si>
    <t>见泰康公司股票池和债券池的构建方法、原则和流程</t>
    <phoneticPr fontId="3" type="noConversion"/>
  </si>
  <si>
    <t>《有价证券买卖委托单》、评级授信情况表</t>
    <phoneticPr fontId="3" type="noConversion"/>
  </si>
  <si>
    <t>集中交易室、电话监控、通讯工具监控。《恒安标准人寿投资部移动通讯工具集中保管工作规范》</t>
    <phoneticPr fontId="3" type="noConversion"/>
  </si>
  <si>
    <t>泰康相关制度：《公平交易制度》、《集中交易管理办法》、《集中交易补充管理办法》、《重大突发事件应急处理规定》、《重大突发事件总体应急预案》、《集中交易室固定收益交易应急管理细则》、《交易对手信用风险管理实施细则》、《银行间债券市场交易对手询价及管理细则》、《关联交易管理办法》、《关于进一步加强异常事件管理的通知》</t>
    <phoneticPr fontId="3" type="noConversion"/>
  </si>
  <si>
    <t>O32</t>
    <phoneticPr fontId="3" type="noConversion"/>
  </si>
  <si>
    <t>泰康回复交易记录完整，备查。</t>
    <phoneticPr fontId="3" type="noConversion"/>
  </si>
  <si>
    <t>《恒安标准人寿金融资产会计分类管理制度》</t>
    <phoneticPr fontId="3" type="noConversion"/>
  </si>
  <si>
    <t>泰康相关制度：《产品估值突发事件处理办法 》、《账户管理细则 》、《估值原则》、《基础设施及不动产投资计划会计核算实施细则 》、《受托资产会计核算办法 》、《估值小组管理细则 》、《金融资产分类管理实施细则 》。</t>
    <phoneticPr fontId="3" type="noConversion"/>
  </si>
  <si>
    <t>O32日操作流程控制，投资部门的业务交易台账与后台清算记录和资金记录保持一致，每日进行清算和交易信息核对。</t>
    <phoneticPr fontId="3" type="noConversion"/>
  </si>
  <si>
    <t>工行估值表、交易流水</t>
    <phoneticPr fontId="3" type="noConversion"/>
  </si>
  <si>
    <t>保监会月报，报送每月资金运用情况</t>
    <phoneticPr fontId="3" type="noConversion"/>
  </si>
  <si>
    <t>对《保险资金运用管理办法》缺口分析，新建及更新系列制度，如风险责任人管理办法。</t>
  </si>
  <si>
    <t>部门紧跟政策变化，积极参加监管部门和同业组织的各项培训。公司风险管理部多次对全体投资部人员进行偿二代政策进行培训。投资部集体学习2018年颁布的《保险资金运用管理办法》。</t>
    <phoneticPr fontId="3" type="noConversion"/>
  </si>
  <si>
    <t>被1-5家主流媒体连续报道超过5天的次数</t>
    <phoneticPr fontId="3" type="noConversion"/>
  </si>
  <si>
    <t>被6-10家主流媒体连续报道超过5天的次数</t>
    <phoneticPr fontId="3" type="noConversion"/>
  </si>
  <si>
    <t>被10家以上主流媒体连续报道超过5天的次数</t>
    <phoneticPr fontId="3" type="noConversion"/>
  </si>
  <si>
    <t>被1-5家主流媒体连续报道超过5天，及时公开回应的次数</t>
    <phoneticPr fontId="3" type="noConversion"/>
  </si>
  <si>
    <t>被1-5家主流媒体连续报道不超过5天，及时公开回应的次数</t>
    <phoneticPr fontId="3" type="noConversion"/>
  </si>
  <si>
    <t>被6-10家主流媒体连续报道超过5天，及时公开回应的次数</t>
    <phoneticPr fontId="3" type="noConversion"/>
  </si>
  <si>
    <t>被6-10家主流媒体连续报道不超过5天，及时公开回应的次数</t>
    <phoneticPr fontId="3" type="noConversion"/>
  </si>
  <si>
    <t>被10家以上主流媒体连续报道超过5天，及时公开回应的次数</t>
    <phoneticPr fontId="3" type="noConversion"/>
  </si>
  <si>
    <t>被10家以上主流媒体连续报道不超过5天，及时公开回应的次数</t>
    <phoneticPr fontId="3" type="noConversion"/>
  </si>
  <si>
    <t>评估期内，保险公司发生负面舆情，及时公开回应，有效扭转负面舆情态势的，加“风险评估与计量”部分所扣分数的50%，加完40分为止。</t>
    <phoneticPr fontId="3" type="noConversion"/>
  </si>
  <si>
    <t>被6-10家主流媒体报道的次数</t>
    <phoneticPr fontId="3" type="noConversion"/>
  </si>
  <si>
    <t>被10家以上主流媒体连续报道超过5天的次数</t>
    <phoneticPr fontId="3" type="noConversion"/>
  </si>
  <si>
    <t>被1-5家主流媒体连续报道超过5天，及时公开回应的次数</t>
    <phoneticPr fontId="3" type="noConversion"/>
  </si>
  <si>
    <t>被1-5家主流媒体连续报道不超过5天，及时公开回应的次数</t>
    <phoneticPr fontId="3" type="noConversion"/>
  </si>
  <si>
    <t>被6-10家主流媒体连续报道超过5天，及时公开回应的次数</t>
    <phoneticPr fontId="3" type="noConversion"/>
  </si>
  <si>
    <t>被6-10家主流媒体连续报道不超过5天，及时公开回应的次数</t>
    <phoneticPr fontId="3" type="noConversion"/>
  </si>
  <si>
    <t>被10家以上主流媒体连续报道超过5天，及时公开回应的次数</t>
    <phoneticPr fontId="3" type="noConversion"/>
  </si>
  <si>
    <t>被10家以上主流媒体连续报道不超过5天，及时公开回应的次数</t>
    <phoneticPr fontId="3" type="noConversion"/>
  </si>
  <si>
    <t>评估期内，保险公司未发生负面舆情，得70分。保险公司发生负面舆情，被1-5家主要媒体报道的，扣2分；被6-10家主要媒体报道的，扣５分；被10家以上主要媒体报道的，扣10分；扣完70分为止。
评估期内，保险公司未发生负面舆情，得20分。保险公司发生负面舆情，被主要媒体持续报道超过5天的，扣5分，扣完20分为止。</t>
    <phoneticPr fontId="3" type="noConversion"/>
  </si>
  <si>
    <t>Q4评分</t>
    <phoneticPr fontId="3" type="noConversion"/>
  </si>
  <si>
    <t>无错报、漏报、未按时报送等差错</t>
    <phoneticPr fontId="3" type="noConversion"/>
  </si>
  <si>
    <t>承保标的风险评估情况</t>
    <phoneticPr fontId="3" type="noConversion"/>
  </si>
  <si>
    <t xml:space="preserve"> 风险事件合计次数指保险公司会计差错量、偿付能力报告差错量、财务报告差错量、资金管理操作风险事件、印章管理操作风险事件、税收操作风险事件等5项风险事件相加之和，各保险公司风险事件合计次数的算术平均数为该指标的行业平均水平。</t>
    <phoneticPr fontId="3" type="noConversion"/>
  </si>
  <si>
    <t>理赔管理操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phoneticPr fontId="3" type="noConversion"/>
  </si>
  <si>
    <t>最近4个季度内未发生资金管理类操作风险事件的，得4分；最近4个季度内发生1次以上、3次以内资金管理类操作风险事件的，得2分；最近4个季度内发生的资金管理类操作风险事件次数超过3次的，得0分。</t>
    <phoneticPr fontId="3" type="noConversion"/>
  </si>
  <si>
    <t>管理层离职率≤30%，得3分；30%＜管理层离职率≤50%，得1.5分；管理层离职率&gt;50%，得0分。</t>
    <phoneticPr fontId="3" type="noConversion"/>
  </si>
  <si>
    <t>90%&lt;犹豫期内电话回访成功率≤100% ，得2分；  80%&lt;犹豫期内电话回访成功率≤90%，得1分；   70%&lt;犹豫期内电话回访成功率≤80%，得0.5分；犹豫期内电话回访成功率≤70%，得 0分。</t>
    <phoneticPr fontId="3" type="noConversion"/>
  </si>
  <si>
    <t>2|未将操作风险纳入省级分公司和中心支公司销售、承保、保全部门负责人考核体系</t>
    <phoneticPr fontId="3" type="noConversion"/>
  </si>
  <si>
    <t>不适用</t>
  </si>
  <si>
    <t>评估期期末省级分公司及中心支公司理赔部门负责人具有保险理赔工作5年以上相关从业经验的占比高于（或等于）80%，得5分；占比高于（或等于）50%低于80%，得2分；占比低于50%，得0分。</t>
    <phoneticPr fontId="3" type="noConversion"/>
  </si>
  <si>
    <t>评估期末，专职从事人身保险核保工作的内勤员工数量</t>
    <phoneticPr fontId="12" type="noConversion"/>
  </si>
  <si>
    <t>核保人员工作年限</t>
    <phoneticPr fontId="12" type="noConversion"/>
  </si>
  <si>
    <t>评估期末，具有三年以上核保工作经验的核保人员数量</t>
    <phoneticPr fontId="12" type="noConversion"/>
  </si>
  <si>
    <t>最近4个季度公司自查发现存在销售人员管理操作风险事件的次数</t>
    <phoneticPr fontId="3" type="noConversion"/>
  </si>
  <si>
    <t>最近4个季度公司自查发现理赔管理操作风险事件的次数</t>
    <phoneticPr fontId="3" type="noConversion"/>
  </si>
  <si>
    <t>最近4个季度公司发生业内欺诈案件的次数</t>
    <phoneticPr fontId="3" type="noConversion"/>
  </si>
  <si>
    <t>最近4个季度公司自查发现资金管理类操作风险事件次数</t>
    <phoneticPr fontId="3" type="noConversion"/>
  </si>
  <si>
    <t>最近4个季度公司自查发现单证印章管理操作风险事件次数</t>
    <phoneticPr fontId="3" type="noConversion"/>
  </si>
  <si>
    <t>理赔部门负责人具有5年以上相关从业经验的占比</t>
    <phoneticPr fontId="3" type="noConversion"/>
  </si>
  <si>
    <t>数据提供部门</t>
    <phoneticPr fontId="3" type="noConversion"/>
  </si>
  <si>
    <t>评分标准</t>
    <phoneticPr fontId="3" type="noConversion"/>
  </si>
  <si>
    <t>统计期间</t>
    <phoneticPr fontId="3" type="noConversion"/>
  </si>
  <si>
    <t>证据</t>
    <phoneticPr fontId="3" type="noConversion"/>
  </si>
  <si>
    <t>分值</t>
    <phoneticPr fontId="3" type="noConversion"/>
  </si>
  <si>
    <t>数据校验</t>
    <phoneticPr fontId="3" type="noConversion"/>
  </si>
  <si>
    <t>2|未将操作风险纳入省级分公司和中心支公司销售、承保、保全部门负责人考核体系</t>
    <phoneticPr fontId="3" type="noConversion"/>
  </si>
  <si>
    <t>Q2</t>
    <phoneticPr fontId="3" type="noConversion"/>
  </si>
  <si>
    <t>Q2得分</t>
    <phoneticPr fontId="3" type="noConversion"/>
  </si>
  <si>
    <t>直接评分扣分项</t>
    <phoneticPr fontId="12" type="noConversion"/>
  </si>
  <si>
    <t>直接评分扣分</t>
    <phoneticPr fontId="12" type="noConversion"/>
  </si>
  <si>
    <t>数据提供部门</t>
    <phoneticPr fontId="3" type="noConversion"/>
  </si>
  <si>
    <t>OR08扣分情况</t>
    <phoneticPr fontId="3" type="noConversion"/>
  </si>
  <si>
    <t>直接评分得分</t>
    <phoneticPr fontId="3" type="noConversion"/>
  </si>
  <si>
    <t>行业水平确定可得</t>
    <phoneticPr fontId="3" type="noConversion"/>
  </si>
  <si>
    <t>行业水平总分</t>
    <phoneticPr fontId="3" type="noConversion"/>
  </si>
  <si>
    <t>直接评分总分</t>
    <phoneticPr fontId="3" type="noConversion"/>
  </si>
  <si>
    <t>直接评分扣分</t>
    <phoneticPr fontId="3" type="noConversion"/>
  </si>
  <si>
    <t>未发现</t>
    <phoneticPr fontId="3" type="noConversion"/>
  </si>
  <si>
    <t>4个季度</t>
    <phoneticPr fontId="3" type="noConversion"/>
  </si>
  <si>
    <t>分渠道拆分明细</t>
    <phoneticPr fontId="3" type="noConversion"/>
  </si>
  <si>
    <t>DW系统RP6-1报表</t>
    <phoneticPr fontId="3" type="noConversion"/>
  </si>
  <si>
    <t>DW系统RP6-1报表</t>
    <phoneticPr fontId="3" type="noConversion"/>
  </si>
  <si>
    <t>分渠道拆分明细</t>
    <phoneticPr fontId="3" type="noConversion"/>
  </si>
  <si>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3" type="noConversion"/>
  </si>
  <si>
    <t>总公司客服部找戚悦提供</t>
    <phoneticPr fontId="3" type="noConversion"/>
  </si>
  <si>
    <t>总公司客服部找戚悦提供</t>
    <phoneticPr fontId="3" type="noConversion"/>
  </si>
  <si>
    <t>评估期内</t>
    <phoneticPr fontId="3" type="noConversion"/>
  </si>
  <si>
    <t>4个季度</t>
    <phoneticPr fontId="3" type="noConversion"/>
  </si>
  <si>
    <t>扣分项</t>
    <phoneticPr fontId="3" type="noConversion"/>
  </si>
  <si>
    <t>不扣分</t>
    <phoneticPr fontId="3" type="noConversion"/>
  </si>
  <si>
    <t>评估期内</t>
    <phoneticPr fontId="3" type="noConversion"/>
  </si>
  <si>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phoneticPr fontId="3" type="noConversion"/>
  </si>
  <si>
    <t>行业水平评分</t>
    <phoneticPr fontId="3" type="noConversion"/>
  </si>
  <si>
    <t>总分</t>
    <phoneticPr fontId="3" type="noConversion"/>
  </si>
  <si>
    <t>直接评分总分</t>
    <phoneticPr fontId="3" type="noConversion"/>
  </si>
  <si>
    <t>直接评分扣分</t>
    <phoneticPr fontId="3" type="noConversion"/>
  </si>
  <si>
    <t>行业水平总分</t>
    <phoneticPr fontId="3" type="noConversion"/>
  </si>
  <si>
    <t>公式行</t>
    <phoneticPr fontId="3" type="noConversion"/>
  </si>
  <si>
    <t>直接评分</t>
    <phoneticPr fontId="3" type="noConversion"/>
  </si>
  <si>
    <t>行业水平确定评分</t>
    <phoneticPr fontId="3" type="noConversion"/>
  </si>
  <si>
    <t>行业评分无法确定</t>
    <phoneticPr fontId="12" type="noConversion"/>
  </si>
  <si>
    <t>监管评分</t>
    <phoneticPr fontId="12" type="noConversion"/>
  </si>
  <si>
    <t>直接评分扣分</t>
    <phoneticPr fontId="12" type="noConversion"/>
  </si>
  <si>
    <t>OR13扣分情况</t>
    <phoneticPr fontId="3" type="noConversion"/>
  </si>
  <si>
    <t>数据提供部门</t>
    <phoneticPr fontId="3" type="noConversion"/>
  </si>
  <si>
    <t>统计期间</t>
    <phoneticPr fontId="3" type="noConversion"/>
  </si>
  <si>
    <t>证据</t>
    <phoneticPr fontId="3" type="noConversion"/>
  </si>
  <si>
    <t>评分标准</t>
    <phoneticPr fontId="12" type="noConversion"/>
  </si>
  <si>
    <t>行业排序得分</t>
    <phoneticPr fontId="12" type="noConversion"/>
  </si>
  <si>
    <t>直接评分</t>
    <phoneticPr fontId="12" type="noConversion"/>
  </si>
  <si>
    <t>直接评分</t>
    <phoneticPr fontId="12" type="noConversion"/>
  </si>
  <si>
    <t>行业排序评分</t>
    <phoneticPr fontId="12" type="noConversion"/>
  </si>
  <si>
    <t>行业排序评分</t>
    <phoneticPr fontId="12" type="noConversion"/>
  </si>
  <si>
    <t>行业水平评分</t>
    <phoneticPr fontId="12" type="noConversion"/>
  </si>
  <si>
    <t>直接评分总分</t>
    <phoneticPr fontId="12" type="noConversion"/>
  </si>
  <si>
    <t>行业排序总分</t>
    <phoneticPr fontId="12" type="noConversion"/>
  </si>
  <si>
    <t>行业水平总分</t>
    <phoneticPr fontId="12" type="noConversion"/>
  </si>
  <si>
    <t>行业排序扣分</t>
    <phoneticPr fontId="12" type="noConversion"/>
  </si>
  <si>
    <t>行业水平扣分</t>
    <phoneticPr fontId="12" type="noConversion"/>
  </si>
  <si>
    <t>直接评分扣分</t>
    <phoneticPr fontId="12" type="noConversion"/>
  </si>
  <si>
    <t>总公司信息技术部</t>
    <phoneticPr fontId="3" type="noConversion"/>
  </si>
  <si>
    <t>直接评分</t>
    <phoneticPr fontId="3" type="noConversion"/>
  </si>
  <si>
    <t>评估期末时点</t>
    <phoneticPr fontId="3" type="noConversion"/>
  </si>
  <si>
    <t>设行业平均水平为θ，评分为：x&lt;θ，10分；θ≤x&lt;1.5θ，5分；1.5θ≤x&lt;2θ，2分；2θ≤x，0分。</t>
    <phoneticPr fontId="3" type="noConversion"/>
  </si>
  <si>
    <t>4个季度</t>
    <phoneticPr fontId="3" type="noConversion"/>
  </si>
  <si>
    <t>得分</t>
    <phoneticPr fontId="3" type="noConversion"/>
  </si>
  <si>
    <t>满分</t>
    <phoneticPr fontId="3" type="noConversion"/>
  </si>
  <si>
    <t>公式行</t>
    <phoneticPr fontId="3" type="noConversion"/>
  </si>
  <si>
    <t>行业评分无法确定</t>
    <phoneticPr fontId="12" type="noConversion"/>
  </si>
  <si>
    <t>监管评分</t>
    <phoneticPr fontId="12" type="noConversion"/>
  </si>
  <si>
    <t>扣分项</t>
    <phoneticPr fontId="12" type="noConversion"/>
  </si>
  <si>
    <t>行业评分确定可得</t>
    <phoneticPr fontId="12" type="noConversion"/>
  </si>
  <si>
    <t>√</t>
    <phoneticPr fontId="12" type="noConversion"/>
  </si>
  <si>
    <t>Q2评分</t>
    <phoneticPr fontId="3" type="noConversion"/>
  </si>
  <si>
    <t>直接评分总分</t>
    <phoneticPr fontId="12" type="noConversion"/>
  </si>
  <si>
    <t>行业排序总分</t>
    <phoneticPr fontId="12" type="noConversion"/>
  </si>
  <si>
    <t>行业排序扣分</t>
    <phoneticPr fontId="12" type="noConversion"/>
  </si>
  <si>
    <t>行业水平扣分</t>
    <phoneticPr fontId="12" type="noConversion"/>
  </si>
  <si>
    <t>责任部门</t>
    <phoneticPr fontId="3" type="noConversion"/>
  </si>
  <si>
    <t>评估期末时点</t>
    <phoneticPr fontId="3" type="noConversion"/>
  </si>
  <si>
    <t>4个季度</t>
    <phoneticPr fontId="3" type="noConversion"/>
  </si>
  <si>
    <t>分值</t>
    <phoneticPr fontId="3" type="noConversion"/>
  </si>
  <si>
    <t>证据</t>
    <phoneticPr fontId="3" type="noConversion"/>
  </si>
  <si>
    <t>数据校验</t>
    <phoneticPr fontId="3" type="noConversion"/>
  </si>
  <si>
    <t>评分标准</t>
    <phoneticPr fontId="3" type="noConversion"/>
  </si>
  <si>
    <t>扣分项</t>
    <phoneticPr fontId="3" type="noConversion"/>
  </si>
  <si>
    <t>变动幅度</t>
    <phoneticPr fontId="3" type="noConversion"/>
  </si>
  <si>
    <t>OR04得分情况</t>
    <phoneticPr fontId="3" type="noConversion"/>
  </si>
  <si>
    <t>两季分数差</t>
    <phoneticPr fontId="3" type="noConversion"/>
  </si>
  <si>
    <t>自我评价</t>
    <phoneticPr fontId="3" type="noConversion"/>
  </si>
  <si>
    <t>是</t>
    <phoneticPr fontId="3" type="noConversion"/>
  </si>
  <si>
    <t>不适用</t>
    <phoneticPr fontId="3" type="noConversion"/>
  </si>
  <si>
    <t>否</t>
    <phoneticPr fontId="3" type="noConversion"/>
  </si>
  <si>
    <t>直接评分总分</t>
    <phoneticPr fontId="12" type="noConversion"/>
  </si>
  <si>
    <t>行业水平评分总分</t>
    <phoneticPr fontId="12" type="noConversion"/>
  </si>
  <si>
    <t>行业水平扣分</t>
    <phoneticPr fontId="12" type="noConversion"/>
  </si>
  <si>
    <t>行业水平评分总分</t>
    <phoneticPr fontId="3" type="noConversion"/>
  </si>
  <si>
    <t>直接评分扣分</t>
    <phoneticPr fontId="3" type="noConversion"/>
  </si>
  <si>
    <t>行业水平评分扣分</t>
    <phoneticPr fontId="3" type="noConversion"/>
  </si>
  <si>
    <t>数据校验</t>
    <phoneticPr fontId="3" type="noConversion"/>
  </si>
  <si>
    <t>指标说明</t>
    <phoneticPr fontId="3" type="noConversion"/>
  </si>
  <si>
    <t>评分规则</t>
    <phoneticPr fontId="3" type="noConversion"/>
  </si>
  <si>
    <t>分数差</t>
    <phoneticPr fontId="3" type="noConversion"/>
  </si>
  <si>
    <t>直接评分总分</t>
    <phoneticPr fontId="12" type="noConversion"/>
  </si>
  <si>
    <t>操作风险</t>
    <phoneticPr fontId="3" type="noConversion"/>
  </si>
  <si>
    <t>销售、承保、保全业务线</t>
    <phoneticPr fontId="3" type="noConversion"/>
  </si>
  <si>
    <t>≥40</t>
  </si>
  <si>
    <t>1/9</t>
    <phoneticPr fontId="3" type="noConversion"/>
  </si>
  <si>
    <t>1/18</t>
    <phoneticPr fontId="3" type="noConversion"/>
  </si>
  <si>
    <t>1/36</t>
    <phoneticPr fontId="3" type="noConversion"/>
  </si>
  <si>
    <t>理赔业务线</t>
    <phoneticPr fontId="3" type="noConversion"/>
  </si>
  <si>
    <t>财务管理</t>
    <phoneticPr fontId="3" type="noConversion"/>
  </si>
  <si>
    <t>资金运用业务线</t>
    <phoneticPr fontId="3" type="noConversion"/>
  </si>
  <si>
    <t>—</t>
    <phoneticPr fontId="3" type="noConversion"/>
  </si>
  <si>
    <t>合规风险</t>
    <phoneticPr fontId="3" type="noConversion"/>
  </si>
  <si>
    <t>公司治理业务线</t>
    <phoneticPr fontId="3" type="noConversion"/>
  </si>
  <si>
    <t>准备金、再保险管理</t>
    <phoneticPr fontId="3" type="noConversion"/>
  </si>
  <si>
    <t>2/9</t>
    <phoneticPr fontId="3" type="noConversion"/>
  </si>
  <si>
    <t>信息系统</t>
    <phoneticPr fontId="3" type="noConversion"/>
  </si>
  <si>
    <t>案件管理</t>
    <phoneticPr fontId="3" type="noConversion"/>
  </si>
  <si>
    <t>小计</t>
    <phoneticPr fontId="3" type="noConversion"/>
  </si>
  <si>
    <t>≥70</t>
  </si>
  <si>
    <t>100%</t>
    <phoneticPr fontId="3" type="noConversion"/>
  </si>
  <si>
    <t>战略风险</t>
    <phoneticPr fontId="3" type="noConversion"/>
  </si>
  <si>
    <t>声誉风险</t>
    <phoneticPr fontId="3" type="noConversion"/>
  </si>
  <si>
    <t>流动性风险</t>
    <phoneticPr fontId="3" type="noConversion"/>
  </si>
  <si>
    <t>≥80</t>
  </si>
  <si>
    <t>量化风险</t>
    <phoneticPr fontId="3" type="noConversion"/>
  </si>
  <si>
    <t>风险综合评级</t>
    <phoneticPr fontId="3" type="noConversion"/>
  </si>
  <si>
    <t>≥90</t>
    <phoneticPr fontId="3" type="noConversion"/>
  </si>
  <si>
    <t>加权</t>
    <phoneticPr fontId="3" type="noConversion"/>
  </si>
  <si>
    <t>占操作风险</t>
    <phoneticPr fontId="3" type="noConversion"/>
  </si>
  <si>
    <t>占难以量化</t>
    <phoneticPr fontId="3" type="noConversion"/>
  </si>
  <si>
    <t>加权</t>
    <phoneticPr fontId="12" type="noConversion"/>
  </si>
  <si>
    <t>占操作风险</t>
    <phoneticPr fontId="12" type="noConversion"/>
  </si>
  <si>
    <t>占难以量化</t>
    <phoneticPr fontId="12" type="noConversion"/>
  </si>
  <si>
    <t>加权</t>
    <phoneticPr fontId="12" type="noConversion"/>
  </si>
  <si>
    <t>占操作风险</t>
    <phoneticPr fontId="12" type="noConversion"/>
  </si>
  <si>
    <t>占加权平均</t>
    <phoneticPr fontId="12" type="noConversion"/>
  </si>
  <si>
    <t>加权</t>
    <phoneticPr fontId="3" type="noConversion"/>
  </si>
  <si>
    <t>占操作风险</t>
    <phoneticPr fontId="3" type="noConversion"/>
  </si>
  <si>
    <t>占难以量化</t>
    <phoneticPr fontId="3" type="noConversion"/>
  </si>
  <si>
    <t>加权</t>
    <phoneticPr fontId="3" type="noConversion"/>
  </si>
  <si>
    <t>占操作风险</t>
    <phoneticPr fontId="3" type="noConversion"/>
  </si>
  <si>
    <t>权重!A1</t>
  </si>
  <si>
    <t>扣分</t>
    <phoneticPr fontId="3" type="noConversion"/>
  </si>
  <si>
    <t>得分</t>
    <phoneticPr fontId="3" type="noConversion"/>
  </si>
  <si>
    <t>总分</t>
    <phoneticPr fontId="3" type="noConversion"/>
  </si>
  <si>
    <t>评估项目</t>
    <phoneticPr fontId="3" type="noConversion"/>
  </si>
  <si>
    <t>A类评级标准</t>
    <phoneticPr fontId="3" type="noConversion"/>
  </si>
  <si>
    <t>得分</t>
    <phoneticPr fontId="3" type="noConversion"/>
  </si>
  <si>
    <t>总公司得分</t>
    <phoneticPr fontId="3" type="noConversion"/>
  </si>
  <si>
    <t>分公司得分</t>
    <phoneticPr fontId="3" type="noConversion"/>
  </si>
  <si>
    <t>权重</t>
    <phoneticPr fontId="3" type="noConversion"/>
  </si>
  <si>
    <t>占本类风险的比重</t>
    <phoneticPr fontId="3" type="noConversion"/>
  </si>
  <si>
    <t>占难以量化风险的比重</t>
    <phoneticPr fontId="3" type="noConversion"/>
  </si>
  <si>
    <t>占总风险的比重</t>
    <phoneticPr fontId="3" type="noConversion"/>
  </si>
  <si>
    <t>总公司</t>
    <phoneticPr fontId="3" type="noConversion"/>
  </si>
  <si>
    <t>分公司</t>
    <phoneticPr fontId="3" type="noConversion"/>
  </si>
  <si>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</si>
  <si>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</si>
  <si>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</si>
  <si>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</si>
  <si>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</si>
  <si>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</si>
  <si>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</si>
  <si>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</si>
  <si>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</si>
  <si>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</si>
  <si>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风险综合评级</t>
    <phoneticPr fontId="3" type="noConversion"/>
  </si>
  <si>
    <t>战略风险</t>
    <phoneticPr fontId="3" type="noConversion"/>
  </si>
  <si>
    <t>声誉风险</t>
    <phoneticPr fontId="3" type="noConversion"/>
  </si>
  <si>
    <t>流动性风险</t>
    <phoneticPr fontId="3" type="noConversion"/>
  </si>
  <si>
    <t>难以量化风险合计</t>
    <phoneticPr fontId="3" type="noConversion"/>
  </si>
  <si>
    <t>量化风险</t>
    <phoneticPr fontId="3" type="noConversion"/>
  </si>
  <si>
    <t>操作风险</t>
    <phoneticPr fontId="3" type="noConversion"/>
  </si>
  <si>
    <t>小计</t>
    <phoneticPr fontId="3" type="noConversion"/>
  </si>
  <si>
    <t>直接确定可得</t>
    <phoneticPr fontId="3" type="noConversion"/>
  </si>
  <si>
    <t>行业水平确定可得</t>
    <phoneticPr fontId="3" type="noConversion"/>
  </si>
  <si>
    <t>行业无法确定</t>
    <phoneticPr fontId="3" type="noConversion"/>
  </si>
  <si>
    <t>监管评分</t>
    <phoneticPr fontId="3" type="noConversion"/>
  </si>
  <si>
    <t>1/9</t>
    <phoneticPr fontId="3" type="noConversion"/>
  </si>
  <si>
    <t>1/18</t>
    <phoneticPr fontId="3" type="noConversion"/>
  </si>
  <si>
    <t>1/36</t>
    <phoneticPr fontId="3" type="noConversion"/>
  </si>
  <si>
    <t>—</t>
    <phoneticPr fontId="3" type="noConversion"/>
  </si>
  <si>
    <t>2/9</t>
    <phoneticPr fontId="3" type="noConversion"/>
  </si>
  <si>
    <t>100%</t>
    <phoneticPr fontId="3" type="noConversion"/>
  </si>
  <si>
    <t>&lt;不适用&gt;</t>
    <phoneticPr fontId="12" type="noConversion"/>
  </si>
  <si>
    <t>直接扣分</t>
    <phoneticPr fontId="3" type="noConversion"/>
  </si>
  <si>
    <t>总公司扣分</t>
    <phoneticPr fontId="3" type="noConversion"/>
  </si>
  <si>
    <t>分公司扣分</t>
    <phoneticPr fontId="3" type="noConversion"/>
  </si>
  <si>
    <t>目录!A1</t>
  </si>
  <si>
    <r>
      <rPr>
        <b/>
        <sz val="11"/>
        <color theme="9"/>
        <rFont val="微软雅黑"/>
        <family val="2"/>
        <charset val="134"/>
      </rPr>
      <t>橙色为扣分：</t>
    </r>
    <r>
      <rPr>
        <b/>
        <sz val="11"/>
        <color rgb="FF00B050"/>
        <rFont val="微软雅黑"/>
        <family val="2"/>
        <charset val="134"/>
      </rPr>
      <t>绿色为扣分改善</t>
    </r>
    <r>
      <rPr>
        <b/>
        <sz val="11"/>
        <rFont val="微软雅黑"/>
        <family val="2"/>
        <charset val="134"/>
      </rPr>
      <t xml:space="preserve"> </t>
    </r>
    <r>
      <rPr>
        <b/>
        <sz val="11"/>
        <color rgb="FFFF0000"/>
        <rFont val="微软雅黑"/>
        <family val="2"/>
        <charset val="134"/>
      </rPr>
      <t>红色为扣分恶化</t>
    </r>
    <r>
      <rPr>
        <b/>
        <sz val="11"/>
        <rFont val="微软雅黑"/>
        <family val="2"/>
        <charset val="134"/>
      </rPr>
      <t/>
    </r>
    <phoneticPr fontId="3" type="noConversion"/>
  </si>
  <si>
    <t>分数差</t>
    <phoneticPr fontId="3" type="noConversion"/>
  </si>
  <si>
    <t>分数差</t>
    <phoneticPr fontId="3" type="noConversion"/>
  </si>
  <si>
    <t>占总</t>
    <phoneticPr fontId="3" type="noConversion"/>
  </si>
  <si>
    <t>目    录</t>
    <phoneticPr fontId="3" type="noConversion"/>
  </si>
  <si>
    <t>-</t>
    <phoneticPr fontId="3" type="noConversion"/>
  </si>
  <si>
    <t>+</t>
    <phoneticPr fontId="3" type="noConversion"/>
  </si>
  <si>
    <t xml:space="preserve">名称 </t>
    <rPh sb="0" eb="1">
      <t>ming'cheng</t>
    </rPh>
    <phoneticPr fontId="3" type="noConversion"/>
  </si>
  <si>
    <t>占总</t>
    <rPh sb="0" eb="1">
      <t>zhan</t>
    </rPh>
    <rPh sb="1" eb="2">
      <t>zongshu'zhi</t>
    </rPh>
    <phoneticPr fontId="3" type="noConversion"/>
  </si>
  <si>
    <t>①</t>
    <phoneticPr fontId="3" type="noConversion"/>
  </si>
  <si>
    <t>②</t>
    <phoneticPr fontId="3" type="noConversion"/>
  </si>
  <si>
    <t>③</t>
    <phoneticPr fontId="3" type="noConversion"/>
  </si>
  <si>
    <t>Q2百分制得分</t>
    <phoneticPr fontId="3" type="noConversion"/>
  </si>
  <si>
    <t>分数差</t>
    <phoneticPr fontId="3" type="noConversion"/>
  </si>
  <si>
    <t>扣分项</t>
    <phoneticPr fontId="3" type="noConversion"/>
  </si>
  <si>
    <t>无</t>
    <phoneticPr fontId="3" type="noConversion"/>
  </si>
  <si>
    <t>Q2评分</t>
    <phoneticPr fontId="12" type="noConversion"/>
  </si>
  <si>
    <t>评估时点之前12个月违规销售非保险金融产品事件的次数</t>
    <phoneticPr fontId="12" type="noConversion"/>
  </si>
  <si>
    <t>操作风险  直接扣分</t>
    <phoneticPr fontId="3" type="noConversion"/>
  </si>
  <si>
    <t>战略风险  直接扣分</t>
    <phoneticPr fontId="3" type="noConversion"/>
  </si>
  <si>
    <t>流动性风险  直接扣分</t>
    <phoneticPr fontId="3" type="noConversion"/>
  </si>
  <si>
    <t>声誉风险</t>
    <phoneticPr fontId="3" type="noConversion"/>
  </si>
  <si>
    <t xml:space="preserve">监管培训20人次，政府报告培训22人次，资产配置培训17人次,股指期货培训20人次
</t>
    <phoneticPr fontId="3" type="noConversion"/>
  </si>
  <si>
    <t>最近4个季度，监管部门发现公司存在费用管理操作风险事件的，每项次扣3分；公司自查发现公司存在费用管理操作风险事件的，每项次扣0.5分，扣完12分为止。</t>
    <phoneticPr fontId="3" type="noConversion"/>
  </si>
  <si>
    <t>最近4个季度监管部门发现资金管理类操作风险事件次数</t>
    <phoneticPr fontId="3" type="noConversion"/>
  </si>
  <si>
    <t>总公司财务部</t>
    <phoneticPr fontId="12" type="noConversion"/>
  </si>
  <si>
    <t>2018年第2季度</t>
  </si>
  <si>
    <t>在北京市行政辖区内经营下列业务（法定保险业务除外）（一）人寿保险、健康保险和意外伤害保险等保险业务；（二）上款业务的再保险业务。</t>
  </si>
  <si>
    <t>范明宇</t>
  </si>
  <si>
    <t>010-59235771</t>
  </si>
  <si>
    <t>BJ.mingyu_fan@hengansl.com</t>
  </si>
  <si>
    <t>18Q2结果</t>
    <phoneticPr fontId="3" type="noConversion"/>
  </si>
  <si>
    <t>18Q2评分</t>
    <phoneticPr fontId="3" type="noConversion"/>
  </si>
  <si>
    <t>保险公司流动性风险评价标准</t>
    <phoneticPr fontId="3" type="noConversion"/>
  </si>
  <si>
    <t>中介协议签订率=100%，得1分；否则，得0分。</t>
    <phoneticPr fontId="49" type="noConversion"/>
  </si>
  <si>
    <t>李春贵事件过期，曲春凤事件过期</t>
    <phoneticPr fontId="3" type="noConversion"/>
  </si>
  <si>
    <t>赵玉梅诉辽宁琛德保险代理有限公司理赔纠纷案件过期</t>
    <phoneticPr fontId="12" type="noConversion"/>
  </si>
  <si>
    <t>最近4个季度投连险独立账户本年新增交费</t>
    <phoneticPr fontId="3" type="noConversion"/>
  </si>
  <si>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phoneticPr fontId="3" type="noConversion"/>
  </si>
  <si>
    <t>四川</t>
    <phoneticPr fontId="3" type="noConversion"/>
  </si>
  <si>
    <t>郑广荣</t>
  </si>
  <si>
    <t>（一）人寿保险、健康保险和意外伤害保险等保险业务；（二）上款保险的再保险业务</t>
  </si>
  <si>
    <t>孙德明</t>
  </si>
  <si>
    <t>020-62160199-8096</t>
  </si>
  <si>
    <t>020-62160010</t>
  </si>
  <si>
    <t>GZ.Deming_Sun@hengansl.com</t>
  </si>
  <si>
    <t>广东省广州市华夏路13号南岳大厦502房之一</t>
    <phoneticPr fontId="12" type="noConversion"/>
  </si>
  <si>
    <t>Heng An Standard Life Insurance company Limited ShanDong Branch</t>
    <phoneticPr fontId="3" type="noConversion"/>
  </si>
  <si>
    <t>Heng An Standard Life Insurance Company Limited Guangdong Branch</t>
    <phoneticPr fontId="3" type="noConversion"/>
  </si>
  <si>
    <t>Heng An Standard Life Insurance Company Limited Dalian Branch</t>
    <phoneticPr fontId="3" type="noConversion"/>
  </si>
  <si>
    <t>Heng An Standard Life Insurance Company Limited, Qingdao Branch</t>
    <phoneticPr fontId="3" type="noConversion"/>
  </si>
  <si>
    <t>000056440000</t>
    <phoneticPr fontId="12" type="noConversion"/>
  </si>
  <si>
    <t>销售人员管理操作风险事件指公司存在销售人员侵占或挪用客户资金，截留保费，参与非法集资，违规销售非保险金融产品等情形。</t>
    <phoneticPr fontId="3" type="noConversion"/>
  </si>
  <si>
    <t>最近4个季度公司自查发现展业操作风险事件次数</t>
    <phoneticPr fontId="3" type="noConversion"/>
  </si>
  <si>
    <t>评估期内承保的保单中完成回访的保单件数</t>
    <phoneticPr fontId="3" type="noConversion"/>
  </si>
  <si>
    <t>最近4个季度公司因反洗钱工作被监管部门下发监管函的次数</t>
    <phoneticPr fontId="3" type="noConversion"/>
  </si>
  <si>
    <t>最近4个季度公司自查发现承保管理操作风险事件次数</t>
    <phoneticPr fontId="3" type="noConversion"/>
  </si>
  <si>
    <t>最近4个季度公司自查发现保全管理操作风险事件的次数</t>
    <phoneticPr fontId="3" type="noConversion"/>
  </si>
  <si>
    <t>评估期期末省级分公司及中心支公司理赔部门负责人人数</t>
    <phoneticPr fontId="3" type="noConversion"/>
  </si>
  <si>
    <t>评估期期末省级分公司及中心支公司理赔部门负责人具有保险理赔工作5年以上相关从业经验人数</t>
    <phoneticPr fontId="3" type="noConversion"/>
  </si>
  <si>
    <t>理赔服务时效</t>
    <phoneticPr fontId="3" type="noConversion"/>
  </si>
  <si>
    <t>财会部门人员流失率</t>
    <phoneticPr fontId="3" type="noConversion"/>
  </si>
  <si>
    <t>银行账户集中管理</t>
    <phoneticPr fontId="3" type="noConversion"/>
  </si>
  <si>
    <t>空白单证缺失率</t>
    <phoneticPr fontId="3" type="noConversion"/>
  </si>
  <si>
    <t>评估期末非寿险业务应收保费余额</t>
    <phoneticPr fontId="3" type="noConversion"/>
  </si>
  <si>
    <t>评估期内公司对销售人员实施内部责任追究的人次</t>
    <phoneticPr fontId="12" type="noConversion"/>
  </si>
  <si>
    <r>
      <rPr>
        <b/>
        <sz val="11"/>
        <color rgb="FF00B050"/>
        <rFont val="宋体"/>
        <family val="3"/>
        <charset val="134"/>
        <scheme val="minor"/>
      </rPr>
      <t>绿色比上一季度好转</t>
    </r>
    <r>
      <rPr>
        <b/>
        <sz val="11"/>
        <color theme="1"/>
        <rFont val="宋体"/>
        <family val="3"/>
        <charset val="134"/>
        <scheme val="minor"/>
      </rPr>
      <t>，</t>
    </r>
    <r>
      <rPr>
        <b/>
        <sz val="11"/>
        <color theme="9"/>
        <rFont val="宋体"/>
        <family val="3"/>
        <charset val="134"/>
        <scheme val="minor"/>
      </rPr>
      <t>橙色比上一季度恶化</t>
    </r>
    <phoneticPr fontId="3" type="noConversion"/>
  </si>
  <si>
    <t>最近4个季度监管部门发现费用管理操作风险事件次数</t>
    <phoneticPr fontId="3" type="noConversion"/>
  </si>
  <si>
    <t>电话回访成功率</t>
    <phoneticPr fontId="12" type="noConversion"/>
  </si>
  <si>
    <t>客户信息真实性比例</t>
    <phoneticPr fontId="12" type="noConversion"/>
  </si>
  <si>
    <t>评估期公司审核发现存在客户信息缺失、虚假问题的保单件数</t>
    <phoneticPr fontId="12" type="noConversion"/>
  </si>
  <si>
    <t>评估期公司开展客户信息真实性审核的保单件数</t>
    <phoneticPr fontId="12" type="noConversion"/>
  </si>
  <si>
    <t>具有3年以上理赔工作经验的人员占比</t>
    <phoneticPr fontId="3" type="noConversion"/>
  </si>
  <si>
    <t>从事保全工作时间5年以上的人员和从事保全工作时间1年以下的人员合计占全部保全工作人员比例</t>
    <phoneticPr fontId="3" type="noConversion"/>
  </si>
  <si>
    <t>索赔核定平均时长</t>
    <phoneticPr fontId="3" type="noConversion"/>
  </si>
  <si>
    <t>赔款支付平均时长</t>
    <phoneticPr fontId="3" type="noConversion"/>
  </si>
  <si>
    <t>保全处理平均时长</t>
    <phoneticPr fontId="3" type="noConversion"/>
  </si>
  <si>
    <t>投诉处理平均时长</t>
    <phoneticPr fontId="3" type="noConversion"/>
  </si>
  <si>
    <t>评估时点之前12个月保险公司接到的关于理赔、保全业务线的诉讼败诉件数</t>
    <phoneticPr fontId="3" type="noConversion"/>
  </si>
  <si>
    <t>财会部门主要负责人专业性</t>
    <phoneticPr fontId="12" type="noConversion"/>
  </si>
  <si>
    <t>最近4个季度资金管理操作风险事件次数</t>
    <phoneticPr fontId="12" type="noConversion"/>
  </si>
  <si>
    <t>最近4个季度内空白单证发放的数量</t>
    <phoneticPr fontId="12"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</si>
  <si>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12" type="noConversion"/>
  </si>
  <si>
    <t>90%&lt;x≤100%，70*X-63；
x≤90%，0。</t>
    <phoneticPr fontId="12" type="noConversion"/>
  </si>
  <si>
    <t>评估期内发现分支机构及其销售人员存在违规销售非保险金融产品的问题数量。                                                                                     
评估期为评估时点之前12个月。</t>
    <phoneticPr fontId="12" type="noConversion"/>
  </si>
  <si>
    <t>评估时点之前12个月保险公司接到的关于理赔、保全业务线的诉讼发生（不含当期败诉）件数</t>
    <phoneticPr fontId="3" type="noConversion"/>
  </si>
  <si>
    <t>3|其他</t>
    <phoneticPr fontId="12" type="noConversion"/>
  </si>
  <si>
    <t>空白单证缺失率</t>
    <phoneticPr fontId="12" type="noConversion"/>
  </si>
  <si>
    <t>总精算师变更次数</t>
    <phoneticPr fontId="3" type="noConversion"/>
  </si>
  <si>
    <t>检查发现再保险业务数据出现差错次数</t>
    <phoneticPr fontId="3" type="noConversion"/>
  </si>
  <si>
    <t>员工流失率</t>
    <phoneticPr fontId="3" type="noConversion"/>
  </si>
  <si>
    <t>代理制销售人员13个月留存率</t>
    <phoneticPr fontId="3" type="noConversion"/>
  </si>
  <si>
    <t>新契约回访完成率</t>
    <phoneticPr fontId="3" type="noConversion"/>
  </si>
  <si>
    <t xml:space="preserve"> 95%≤新契约回访完成率≤100%，得2分；90%≤新契约回访完成率&lt;95%，得1分；新契约回访完成率&lt;90% ，得0分。 </t>
    <phoneticPr fontId="3" type="noConversion"/>
  </si>
  <si>
    <t>续期收费率</t>
    <phoneticPr fontId="3" type="noConversion"/>
  </si>
  <si>
    <t>退（撤）保率</t>
    <phoneticPr fontId="3" type="noConversion"/>
  </si>
  <si>
    <t>理赔部门人员流失率</t>
    <phoneticPr fontId="3" type="noConversion"/>
  </si>
  <si>
    <t>评估期末理赔工作人员中具有3年以上理赔工作经验的人员占比。</t>
    <phoneticPr fontId="3" type="noConversion"/>
  </si>
  <si>
    <t>设行业平均水平为θ，评分为：
x&lt;0.85∙θ，4分；
0.85∙θ≤x&lt;1.25∙θ，6分；
1.25∙θ≤x&lt;1.5∙θ，8分；
1.5∙θ≤x，10分。</t>
    <phoneticPr fontId="3" type="noConversion"/>
  </si>
  <si>
    <t>财会部门人员流失率</t>
    <phoneticPr fontId="12" type="noConversion"/>
  </si>
  <si>
    <t>财会部门人员流失率小于或等于20％的，得2分；超过20％的，得0分。</t>
    <phoneticPr fontId="3" type="noConversion"/>
  </si>
  <si>
    <t>员工培训频率</t>
    <phoneticPr fontId="12" type="noConversion"/>
  </si>
  <si>
    <t>数据差错率</t>
    <phoneticPr fontId="12" type="noConversion"/>
  </si>
  <si>
    <t>最近4个季度内差错率少于1/10000的，得3分；否则，得0分。</t>
    <phoneticPr fontId="12" type="noConversion"/>
  </si>
  <si>
    <t>员工培训频率</t>
    <phoneticPr fontId="3" type="noConversion"/>
  </si>
  <si>
    <t>千张保单投诉量</t>
    <phoneticPr fontId="3" type="noConversion"/>
  </si>
  <si>
    <t>保单失效率≤3%,得3分；3%&lt;保单失效率≤5%,得1.5分;保单失效率&gt;5%,得0分。</t>
    <phoneticPr fontId="3" type="noConversion"/>
  </si>
  <si>
    <t>非寿险业务估损代数偏差率</t>
    <phoneticPr fontId="3" type="noConversion"/>
  </si>
  <si>
    <t>非寿险业务估损代数偏差率≤20%，得4分；非寿险业务估损代数偏差率＞20%，得0分。</t>
    <phoneticPr fontId="3"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</si>
  <si>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12" type="noConversion"/>
  </si>
  <si>
    <t>表格</t>
    <phoneticPr fontId="3" type="noConversion"/>
  </si>
  <si>
    <t>指标</t>
    <phoneticPr fontId="3" type="noConversion"/>
  </si>
  <si>
    <t>权重分配</t>
    <phoneticPr fontId="3" type="noConversion"/>
  </si>
  <si>
    <t>分值</t>
    <phoneticPr fontId="3" type="noConversion"/>
  </si>
  <si>
    <t>部门负责人具有5年以上保险相关从业经验的占比</t>
    <phoneticPr fontId="3" type="noConversion"/>
  </si>
  <si>
    <t>员工流失率</t>
  </si>
  <si>
    <t>部门负责人培训次数</t>
  </si>
  <si>
    <t>业绩考核</t>
    <phoneticPr fontId="3" type="noConversion"/>
  </si>
  <si>
    <t>中介协议签订率</t>
    <phoneticPr fontId="49" type="noConversion"/>
  </si>
  <si>
    <t>销售人员协议签订率</t>
    <phoneticPr fontId="49" type="noConversion"/>
  </si>
  <si>
    <t>千张保单投诉量</t>
    <phoneticPr fontId="49" type="noConversion"/>
  </si>
  <si>
    <t>代理制销售人员13个月留存率</t>
  </si>
  <si>
    <t>承保标的风险评估</t>
    <phoneticPr fontId="3" type="noConversion"/>
  </si>
  <si>
    <t>犹豫期内电话回访成功率</t>
    <phoneticPr fontId="49" type="noConversion"/>
  </si>
  <si>
    <t>新契约回访完成率</t>
    <phoneticPr fontId="49" type="noConversion"/>
  </si>
  <si>
    <t>最近4个季度公司自查发现承保管理操作风险事件次数</t>
    <phoneticPr fontId="49" type="noConversion"/>
  </si>
  <si>
    <t>续期收费率</t>
    <phoneticPr fontId="49" type="noConversion"/>
  </si>
  <si>
    <t>退（撤）保率</t>
    <phoneticPr fontId="49" type="noConversion"/>
  </si>
  <si>
    <t>保单失效率</t>
    <phoneticPr fontId="49" type="noConversion"/>
  </si>
  <si>
    <t>保全差错率</t>
    <phoneticPr fontId="49" type="noConversion"/>
  </si>
  <si>
    <t>保单质押贷款支付方式</t>
    <phoneticPr fontId="49" type="noConversion"/>
  </si>
  <si>
    <t>最近4个季度公司自查发现保全管理操作风险事件的次数</t>
    <phoneticPr fontId="49" type="noConversion"/>
  </si>
  <si>
    <t>重大操作风险事件调整（扣分项）</t>
    <phoneticPr fontId="49" type="noConversion"/>
  </si>
  <si>
    <t>账号管理安全</t>
    <phoneticPr fontId="49" type="noConversion"/>
  </si>
  <si>
    <t>佣金系统计提</t>
    <phoneticPr fontId="49" type="noConversion"/>
  </si>
  <si>
    <t>亿元保费销售、承保、保全操作风险事件数</t>
    <phoneticPr fontId="3" type="noConversion"/>
  </si>
  <si>
    <t>OR08-分公司理赔</t>
  </si>
  <si>
    <t>理赔部门负责人具有5年以上相关从业经验的占比</t>
  </si>
  <si>
    <t>理赔部门人员流失率</t>
  </si>
  <si>
    <t>理赔服务时效</t>
    <phoneticPr fontId="3" type="noConversion"/>
  </si>
  <si>
    <t>非寿险业务估损代数偏差率</t>
  </si>
  <si>
    <t>理赔档案管理</t>
  </si>
  <si>
    <t>GD</t>
    <phoneticPr fontId="3" type="noConversion"/>
  </si>
  <si>
    <t>账号管理安全</t>
  </si>
  <si>
    <t>系统对接</t>
  </si>
  <si>
    <t>亿元保费理赔操作风险事件数</t>
  </si>
  <si>
    <t>OR13-分公司财务管理</t>
  </si>
  <si>
    <t>省级分公司财会部门负责人从业经验</t>
    <phoneticPr fontId="3" type="noConversion"/>
  </si>
  <si>
    <t>财会部门人员流失率</t>
  </si>
  <si>
    <t>会计证持证率</t>
    <phoneticPr fontId="3" type="noConversion"/>
  </si>
  <si>
    <t>员工培训频率</t>
    <phoneticPr fontId="3" type="noConversion"/>
  </si>
  <si>
    <t>财务报告差错量</t>
  </si>
  <si>
    <t>财务核算操作风险事件</t>
  </si>
  <si>
    <t>最近4个季度公司自查发现资金业务操作风险事件次数</t>
    <phoneticPr fontId="3" type="noConversion"/>
  </si>
  <si>
    <t>费用预算执行情况</t>
    <phoneticPr fontId="3" type="noConversion"/>
  </si>
  <si>
    <t>最近4个季度公司自查发现费用管理操作风险事件次数</t>
    <phoneticPr fontId="3" type="noConversion"/>
  </si>
  <si>
    <t>空白单证缺失率</t>
  </si>
  <si>
    <t>最近4个季度税收操作风险事件次数</t>
    <phoneticPr fontId="3" type="noConversion"/>
  </si>
  <si>
    <t>重大操作风险事件调整（扣分项）</t>
    <phoneticPr fontId="49" type="noConversion"/>
  </si>
  <si>
    <t>亿元保费财务操作风险事件数</t>
    <phoneticPr fontId="3" type="noConversion"/>
  </si>
  <si>
    <t>加权评分</t>
    <phoneticPr fontId="3" type="noConversion"/>
  </si>
  <si>
    <t>得分</t>
    <phoneticPr fontId="3" type="noConversion"/>
  </si>
  <si>
    <t>基于声誉风险的调整</t>
    <phoneticPr fontId="3" type="noConversion"/>
  </si>
  <si>
    <t>基于战略风险的调整</t>
    <phoneticPr fontId="3" type="noConversion"/>
  </si>
  <si>
    <t>基于流动性风险的调整</t>
    <phoneticPr fontId="3" type="noConversion"/>
  </si>
  <si>
    <t>绩效得分</t>
    <phoneticPr fontId="3" type="noConversion"/>
  </si>
  <si>
    <t>IRR指标得分</t>
    <phoneticPr fontId="3" type="noConversion"/>
  </si>
  <si>
    <t>非主动指标不扣分</t>
    <phoneticPr fontId="3" type="noConversion"/>
  </si>
  <si>
    <t>IRR指标得分</t>
    <phoneticPr fontId="3" type="noConversion"/>
  </si>
  <si>
    <t>指标类型</t>
    <phoneticPr fontId="3" type="noConversion"/>
  </si>
  <si>
    <t>IRR指标</t>
    <phoneticPr fontId="3" type="noConversion"/>
  </si>
  <si>
    <t>IRR指标</t>
    <phoneticPr fontId="3" type="noConversion"/>
  </si>
  <si>
    <t>行业水平</t>
    <phoneticPr fontId="3" type="noConversion"/>
  </si>
  <si>
    <t>IRR指标得分-扣分项</t>
    <phoneticPr fontId="3" type="noConversion"/>
  </si>
  <si>
    <t>行业排序-分公司排序</t>
    <phoneticPr fontId="3" type="noConversion"/>
  </si>
  <si>
    <t>最近4个季度部门负责人培训次数</t>
    <phoneticPr fontId="3" type="noConversion"/>
  </si>
  <si>
    <t>最近4个季度部门负责人培训次数</t>
    <phoneticPr fontId="3" type="noConversion"/>
  </si>
  <si>
    <t>BJ</t>
    <phoneticPr fontId="3" type="noConversion"/>
  </si>
  <si>
    <t>TJ</t>
    <phoneticPr fontId="3" type="noConversion"/>
  </si>
  <si>
    <t>LN</t>
    <phoneticPr fontId="3" type="noConversion"/>
  </si>
  <si>
    <t>DL</t>
    <phoneticPr fontId="3" type="noConversion"/>
  </si>
  <si>
    <t>SD</t>
    <phoneticPr fontId="3" type="noConversion"/>
  </si>
  <si>
    <t>QD</t>
    <phoneticPr fontId="3" type="noConversion"/>
  </si>
  <si>
    <t>JS</t>
    <phoneticPr fontId="3" type="noConversion"/>
  </si>
  <si>
    <t>HN</t>
    <phoneticPr fontId="3" type="noConversion"/>
  </si>
  <si>
    <t>SC</t>
    <phoneticPr fontId="3" type="noConversion"/>
  </si>
  <si>
    <t>Q2理赔平均值</t>
  </si>
  <si>
    <t>IRR指标得分-扣分项</t>
    <phoneticPr fontId="3" type="noConversion"/>
  </si>
  <si>
    <t>OR04-分公司销售、承保、保全</t>
    <phoneticPr fontId="3" type="noConversion"/>
  </si>
  <si>
    <t>行业水平指标</t>
    <phoneticPr fontId="3" type="noConversion"/>
  </si>
  <si>
    <t>评估时点之前12个月发现私印宣传、培训材料事件的次数</t>
    <phoneticPr fontId="12" type="noConversion"/>
  </si>
  <si>
    <t>评估时点之前12个月发现产品说明会销售误导事件的次数</t>
    <phoneticPr fontId="12" type="noConversion"/>
  </si>
  <si>
    <t>评估时点之前12个月发现组织参与非法集资事件的次数</t>
    <phoneticPr fontId="12" type="noConversion"/>
  </si>
  <si>
    <t>评估时点之前12个月发现组织参与非法集资事件的次数</t>
    <phoneticPr fontId="3" type="noConversion"/>
  </si>
  <si>
    <t>评估时点之前12个月发现通过盗用、伪造印鉴和保单进行诈骗的次数</t>
    <phoneticPr fontId="12" type="noConversion"/>
  </si>
  <si>
    <t>评估时点之前12个月发现侵占、挪用保费事件的次数</t>
    <phoneticPr fontId="12" type="noConversion"/>
  </si>
  <si>
    <t>评估时点之前12个月发现侵占、挪用保费事件的次数</t>
    <phoneticPr fontId="3" type="noConversion"/>
  </si>
  <si>
    <t>注：橘色填充为手动填写指标，其余指标为自动生成。</t>
    <phoneticPr fontId="3" type="noConversion"/>
  </si>
  <si>
    <t>OR10-资金运用</t>
    <phoneticPr fontId="3" type="noConversion"/>
  </si>
  <si>
    <t>最近4个季度估值核算操作风险事件次数</t>
    <phoneticPr fontId="3" type="noConversion"/>
  </si>
  <si>
    <t>最近4个季度内未发生估值核算操作风险事件的，得5分；最近4个季度内发生1次以上、3次以内估值核算操作风险事件的，得3分；最近4个季度内发生的估值核算操作风险事件次数超过3次的，得0分。</t>
    <phoneticPr fontId="3" type="noConversion"/>
  </si>
  <si>
    <t>估值与核算操作风险事件包括估值核算过程中错误计价、估值差错、模型或系统误操作、错误调整金融资产会计分类等风险事件，具体事件分类不重复计算。</t>
    <phoneticPr fontId="3" type="noConversion"/>
  </si>
  <si>
    <t>指标</t>
    <phoneticPr fontId="3" type="noConversion"/>
  </si>
  <si>
    <t>会计运营部</t>
    <phoneticPr fontId="3" type="noConversion"/>
  </si>
  <si>
    <t>精算部</t>
    <phoneticPr fontId="3" type="noConversion"/>
  </si>
  <si>
    <t>保险公司自行投资的，业绩考核</t>
  </si>
  <si>
    <t>保险公司委托投资的，业绩考核</t>
  </si>
  <si>
    <t>表格</t>
    <phoneticPr fontId="3" type="noConversion"/>
  </si>
  <si>
    <t>权重分配</t>
    <phoneticPr fontId="3" type="noConversion"/>
  </si>
  <si>
    <t>精算部</t>
    <phoneticPr fontId="3" type="noConversion"/>
  </si>
  <si>
    <t>OR15-准备金再保险</t>
    <phoneticPr fontId="3" type="noConversion"/>
  </si>
  <si>
    <t>投资部</t>
    <phoneticPr fontId="3" type="noConversion"/>
  </si>
  <si>
    <t>财务管理部</t>
    <phoneticPr fontId="3" type="noConversion"/>
  </si>
  <si>
    <t>IT</t>
    <phoneticPr fontId="3" type="noConversion"/>
  </si>
  <si>
    <t>OR04-分公司销售、承保、保全</t>
    <phoneticPr fontId="3" type="noConversion"/>
  </si>
  <si>
    <t>公司自查发现账号管理安全事件的次数</t>
    <phoneticPr fontId="3" type="noConversion"/>
  </si>
  <si>
    <t>OR02-总公司销售、承保</t>
    <phoneticPr fontId="3" type="noConversion"/>
  </si>
  <si>
    <t>OR13-分公司财务管理</t>
    <phoneticPr fontId="3" type="noConversion"/>
  </si>
  <si>
    <t>省级分公司财会部门负责人从业经验</t>
  </si>
  <si>
    <t>会计证持证率</t>
  </si>
  <si>
    <t>非寿险业务非正常应收保费比例</t>
  </si>
  <si>
    <t>最近4个季度公司自查发现单证印章管理操作风险事件次数</t>
  </si>
  <si>
    <t>重大操作风险事件调整（扣分项）</t>
  </si>
  <si>
    <t>亿元保费财务操作风险事件数</t>
  </si>
  <si>
    <t>出现错报、漏报、未按时报送等差错的次数</t>
    <phoneticPr fontId="3" type="noConversion"/>
  </si>
  <si>
    <t>OR12-总公司财务管理</t>
    <phoneticPr fontId="3" type="noConversion"/>
  </si>
  <si>
    <t>财务处理是否由集团共享中心集中操作或者外包给集团内其他公司</t>
    <phoneticPr fontId="12" type="noConversion"/>
  </si>
  <si>
    <t xml:space="preserve">符合专业性要求的得6分，否则得0分；
保险公司有多个部门负责财会工作的，所有的部门主要负责人符合专业性要求得6分，否则得0分。
</t>
    <phoneticPr fontId="12" type="noConversion"/>
  </si>
  <si>
    <t>加权得分</t>
    <phoneticPr fontId="3" type="noConversion"/>
  </si>
  <si>
    <t>改动B2标题即可</t>
    <phoneticPr fontId="12" type="noConversion"/>
  </si>
  <si>
    <t>在此列前插入最新列</t>
    <phoneticPr fontId="3" type="noConversion"/>
  </si>
  <si>
    <t>客服</t>
  </si>
  <si>
    <t>续期</t>
  </si>
  <si>
    <t>个险</t>
  </si>
  <si>
    <t>团险</t>
  </si>
  <si>
    <t>银保</t>
  </si>
  <si>
    <t>多元</t>
  </si>
  <si>
    <t>OR04-分公司销售、承保、保全</t>
    <phoneticPr fontId="3" type="noConversion"/>
  </si>
  <si>
    <t>部门负责人具有5年以上保险相关从业经验的占比</t>
    <phoneticPr fontId="3" type="noConversion"/>
  </si>
  <si>
    <t>千张保单投诉量</t>
  </si>
  <si>
    <t>承保标的风险评估情况</t>
  </si>
  <si>
    <t>新契约回访完成率</t>
    <phoneticPr fontId="3" type="noConversion"/>
  </si>
  <si>
    <t>亿元保费销售、承保、保全操作风险事件数</t>
    <phoneticPr fontId="3" type="noConversion"/>
  </si>
  <si>
    <t>重大操作风险事件的次数调整（扣分项）</t>
    <phoneticPr fontId="3" type="noConversion"/>
  </si>
  <si>
    <t>保单失效率</t>
    <phoneticPr fontId="3" type="noConversion"/>
  </si>
  <si>
    <t>佣金系统计提情况</t>
    <phoneticPr fontId="3" type="noConversion"/>
  </si>
  <si>
    <t>中介协议签订率</t>
    <phoneticPr fontId="3" type="noConversion"/>
  </si>
  <si>
    <t>OR06-总公司理赔、保全</t>
    <phoneticPr fontId="3" type="noConversion"/>
  </si>
  <si>
    <t>具有3年以上理赔工作经验的人员占比</t>
  </si>
  <si>
    <t>从事保全工作时间5年以上的人员和从事保全工作时间1年以下的人员合计占全部保全工作人员比例</t>
  </si>
  <si>
    <t>索赔核定平均时长</t>
  </si>
  <si>
    <t>赔款支付平均时长</t>
  </si>
  <si>
    <t>保全处理平均时长</t>
  </si>
  <si>
    <t>投诉处理平均时长</t>
  </si>
  <si>
    <t>理赔、保全业务引发的群体性事件</t>
  </si>
  <si>
    <t>评估期内公司对销售人员实施内部责任追究的人次</t>
    <phoneticPr fontId="3" type="noConversion"/>
  </si>
  <si>
    <t>客户信息真实性比例</t>
  </si>
  <si>
    <t>评估时点之前12个月发现私印宣传、培训材料事件的次数</t>
    <phoneticPr fontId="3" type="noConversion"/>
  </si>
  <si>
    <t>OR02-总公司销售、承保</t>
    <phoneticPr fontId="3" type="noConversion"/>
  </si>
  <si>
    <t>理赔服务时效</t>
  </si>
  <si>
    <t>最近4个季度公司自查发现理赔管理操作风险事件的次数</t>
  </si>
  <si>
    <t>最近4个季度公司发生业内欺诈案件的次数</t>
  </si>
  <si>
    <t>亿元保费理赔操作风险事件数</t>
    <phoneticPr fontId="3" type="noConversion"/>
  </si>
  <si>
    <t>OR08-分公司理赔</t>
    <phoneticPr fontId="3" type="noConversion"/>
  </si>
  <si>
    <t>非现金收款比率</t>
    <phoneticPr fontId="3" type="noConversion"/>
  </si>
  <si>
    <t>空白单证缺失率</t>
    <phoneticPr fontId="3" type="noConversion"/>
  </si>
  <si>
    <t>亿元保费财务操作风险事件数</t>
    <phoneticPr fontId="3" type="noConversion"/>
  </si>
  <si>
    <t>OR13-分公司财务管理</t>
    <phoneticPr fontId="3" type="noConversion"/>
  </si>
  <si>
    <t>空白单证缺失率</t>
    <phoneticPr fontId="3" type="noConversion"/>
  </si>
  <si>
    <t>电话回访成功率</t>
    <phoneticPr fontId="3" type="noConversion"/>
  </si>
  <si>
    <t>评估时点之前12个月违规销售非保险金融产品事件的次数</t>
    <phoneticPr fontId="3" type="noConversion"/>
  </si>
  <si>
    <t xml:space="preserve">KRI指标 </t>
    <phoneticPr fontId="3" type="noConversion"/>
  </si>
  <si>
    <t>客服建议</t>
    <phoneticPr fontId="3" type="noConversion"/>
  </si>
  <si>
    <t>亿元保费理赔操作风险事件数=（理赔管理操作风险事件数+反欺诈操作风险事件数）/（评估期内原保费收入+评估期内保户投资款本年新增交费+评估期内投连险独立账户本年新增交费）（亿元）</t>
    <phoneticPr fontId="3" type="noConversion"/>
  </si>
  <si>
    <t>个险</t>
    <phoneticPr fontId="3" type="noConversion"/>
  </si>
  <si>
    <t>团险</t>
    <phoneticPr fontId="3" type="noConversion"/>
  </si>
  <si>
    <t>2018: &gt;95% 绿</t>
    <phoneticPr fontId="3" type="noConversion"/>
  </si>
  <si>
    <t>备注</t>
    <phoneticPr fontId="3" type="noConversion"/>
  </si>
  <si>
    <t>行业水平</t>
    <phoneticPr fontId="3" type="noConversion"/>
  </si>
  <si>
    <t>非主动指标不扣分</t>
    <phoneticPr fontId="3" type="noConversion"/>
  </si>
  <si>
    <t>IRR指标</t>
    <phoneticPr fontId="3" type="noConversion"/>
  </si>
  <si>
    <t>犹豫期内电话回访成功率</t>
    <phoneticPr fontId="3" type="noConversion"/>
  </si>
  <si>
    <t>续期收费率≥90%,得3分；80%≤续期收费率&lt;90%,得1.5分;续期收费率&lt;80%,得0分。</t>
    <phoneticPr fontId="3" type="noConversion"/>
  </si>
  <si>
    <t>离职率</t>
    <phoneticPr fontId="12" type="noConversion"/>
  </si>
  <si>
    <t>得分</t>
    <phoneticPr fontId="12" type="noConversion"/>
  </si>
  <si>
    <t>客服</t>
    <phoneticPr fontId="12" type="noConversion"/>
  </si>
  <si>
    <t>北京</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</si>
  <si>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</si>
  <si>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</si>
  <si>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</si>
  <si>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</si>
  <si>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</si>
  <si>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</si>
  <si>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</si>
  <si>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</si>
  <si>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</si>
  <si>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</si>
  <si>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</si>
  <si>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辽宁</t>
    <phoneticPr fontId="12" type="noConversion"/>
  </si>
  <si>
    <t>客服</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</si>
  <si>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</si>
  <si>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</si>
  <si>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</si>
  <si>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</si>
  <si>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</si>
  <si>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</si>
  <si>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</si>
  <si>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个险</t>
    <phoneticPr fontId="12" type="noConversion"/>
  </si>
  <si>
    <t>北京</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</si>
  <si>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</si>
  <si>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</si>
  <si>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</si>
  <si>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</si>
  <si>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</si>
  <si>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辽宁</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</si>
  <si>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</si>
  <si>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</si>
  <si>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</si>
  <si>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</si>
  <si>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</si>
  <si>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</si>
  <si>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</si>
  <si>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平均值项:得分</t>
  </si>
  <si>
    <t>平均值项:新契约回访完成率</t>
  </si>
  <si>
    <t>平均值项:离职率</t>
  </si>
  <si>
    <t>行标签</t>
  </si>
  <si>
    <t>平均值项:犹豫期内电话回访成功率</t>
  </si>
  <si>
    <t>收展</t>
  </si>
  <si>
    <t>值</t>
  </si>
  <si>
    <t>平均值项:保费继续率</t>
  </si>
  <si>
    <t>非主动指标</t>
    <phoneticPr fontId="3" type="noConversion"/>
  </si>
  <si>
    <t xml:space="preserve">1.将客服反馈的分公司数据，粘贴复制（勾选转置）粘贴进表格中   </t>
    <phoneticPr fontId="3" type="noConversion"/>
  </si>
  <si>
    <t xml:space="preserve">2.删除无效值 </t>
  </si>
  <si>
    <t>3.刷洗数据透视表</t>
    <phoneticPr fontId="3" type="noConversion"/>
  </si>
  <si>
    <t xml:space="preserve">1.将HR反馈的分公司数据，粘贴复制（勾选转置）粘贴进表格中   </t>
    <phoneticPr fontId="3" type="noConversion"/>
  </si>
  <si>
    <t xml:space="preserve">2.删除无效值 </t>
    <phoneticPr fontId="3" type="noConversion"/>
  </si>
  <si>
    <t xml:space="preserve">1.将续期反馈的分公司数据，粘贴复制（勾选转置）粘贴进表格中   </t>
    <phoneticPr fontId="3" type="noConversion"/>
  </si>
  <si>
    <t>分数</t>
    <phoneticPr fontId="3" type="noConversion"/>
  </si>
  <si>
    <t>OR02-总公司销售、承保、保全</t>
    <phoneticPr fontId="3" type="noConversion"/>
  </si>
  <si>
    <t>总公司绩效-I</t>
    <phoneticPr fontId="3" type="noConversion"/>
  </si>
  <si>
    <t>总公司绩效-II</t>
    <phoneticPr fontId="3" type="noConversion"/>
  </si>
  <si>
    <t>犹豫期内电话回访成功率</t>
    <phoneticPr fontId="3" type="noConversion"/>
  </si>
  <si>
    <t>员工流失率</t>
    <phoneticPr fontId="3" type="noConversion"/>
  </si>
  <si>
    <t>OR10-资金运用</t>
    <phoneticPr fontId="3" type="noConversion"/>
  </si>
  <si>
    <t>OR12-财务管理</t>
    <phoneticPr fontId="3" type="noConversion"/>
  </si>
  <si>
    <t>OR15-准备金再保险</t>
    <phoneticPr fontId="3" type="noConversion"/>
  </si>
  <si>
    <t>OR18-合规风险</t>
    <phoneticPr fontId="3" type="noConversion"/>
  </si>
  <si>
    <t>RR01-声誉风险</t>
    <phoneticPr fontId="3" type="noConversion"/>
  </si>
  <si>
    <t>信息系统</t>
    <phoneticPr fontId="3" type="noConversion"/>
  </si>
  <si>
    <t>案件管理</t>
    <phoneticPr fontId="3" type="noConversion"/>
  </si>
  <si>
    <t>流动性风险</t>
    <phoneticPr fontId="3" type="noConversion"/>
  </si>
  <si>
    <t>公司治理</t>
    <phoneticPr fontId="3" type="noConversion"/>
  </si>
  <si>
    <t>战略风险</t>
    <phoneticPr fontId="3" type="noConversion"/>
  </si>
  <si>
    <t>分支机构页</t>
    <phoneticPr fontId="3" type="noConversion"/>
  </si>
  <si>
    <t>绩效总分</t>
    <phoneticPr fontId="3" type="noConversion"/>
  </si>
  <si>
    <t>分公司绩效</t>
    <phoneticPr fontId="3" type="noConversion"/>
  </si>
  <si>
    <t>退撤保率</t>
    <phoneticPr fontId="3" type="noConversion"/>
  </si>
  <si>
    <t>续期收费率</t>
    <phoneticPr fontId="3" type="noConversion"/>
  </si>
  <si>
    <t>新契约回访完成率</t>
    <phoneticPr fontId="3" type="noConversion"/>
  </si>
  <si>
    <t>总公司</t>
    <phoneticPr fontId="3" type="noConversion"/>
  </si>
  <si>
    <t>分公司</t>
    <phoneticPr fontId="3" type="noConversion"/>
  </si>
  <si>
    <t>普遍扣分</t>
    <phoneticPr fontId="3" type="noConversion"/>
  </si>
  <si>
    <t>个性扣分</t>
    <phoneticPr fontId="3" type="noConversion"/>
  </si>
  <si>
    <t>因富有与指标相关的管理职责扣分</t>
    <phoneticPr fontId="3" type="noConversion"/>
  </si>
  <si>
    <t>具有三年以上寿险准备金评估工作经验的人员占比</t>
    <phoneticPr fontId="3" type="noConversion"/>
  </si>
  <si>
    <t>13.OR13-资金操作风险-财务</t>
    <phoneticPr fontId="3" type="noConversion"/>
  </si>
  <si>
    <t>16.OR13-亿元财务操作风险-财务，会计</t>
    <phoneticPr fontId="3" type="noConversion"/>
  </si>
  <si>
    <t>6.OR04-亿元保费销售、承保、保全操作风险事件数-个险</t>
    <phoneticPr fontId="3" type="noConversion"/>
  </si>
  <si>
    <t>8.OR13-财会部门人员流失率-财务，会计</t>
    <phoneticPr fontId="3" type="noConversion"/>
  </si>
  <si>
    <t>9.OR13-银行账户管理，非寿险业务费正常应收保费比例-团险</t>
    <phoneticPr fontId="3" type="noConversion"/>
  </si>
  <si>
    <t>10.OR13-银行账户-财务</t>
    <phoneticPr fontId="3" type="noConversion"/>
  </si>
  <si>
    <t>11.OR13-非寿险业务非正常应收保费比例-会计</t>
    <phoneticPr fontId="3" type="noConversion"/>
  </si>
  <si>
    <t>12.OR13-空白单证缺失率-财务</t>
    <phoneticPr fontId="3" type="noConversion"/>
  </si>
  <si>
    <t>14.OR13-费用，亿元保费财务操作风险-个险，银保</t>
    <phoneticPr fontId="3" type="noConversion"/>
  </si>
  <si>
    <t>15.OR13-费用操作风险-会计</t>
    <phoneticPr fontId="3" type="noConversion"/>
  </si>
  <si>
    <t>5.信息系统-IT</t>
    <phoneticPr fontId="3" type="noConversion"/>
  </si>
  <si>
    <t>2.OR10-三年以上寿险准备金评估工作经验的人员占比-精算</t>
    <phoneticPr fontId="3" type="noConversion"/>
  </si>
  <si>
    <t>3.OR12-资金操作风险-财务，会计</t>
    <phoneticPr fontId="3" type="noConversion"/>
  </si>
  <si>
    <t>4.OR12-风险操作事项-财务，会计</t>
    <phoneticPr fontId="3" type="noConversion"/>
  </si>
  <si>
    <t>1.OR02-销售人员离职率&amp;员工流失率-各渠道，客服</t>
    <phoneticPr fontId="3" type="noConversion"/>
  </si>
  <si>
    <t>3.OR02-问责-个险</t>
    <phoneticPr fontId="3" type="noConversion"/>
  </si>
  <si>
    <t>4.OR02-私印宣传&amp;销售非保险-个险</t>
    <phoneticPr fontId="3" type="noConversion"/>
  </si>
  <si>
    <t>5.0R04-代理制留存率-个险</t>
    <phoneticPr fontId="3" type="noConversion"/>
  </si>
  <si>
    <t>1.OR06-理赔人员，保全人员经验-客服</t>
    <phoneticPr fontId="3" type="noConversion"/>
  </si>
  <si>
    <t>7.OR08-理赔部门人员流失率-客服</t>
    <phoneticPr fontId="3" type="noConversion"/>
  </si>
  <si>
    <t>2.OR02-销售人员学历-个险，团险，银保，续期</t>
    <phoneticPr fontId="3" type="noConversion"/>
  </si>
  <si>
    <t>4.OR02-客户信息真实性比例-个险，银保，多元，续期</t>
    <phoneticPr fontId="3" type="noConversion"/>
  </si>
  <si>
    <t>总公司绩效-II</t>
    <phoneticPr fontId="3" type="noConversion"/>
  </si>
  <si>
    <t>目录</t>
    <phoneticPr fontId="3" type="noConversion"/>
  </si>
  <si>
    <t>分公司绩效</t>
    <phoneticPr fontId="3" type="noConversion"/>
  </si>
  <si>
    <t>总公司绩效-I</t>
    <phoneticPr fontId="3" type="noConversion"/>
  </si>
  <si>
    <t>绩效总分</t>
    <phoneticPr fontId="3" type="noConversion"/>
  </si>
  <si>
    <t>总公司绩效-II</t>
    <phoneticPr fontId="3" type="noConversion"/>
  </si>
  <si>
    <t>目录</t>
    <phoneticPr fontId="3" type="noConversion"/>
  </si>
  <si>
    <t>OR04</t>
    <phoneticPr fontId="3" type="noConversion"/>
  </si>
  <si>
    <t>总公司绩效-II</t>
    <phoneticPr fontId="3" type="noConversion"/>
  </si>
  <si>
    <t>评估期期末前13个月已入职且评估期在职代理制销售人员数</t>
    <phoneticPr fontId="3" type="noConversion"/>
  </si>
  <si>
    <t>评估期前13个月已入职代理制销售人员数</t>
    <phoneticPr fontId="3" type="noConversion"/>
  </si>
  <si>
    <t xml:space="preserve"> </t>
    <phoneticPr fontId="3" type="noConversion"/>
  </si>
  <si>
    <t>Q3得分</t>
    <phoneticPr fontId="3" type="noConversion"/>
  </si>
  <si>
    <t>2018年第3季度</t>
    <phoneticPr fontId="12" type="noConversion"/>
  </si>
  <si>
    <r>
      <t>2018</t>
    </r>
    <r>
      <rPr>
        <sz val="10"/>
        <color theme="1"/>
        <rFont val="宋体"/>
        <family val="3"/>
        <charset val="134"/>
      </rPr>
      <t>年第三季度</t>
    </r>
    <phoneticPr fontId="3" type="noConversion"/>
  </si>
  <si>
    <t>Q3</t>
    <phoneticPr fontId="3" type="noConversion"/>
  </si>
  <si>
    <t>Q2</t>
    <phoneticPr fontId="3" type="noConversion"/>
  </si>
  <si>
    <t>Q3评分</t>
    <phoneticPr fontId="3" type="noConversion"/>
  </si>
  <si>
    <t>Q3评分</t>
    <phoneticPr fontId="3" type="noConversion"/>
  </si>
  <si>
    <t xml:space="preserve"> Q2评分</t>
    <phoneticPr fontId="3" type="noConversion"/>
  </si>
  <si>
    <t>Q3百分制得分</t>
    <phoneticPr fontId="3" type="noConversion"/>
  </si>
  <si>
    <t>Q3评分</t>
    <phoneticPr fontId="12" type="noConversion"/>
  </si>
  <si>
    <t>无扣分</t>
  </si>
  <si>
    <t>评估期内发现产品说明会存在销售误导问题的场次。                        
评估期为评估时点之前12个月。</t>
    <phoneticPr fontId="12" type="noConversion"/>
  </si>
  <si>
    <t>人身险公司</t>
  </si>
  <si>
    <t>吴冰</t>
  </si>
  <si>
    <t>024-22585082</t>
  </si>
  <si>
    <t>sy.bing_wu@hengansl.com</t>
  </si>
  <si>
    <t>投研人员JD（于洋、王向宇、王宇恒、康赛、张宇、斯华景、赵一璇、汪涵、李明）截止至9月30日</t>
  </si>
  <si>
    <t>朱路总、刘峰总、陈菁靓、边绍泉、朱逸寒</t>
    <phoneticPr fontId="3" type="noConversion"/>
  </si>
  <si>
    <t>刘总3次，贾总3次、王总3次、陈总4次</t>
  </si>
  <si>
    <t>内部培训较多，正常变动</t>
  </si>
  <si>
    <t>Q3得分</t>
    <phoneticPr fontId="3" type="noConversion"/>
  </si>
  <si>
    <t>受严重处罚分支机构占比</t>
    <phoneticPr fontId="3" type="noConversion"/>
  </si>
  <si>
    <t>受严重处罚的分支机构总家次</t>
    <phoneticPr fontId="3" type="noConversion"/>
  </si>
  <si>
    <t>未受到该类行政处罚的，扣0分。
（0，行业平均值*80%]，扣5分。
（行业平均值*80%，行业平均值*120%]，扣10分。
（行业平均值*120%，+∞），扣15分。</t>
    <phoneticPr fontId="3" type="noConversion"/>
  </si>
  <si>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phoneticPr fontId="3" type="noConversion"/>
  </si>
  <si>
    <t>最近4个季度省级分公司总经理室成员及中心支公司主要负责人离职人数</t>
    <phoneticPr fontId="3" type="noConversion"/>
  </si>
  <si>
    <t>评估期期末省级分公司总经理室成员及中心支公司主要负责人在职人数</t>
    <phoneticPr fontId="3" type="noConversion"/>
  </si>
  <si>
    <t>18Q3结果</t>
    <phoneticPr fontId="3" type="noConversion"/>
  </si>
  <si>
    <t>17Q1结果</t>
    <phoneticPr fontId="3" type="noConversion"/>
  </si>
  <si>
    <t>18Q3评分</t>
    <phoneticPr fontId="3" type="noConversion"/>
  </si>
  <si>
    <t>17Q1评分</t>
    <phoneticPr fontId="3" type="noConversion"/>
  </si>
  <si>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phoneticPr fontId="3" type="noConversion"/>
  </si>
  <si>
    <t>评估期公司理赔档案管理中存在以下情形的，每项次扣1分，扣完4分为止：
理赔档案遗失、理赔档案案卷资料不完整或要素填写不完整、理赔档案归档不及时等以及其他理赔档案管理不善情形。</t>
    <phoneticPr fontId="3"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</si>
  <si>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3" type="noConversion"/>
  </si>
  <si>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phoneticPr fontId="3"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</si>
  <si>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phoneticPr fontId="3"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</si>
  <si>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phoneticPr fontId="3" type="noConversion"/>
  </si>
  <si>
    <t>最近4个季度监管部门发现展业操作风险事件次数</t>
    <phoneticPr fontId="3" type="noConversion"/>
  </si>
  <si>
    <t xml:space="preserve"> 最近4个季度，监管部门或公司自查发现存在销售人员管理操作风险事件的，每项次扣3分，扣完6分为止。</t>
    <phoneticPr fontId="3" type="noConversion"/>
  </si>
  <si>
    <t>财产保险公司和再保险公司计算预期3个月内、1年内、1年以上3个期间项目的综合流动比率，计算结果大于等于100%的期间项目各得10分，小于100%的期间项目不得分；
人身保险公司计算3个月内、1年内、1年至3年内、3年至5年内、5年以上5个期间项目的综合流动比率，计算结果大于等于100%的期间项目各得6分，小于100%的期间项目不得分。</t>
    <phoneticPr fontId="3" type="noConversion"/>
  </si>
  <si>
    <t>≥70</t>
    <phoneticPr fontId="3" type="noConversion"/>
  </si>
  <si>
    <t>≥70</t>
    <phoneticPr fontId="3" type="noConversion"/>
  </si>
  <si>
    <t>1|能积极参与、密切跟踪新的会计、税收、财务监管、偿付能力等政策制度，能够及时调整财务管理流程和经营行为</t>
    <phoneticPr fontId="12" type="noConversion"/>
  </si>
  <si>
    <t>理赔档案资料不完整或要素填写不完整次数</t>
    <phoneticPr fontId="3" type="noConversion"/>
  </si>
  <si>
    <t>评估时点之前12个月发现产品说明会销售误导事件的次数</t>
    <phoneticPr fontId="12" type="noConversion"/>
  </si>
  <si>
    <t>最近4个季度投连险独立账户本年新增交费</t>
    <phoneticPr fontId="3" type="noConversion"/>
  </si>
  <si>
    <t>最近4个季度保户投资款本年新增交费</t>
    <phoneticPr fontId="3" type="noConversion"/>
  </si>
  <si>
    <t>最近4个季度评估公司原保费收入</t>
    <phoneticPr fontId="3" type="noConversion"/>
  </si>
  <si>
    <t>监管扣分不确定</t>
    <phoneticPr fontId="3" type="noConversion"/>
  </si>
  <si>
    <t>评估期末，在评估公司从事保全工作时间5年以上的人员和从事保全工作时间1年以下的人员合计占全部保全工作人员的比例。</t>
    <phoneticPr fontId="3" type="noConversion"/>
  </si>
  <si>
    <t>未受到行政处罚的，扣0分。
（0，行业平均值*80%]，扣5分。
（行业平均值*80%，行业平均值*120%]，扣10分。
（行业平均值*120%，+∞），扣15分。</t>
    <phoneticPr fontId="3" type="noConversion"/>
  </si>
  <si>
    <t>崔继广</t>
    <phoneticPr fontId="12" type="noConversion"/>
  </si>
  <si>
    <t>员工流失率≤15%，得3分；15%＜员工流失率≤30%，得1.5分；员工流失率&gt;30%，得0分。</t>
    <phoneticPr fontId="3" type="noConversion"/>
  </si>
  <si>
    <t>会计人员会计证持证率=期末省级分公司及所有下辖分支机构参加财务工作一年以上的会计人员中持有会计证人员数量÷期末省级分公司及所有下辖分支机构参加财务工作一年以上的会计人员总数</t>
    <phoneticPr fontId="3" type="noConversion"/>
  </si>
  <si>
    <t>发现一次，扣0.5分，扣完为止。</t>
    <phoneticPr fontId="12" type="noConversion"/>
  </si>
  <si>
    <t>评估期内公司对销售人员实施内部责任追究的人次</t>
    <phoneticPr fontId="12" type="noConversion"/>
  </si>
  <si>
    <t>空白单证缺失率小于0.1％的，得3分；否则，得0分。</t>
    <phoneticPr fontId="12" type="noConversion"/>
  </si>
  <si>
    <t>评估期期末省级分公司和中心支公司销售、承保、保全部门负责人具有5年以上相关保险从业经验的占比高于（或等于）80%，得2分；占比高于（或等于）50%低于80%，得1分；占比低于50%，得0分。</t>
    <phoneticPr fontId="3" type="noConversion"/>
  </si>
  <si>
    <t>保全差错率≤1%,得2分；1%&lt;保全差错率≤2%,得1分;保全差错率&gt;2%,得0分。</t>
    <phoneticPr fontId="3" type="noConversion"/>
  </si>
  <si>
    <t>有价单证缺失率小于0.1％的，得2分；否则，得0分。</t>
    <phoneticPr fontId="3" type="noConversion"/>
  </si>
  <si>
    <t>标准化后≥70</t>
    <phoneticPr fontId="3" type="noConversion"/>
  </si>
  <si>
    <t>最近4个季度公司发现费用管理操作风险事件次数</t>
    <phoneticPr fontId="3" type="noConversion"/>
  </si>
  <si>
    <t>自查</t>
    <phoneticPr fontId="3" type="noConversion"/>
  </si>
  <si>
    <t>监管</t>
    <phoneticPr fontId="3" type="noConversion"/>
  </si>
  <si>
    <t>最近4个季度监管发现展业操作风险事件次数</t>
    <phoneticPr fontId="3" type="noConversion"/>
  </si>
  <si>
    <t>最近4个季度监管部门检查发现存在销售人员管理操作风险事件的次数</t>
    <phoneticPr fontId="3" type="noConversion"/>
  </si>
  <si>
    <t>最近4个季度公司因反洗钱工作被监管部门处罚次数</t>
  </si>
  <si>
    <t>最近4个季度公司因反洗钱工作被监管部门下发监管函的次数</t>
  </si>
  <si>
    <t>公司销售、承保、保全环节重大操作风险事件的次数</t>
    <phoneticPr fontId="3" type="noConversion"/>
  </si>
  <si>
    <t>公司销售、承保、保全环节重大操作风险事件调整（扣分项）</t>
    <phoneticPr fontId="49" type="noConversion"/>
  </si>
  <si>
    <t>公司自查发现账号管理安全事件的次数</t>
    <phoneticPr fontId="3" type="noConversion"/>
  </si>
  <si>
    <t>最近4个季度，监管部门发现公司存在中介业务操作风险事件的，每项次扣2分；公司自查发现存在中介业务操作风险事件的，每项次扣0.5分，扣完6分为止。</t>
    <phoneticPr fontId="49" type="noConversion"/>
  </si>
  <si>
    <t>最近4个季度监管部门发现费用管理操作风险事件次数</t>
  </si>
  <si>
    <t>最近4个季度展业操作风险事件次数</t>
    <phoneticPr fontId="3" type="noConversion"/>
  </si>
  <si>
    <t>最近4个季度中介业务操作风险事件次数</t>
    <phoneticPr fontId="3" type="noConversion"/>
  </si>
  <si>
    <t>最近4个季度销售人员管理操作风险事件的次数</t>
    <phoneticPr fontId="3" type="noConversion"/>
  </si>
  <si>
    <t>最近4个季度公司承保管理操作风险事件次数</t>
    <phoneticPr fontId="3" type="noConversion"/>
  </si>
  <si>
    <t>更新犹豫期内电话回访成功率√</t>
    <phoneticPr fontId="3" type="noConversion"/>
  </si>
  <si>
    <t>更新新契约回访完成率√</t>
    <phoneticPr fontId="3" type="noConversion"/>
  </si>
  <si>
    <t>更新员工流失率√</t>
    <phoneticPr fontId="3" type="noConversion"/>
  </si>
  <si>
    <t>最近4个季度公司保全管理操作风险事件的次数</t>
    <phoneticPr fontId="3" type="noConversion"/>
  </si>
  <si>
    <t>月份</t>
    <phoneticPr fontId="12" type="noConversion"/>
  </si>
  <si>
    <t>业务渠道</t>
    <phoneticPr fontId="12" type="noConversion"/>
  </si>
  <si>
    <t>实收保费</t>
    <phoneticPr fontId="12" type="noConversion"/>
  </si>
  <si>
    <t>应收保费</t>
    <phoneticPr fontId="12" type="noConversion"/>
  </si>
  <si>
    <t>保费继续率</t>
    <phoneticPr fontId="12" type="noConversion"/>
  </si>
  <si>
    <r>
      <rPr>
        <b/>
        <sz val="10"/>
        <color theme="0"/>
        <rFont val="宋体"/>
        <family val="2"/>
        <charset val="134"/>
      </rPr>
      <t>得分</t>
    </r>
    <phoneticPr fontId="3" type="noConversion"/>
  </si>
  <si>
    <t>更新续期收费率√</t>
    <phoneticPr fontId="3" type="noConversion"/>
  </si>
  <si>
    <t>最近4个季度公司发现费用管理操作风险事件次数</t>
    <phoneticPr fontId="3" type="noConversion"/>
  </si>
  <si>
    <t>最近4个季度公司发现资金业务操作风险事件次数</t>
    <phoneticPr fontId="3" type="noConversion"/>
  </si>
  <si>
    <t>最近4个季度公司发现单证印章管理操作风险事件次数</t>
    <phoneticPr fontId="3" type="noConversion"/>
  </si>
  <si>
    <t>2.OR04-展业操作风险&amp;亿元保费销售、承保、保全操作风险事件数（除青岛、广东）</t>
    <phoneticPr fontId="3" type="noConversion"/>
  </si>
  <si>
    <t>1.OR04-员工流失率（除辽宁）&amp;代理制留存率</t>
    <phoneticPr fontId="3" type="noConversion"/>
  </si>
  <si>
    <t>1.OR04 千张保单投诉量-江苏</t>
    <phoneticPr fontId="49" type="noConversion"/>
  </si>
  <si>
    <t>最近4个季度监管部门检查发现存在销售人员管理操作风险事件的次数</t>
    <phoneticPr fontId="3" type="noConversion"/>
  </si>
  <si>
    <t>2.OR04 最近4个季度监管部门检查发现存在销售人员管理操作风险事件的次数-山东</t>
    <phoneticPr fontId="3" type="noConversion"/>
  </si>
  <si>
    <t>3.OR04 续期收费率-广东</t>
    <phoneticPr fontId="49" type="noConversion"/>
  </si>
  <si>
    <t>4.OR04 退（撤）保率-辽宁 大连 山东 青岛 河南</t>
    <phoneticPr fontId="49" type="noConversion"/>
  </si>
  <si>
    <t>5.OR04 保单失效率-河南</t>
    <phoneticPr fontId="49" type="noConversion"/>
  </si>
  <si>
    <t xml:space="preserve">6.OR08 理赔部门人员流失率-天津 江苏 青岛 </t>
    <phoneticPr fontId="3" type="noConversion"/>
  </si>
  <si>
    <t>7.OR08 理赔服务时效-北京 天津 辽宁 青岛 广东 四川</t>
    <phoneticPr fontId="3" type="noConversion"/>
  </si>
  <si>
    <t>8.OR13 财会部门人员流失率-北京 青岛</t>
    <phoneticPr fontId="3" type="noConversion"/>
  </si>
  <si>
    <t>9.OR13 会计证持证率-辽宁 河南</t>
    <phoneticPr fontId="3" type="noConversion"/>
  </si>
  <si>
    <t>10.OR13 银行账户集中管理-江苏</t>
    <phoneticPr fontId="3" type="noConversion"/>
  </si>
  <si>
    <t>11. OR13 非寿险业务非正常应收保费比例-北京 四川</t>
    <phoneticPr fontId="3" type="noConversion"/>
  </si>
  <si>
    <t>12. OR13 最近4个季度公司自查发现资金业务操作风险事件次数-天津</t>
    <phoneticPr fontId="3" type="noConversion"/>
  </si>
  <si>
    <t>14.OR13 最近4个季度公司自查发现费用管理操作风险事件次数-山东</t>
    <phoneticPr fontId="3" type="noConversion"/>
  </si>
  <si>
    <t>13.OR13 最近4个季度监管部门发现费用管理操作风险事件次数-大连</t>
    <phoneticPr fontId="3" type="noConversion"/>
  </si>
  <si>
    <t>每季度确认</t>
    <phoneticPr fontId="3" type="noConversion"/>
  </si>
  <si>
    <t>15.OR13 亿元保费财务操作风险事件数-天津 大连 山东</t>
    <phoneticPr fontId="3" type="noConversion"/>
  </si>
  <si>
    <t>16.OR02 评估时点之前12个月发现私印宣传、培训材料事件的次数-辽宁 大连 江苏 山东 河南</t>
    <phoneticPr fontId="12" type="noConversion"/>
  </si>
  <si>
    <t>17.评估时点之前12个月发现产品说明会销售误导事件的次数-大连</t>
    <phoneticPr fontId="12" type="noConversion"/>
  </si>
  <si>
    <t>18.评估时点之前12个月违规销售非保险金融产品事件的次数-山东</t>
    <phoneticPr fontId="12" type="noConversion"/>
  </si>
  <si>
    <t>行业水平</t>
    <phoneticPr fontId="3" type="noConversion"/>
  </si>
  <si>
    <t>核保人员工作年限</t>
    <phoneticPr fontId="3" type="noConversion"/>
  </si>
  <si>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phoneticPr fontId="3" type="noConversion"/>
  </si>
  <si>
    <t>北京</t>
    <phoneticPr fontId="3" type="noConversion"/>
  </si>
  <si>
    <t>个险</t>
    <phoneticPr fontId="3" type="noConversion"/>
  </si>
  <si>
    <t>多元</t>
    <phoneticPr fontId="3" type="noConversion"/>
  </si>
  <si>
    <t>银保</t>
    <phoneticPr fontId="3" type="noConversion"/>
  </si>
  <si>
    <t>收展</t>
    <phoneticPr fontId="3" type="noConversion"/>
  </si>
  <si>
    <t>二级机构</t>
    <phoneticPr fontId="3" type="noConversion"/>
  </si>
  <si>
    <t>天津</t>
    <phoneticPr fontId="3" type="noConversion"/>
  </si>
  <si>
    <t>青岛</t>
    <phoneticPr fontId="3" type="noConversion"/>
  </si>
  <si>
    <t>山东</t>
    <phoneticPr fontId="3" type="noConversion"/>
  </si>
  <si>
    <t>江苏</t>
    <phoneticPr fontId="3" type="noConversion"/>
  </si>
  <si>
    <t>辽宁</t>
    <phoneticPr fontId="3" type="noConversion"/>
  </si>
  <si>
    <t>四川</t>
    <phoneticPr fontId="3" type="noConversion"/>
  </si>
  <si>
    <t>河南</t>
    <phoneticPr fontId="3" type="noConversion"/>
  </si>
  <si>
    <t>大连</t>
    <phoneticPr fontId="3" type="noConversion"/>
  </si>
  <si>
    <t>广东</t>
    <phoneticPr fontId="3" type="noConversion"/>
  </si>
  <si>
    <t>河北</t>
  </si>
  <si>
    <t>网销</t>
    <phoneticPr fontId="3" type="noConversion"/>
  </si>
  <si>
    <t>平均值项:退撤保率</t>
  </si>
  <si>
    <t>平均值项:分数</t>
  </si>
  <si>
    <t>更新退撤保率√</t>
    <phoneticPr fontId="3" type="noConversion"/>
  </si>
  <si>
    <t>渠道</t>
    <phoneticPr fontId="12" type="noConversion"/>
  </si>
  <si>
    <t>分公司</t>
    <phoneticPr fontId="12" type="noConversion"/>
  </si>
  <si>
    <t>退保金</t>
    <phoneticPr fontId="3" type="noConversion"/>
  </si>
  <si>
    <t>撤保金</t>
    <phoneticPr fontId="12" type="noConversion"/>
  </si>
  <si>
    <t>预收保费</t>
    <phoneticPr fontId="12" type="noConversion"/>
  </si>
  <si>
    <t>退撤保率</t>
    <phoneticPr fontId="12" type="noConversion"/>
  </si>
  <si>
    <t>评估期内承保的保单中完成回访的保单件数</t>
    <phoneticPr fontId="12" type="noConversion"/>
  </si>
  <si>
    <t>评估期内承保的保单件数</t>
    <phoneticPr fontId="12" type="noConversion"/>
  </si>
  <si>
    <t>新契约回访完成率</t>
    <phoneticPr fontId="12" type="noConversion"/>
  </si>
  <si>
    <t>渠道</t>
    <phoneticPr fontId="12" type="noConversion"/>
  </si>
  <si>
    <t>分公司</t>
    <phoneticPr fontId="12" type="noConversion"/>
  </si>
  <si>
    <t>评估期内通过电话回访方式在犹豫期内完成新契约回访的保单件数</t>
    <phoneticPr fontId="12" type="noConversion"/>
  </si>
  <si>
    <t>评估期内承保的保单件数</t>
    <phoneticPr fontId="12" type="noConversion"/>
  </si>
  <si>
    <t>犹豫期内电话回访成功率</t>
    <phoneticPr fontId="12" type="noConversion"/>
  </si>
  <si>
    <t>最近4个季度省级分公司及以下分支机构销售、承保、保全部门离职员工人数</t>
    <phoneticPr fontId="12" type="noConversion"/>
  </si>
  <si>
    <t>前4个季度初省级分公司及以下分支机构销售、承保、保全部门员工人数</t>
    <phoneticPr fontId="12" type="noConversion"/>
  </si>
  <si>
    <t>最近4个季度省级分公司及以下分支机构销售、承保、保全部门增加员工人数</t>
    <phoneticPr fontId="12" type="noConversion"/>
  </si>
  <si>
    <t>依赖</t>
    <phoneticPr fontId="3" type="noConversion"/>
  </si>
  <si>
    <t>最近4个季度公司发生欺诈案件的次数</t>
    <phoneticPr fontId="3" type="noConversion"/>
  </si>
  <si>
    <t>最近4个季度公司发现理赔管理操作风险事件的次数</t>
    <phoneticPr fontId="3" type="noConversion"/>
  </si>
  <si>
    <t>金刚</t>
    <phoneticPr fontId="12" type="noConversion"/>
  </si>
  <si>
    <t>辽宁省沈阳市沈河区北站路59号沈阳财富中心E座5层</t>
    <phoneticPr fontId="12" type="noConversion"/>
  </si>
  <si>
    <t>Result</t>
    <phoneticPr fontId="3" type="noConversion"/>
  </si>
  <si>
    <t>OR06003</t>
  </si>
  <si>
    <t>OR04025</t>
  </si>
  <si>
    <t>A</t>
  </si>
  <si>
    <t>B</t>
  </si>
  <si>
    <t>C</t>
  </si>
  <si>
    <t>OR04026</t>
  </si>
  <si>
    <t>OR04027</t>
  </si>
  <si>
    <t>OR04034</t>
  </si>
  <si>
    <t>OR06004</t>
  </si>
  <si>
    <t>OR04012</t>
  </si>
  <si>
    <t>OR02011</t>
  </si>
  <si>
    <t>OR13007</t>
  </si>
  <si>
    <t>OR13006</t>
  </si>
  <si>
    <t>Result</t>
    <phoneticPr fontId="3" type="noConversion"/>
  </si>
  <si>
    <t>Result</t>
    <phoneticPr fontId="3" type="noConversion"/>
  </si>
  <si>
    <t>Result</t>
    <phoneticPr fontId="3" type="noConversion"/>
  </si>
  <si>
    <t>评估期保全变更完成件数</t>
    <phoneticPr fontId="3" type="noConversion"/>
  </si>
  <si>
    <t>最近4个季度内已发放空白单证缺失的数量</t>
    <phoneticPr fontId="3" type="noConversion"/>
  </si>
  <si>
    <t>行业排序评分</t>
  </si>
  <si>
    <t>评估期保险公司关于承保、销售业务线的投诉次数</t>
  </si>
  <si>
    <t>lllllllllllllllllllll</t>
    <phoneticPr fontId="12" type="noConversion"/>
  </si>
  <si>
    <t>评估期公司受理的有效投诉件数总量</t>
    <phoneticPr fontId="3" type="noConversion"/>
  </si>
  <si>
    <t>评估期内所有已决赔案件数</t>
    <phoneticPr fontId="3" type="noConversion"/>
  </si>
  <si>
    <t>评估期内离职的销售人员数量</t>
    <phoneticPr fontId="12" type="noConversion"/>
  </si>
  <si>
    <t>最近4个季度省级分公司及以下分支机构销售、承保、保全部门增加员工人数</t>
    <phoneticPr fontId="3" type="noConversion"/>
  </si>
  <si>
    <t>评估期末销售人员数量</t>
    <phoneticPr fontId="12" type="noConversion"/>
  </si>
  <si>
    <t>评估期已决赔案数量</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</si>
</sst>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 #,##0_ ;_ * \-#,##0_ ;_ * &quot;-&quot;_ ;_ @_ "/>
    <numFmt numFmtId="43" formatCode="_ * #,##0.00_ ;_ * \-#,##0.00_ ;_ * &quot;-&quot;??_ ;_ @_ "/>
    <numFmt numFmtId="176" formatCode="_ * #,##0_ ;_ * \-#,##0_ ;_ * &quot;-&quot;??_ ;_ @_ "/>
    <numFmt numFmtId="177" formatCode="0.00_);[Red]\(0.00\)"/>
    <numFmt numFmtId="178" formatCode="0.000%"/>
    <numFmt numFmtId="179" formatCode="0_);[Red]\(0\)"/>
    <numFmt numFmtId="180" formatCode="#,##0.00_ "/>
    <numFmt numFmtId="181" formatCode="0.0_);[Red]\(0.0\)"/>
    <numFmt numFmtId="182" formatCode="0.00_ "/>
    <numFmt numFmtId="183" formatCode="_ * #,##0.000000_ ;_ * \-#,##0.000000_ ;_ * &quot;-&quot;??????_ ;_ @_ "/>
    <numFmt numFmtId="184" formatCode="#,##0.0000"/>
    <numFmt numFmtId="185" formatCode="0.0_ "/>
    <numFmt numFmtId="186" formatCode="_ * #,##0.0_ ;_ * \-#,##0.0_ ;_ * &quot;-&quot;??_ ;_ @_ "/>
    <numFmt numFmtId="187" formatCode="#,##0.0"/>
    <numFmt numFmtId="188" formatCode="0.0%"/>
    <numFmt numFmtId="189" formatCode="0_ "/>
    <numFmt numFmtId="190" formatCode="#,##0.0_ "/>
    <numFmt numFmtId="191" formatCode="0.00;__x0000_"/>
    <numFmt numFmtId="192" formatCode="_ * #,##0.00000_ ;_ * \-#,##0.00000_ ;_ * &quot;-&quot;?????_ ;_ @_ "/>
    <numFmt numFmtId="193" formatCode="[$-F800]dddd\,\ mmmm\ dd\,\ yyyy"/>
    <numFmt numFmtId="194" formatCode="_(* #,##0.00_);_(* \(#,##0.00\);_(* &quot;-&quot;??_);_(@_)"/>
    <numFmt numFmtId="195" formatCode="0.0000_);[Red]\(0.0000\)"/>
    <numFmt numFmtId="196" formatCode="#,##0.0000_);\(#,##0.0000\)"/>
    <numFmt numFmtId="197" formatCode="0.0000_ "/>
    <numFmt numFmtId="198" formatCode="0.00000_ "/>
    <numFmt numFmtId="199" formatCode="0.0000%"/>
    <numFmt numFmtId="200" formatCode="_ * #,##0.0000_ ;_ * \-#,##0.0000_ ;_ * &quot;-&quot;??_ ;_ @_ "/>
    <numFmt numFmtId="201" formatCode="_ * #,##0.0_ ;_ * \-#,##0.0_ ;_ * &quot;-&quot;?_ ;_ @_ "/>
  </numFmts>
  <fonts count="98">
    <font>
      <sz val="11"/>
      <color theme="1"/>
      <name val="宋体"/>
      <family val="2"/>
      <charset val="134"/>
      <scheme val="minor"/>
    </font>
    <font>
      <sz val="10"/>
      <color theme="1"/>
      <name val="Arial"/>
      <family val="2"/>
      <charset val="134"/>
    </font>
    <font>
      <b/>
      <sz val="11"/>
      <color theme="1"/>
      <name val="微软雅黑"/>
      <family val="2"/>
      <charset val="134"/>
    </font>
    <font>
      <sz val="9"/>
      <name val="宋体"/>
      <family val="2"/>
      <charset val="134"/>
      <scheme val="minor"/>
    </font>
    <font>
      <sz val="9"/>
      <color theme="1"/>
      <name val="微软雅黑"/>
      <family val="2"/>
      <charset val="134"/>
    </font>
    <font>
      <sz val="11"/>
      <color theme="1"/>
      <name val="微软雅黑"/>
      <family val="2"/>
      <charset val="134"/>
    </font>
    <font>
      <b/>
      <sz val="9"/>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b/>
      <sz val="8"/>
      <name val="微软雅黑"/>
      <family val="2"/>
      <charset val="134"/>
    </font>
    <font>
      <sz val="9"/>
      <name val="宋体"/>
      <family val="3"/>
      <charset val="134"/>
    </font>
    <font>
      <sz val="11"/>
      <color theme="1"/>
      <name val="宋体"/>
      <family val="2"/>
      <charset val="134"/>
      <scheme val="minor"/>
    </font>
    <font>
      <sz val="9"/>
      <color indexed="81"/>
      <name val="Tahoma"/>
      <family val="2"/>
    </font>
    <font>
      <sz val="9"/>
      <color indexed="81"/>
      <name val="宋体"/>
      <family val="3"/>
      <charset val="134"/>
    </font>
    <font>
      <sz val="14"/>
      <color theme="1"/>
      <name val="宋体"/>
      <family val="3"/>
      <charset val="134"/>
    </font>
    <font>
      <sz val="14"/>
      <color theme="1"/>
      <name val="Arial"/>
      <family val="2"/>
      <charset val="134"/>
    </font>
    <font>
      <sz val="14"/>
      <color theme="1"/>
      <name val="宋体"/>
      <family val="2"/>
      <charset val="134"/>
      <scheme val="minor"/>
    </font>
    <font>
      <sz val="11"/>
      <color theme="1"/>
      <name val="宋体"/>
      <family val="3"/>
      <charset val="134"/>
      <scheme val="minor"/>
    </font>
    <font>
      <sz val="8"/>
      <color theme="1"/>
      <name val="微软雅黑"/>
      <family val="2"/>
      <charset val="134"/>
    </font>
    <font>
      <b/>
      <sz val="18"/>
      <color theme="1"/>
      <name val="微软雅黑"/>
      <family val="2"/>
      <charset val="134"/>
    </font>
    <font>
      <b/>
      <sz val="8"/>
      <color rgb="FF000000"/>
      <name val="微软雅黑"/>
      <family val="2"/>
      <charset val="134"/>
    </font>
    <font>
      <sz val="9"/>
      <name val="Tahoma"/>
      <family val="2"/>
      <charset val="134"/>
    </font>
    <font>
      <sz val="8"/>
      <color rgb="FF000000"/>
      <name val="微软雅黑"/>
      <family val="2"/>
      <charset val="134"/>
    </font>
    <font>
      <b/>
      <sz val="9"/>
      <name val="微软雅黑"/>
      <family val="2"/>
      <charset val="134"/>
    </font>
    <font>
      <b/>
      <sz val="8"/>
      <color theme="1"/>
      <name val="微软雅黑"/>
      <family val="2"/>
      <charset val="134"/>
    </font>
    <font>
      <sz val="16"/>
      <name val="黑体"/>
      <family val="3"/>
      <charset val="134"/>
    </font>
    <font>
      <sz val="11"/>
      <name val="宋体"/>
      <family val="3"/>
      <charset val="134"/>
      <scheme val="minor"/>
    </font>
    <font>
      <sz val="22"/>
      <name val="长城小标宋体"/>
      <family val="3"/>
      <charset val="134"/>
    </font>
    <font>
      <b/>
      <sz val="12"/>
      <name val="仿宋_GB2312"/>
      <family val="3"/>
      <charset val="134"/>
    </font>
    <font>
      <sz val="11"/>
      <name val="仿宋_GB2312"/>
      <family val="3"/>
      <charset val="134"/>
    </font>
    <font>
      <b/>
      <sz val="11"/>
      <name val="仿宋_GB2312"/>
      <family val="3"/>
      <charset val="134"/>
    </font>
    <font>
      <sz val="10.5"/>
      <name val="仿宋_GB2312"/>
      <family val="3"/>
      <charset val="134"/>
    </font>
    <font>
      <b/>
      <sz val="18"/>
      <name val="微软雅黑"/>
      <family val="2"/>
      <charset val="134"/>
    </font>
    <font>
      <sz val="10"/>
      <name val="宋体"/>
      <family val="2"/>
      <charset val="134"/>
      <scheme val="minor"/>
    </font>
    <font>
      <sz val="8"/>
      <name val="微软雅黑"/>
      <family val="2"/>
      <charset val="134"/>
    </font>
    <font>
      <sz val="11"/>
      <color indexed="8"/>
      <name val="宋体"/>
      <family val="3"/>
      <charset val="134"/>
    </font>
    <font>
      <b/>
      <sz val="9"/>
      <color theme="0" tint="-0.14999847407452621"/>
      <name val="微软雅黑"/>
      <family val="2"/>
      <charset val="134"/>
    </font>
    <font>
      <sz val="9"/>
      <color theme="0" tint="-0.249977111117893"/>
      <name val="微软雅黑"/>
      <family val="2"/>
      <charset val="134"/>
    </font>
    <font>
      <b/>
      <sz val="9"/>
      <color indexed="81"/>
      <name val="宋体"/>
      <family val="3"/>
      <charset val="134"/>
    </font>
    <font>
      <b/>
      <sz val="18"/>
      <color indexed="8"/>
      <name val="微软雅黑"/>
      <family val="2"/>
      <charset val="134"/>
    </font>
    <font>
      <b/>
      <sz val="8"/>
      <color indexed="8"/>
      <name val="微软雅黑"/>
      <family val="2"/>
      <charset val="134"/>
    </font>
    <font>
      <sz val="8"/>
      <color theme="1"/>
      <name val="宋体"/>
      <family val="2"/>
      <charset val="134"/>
      <scheme val="minor"/>
    </font>
    <font>
      <sz val="9"/>
      <color theme="1"/>
      <name val="宋体"/>
      <family val="3"/>
      <charset val="134"/>
      <scheme val="minor"/>
    </font>
    <font>
      <sz val="8"/>
      <color theme="0" tint="-0.34998626667073579"/>
      <name val="微软雅黑"/>
      <family val="2"/>
      <charset val="134"/>
    </font>
    <font>
      <sz val="9"/>
      <name val="微软雅黑"/>
      <family val="2"/>
      <charset val="134"/>
    </font>
    <font>
      <b/>
      <sz val="9"/>
      <color indexed="81"/>
      <name val="Tahoma"/>
      <family val="2"/>
    </font>
    <font>
      <sz val="10"/>
      <color theme="1"/>
      <name val="微软雅黑"/>
      <family val="2"/>
      <charset val="134"/>
    </font>
    <font>
      <sz val="9"/>
      <name val="Tahoma"/>
      <family val="2"/>
    </font>
    <font>
      <sz val="9"/>
      <color rgb="FF000000"/>
      <name val="微软雅黑"/>
      <family val="2"/>
      <charset val="134"/>
    </font>
    <font>
      <sz val="9"/>
      <color theme="0" tint="-0.14999847407452621"/>
      <name val="微软雅黑"/>
      <family val="2"/>
      <charset val="134"/>
    </font>
    <font>
      <sz val="9"/>
      <color rgb="FFFF0000"/>
      <name val="微软雅黑"/>
      <family val="2"/>
      <charset val="134"/>
    </font>
    <font>
      <sz val="9"/>
      <name val="宋体"/>
      <family val="3"/>
      <charset val="134"/>
      <scheme val="minor"/>
    </font>
    <font>
      <sz val="9"/>
      <color theme="1"/>
      <name val="Arial Unicode MS"/>
      <family val="2"/>
      <charset val="134"/>
    </font>
    <font>
      <sz val="9"/>
      <color indexed="8"/>
      <name val="微软雅黑"/>
      <family val="2"/>
      <charset val="134"/>
    </font>
    <font>
      <sz val="10.5"/>
      <color theme="1"/>
      <name val="Calibri"/>
      <family val="2"/>
    </font>
    <font>
      <sz val="10"/>
      <color rgb="FF000000"/>
      <name val="宋体"/>
      <family val="3"/>
      <charset val="134"/>
    </font>
    <font>
      <sz val="10.5"/>
      <color theme="1"/>
      <name val="宋体"/>
      <family val="3"/>
      <charset val="134"/>
    </font>
    <font>
      <sz val="10.5"/>
      <color rgb="FF1F497D"/>
      <name val="Arial Unicode MS"/>
      <family val="2"/>
      <charset val="134"/>
    </font>
    <font>
      <sz val="9"/>
      <color theme="0" tint="-0.34998626667073579"/>
      <name val="微软雅黑"/>
      <family val="2"/>
      <charset val="134"/>
    </font>
    <font>
      <sz val="8"/>
      <color rgb="FFFF0000"/>
      <name val="微软雅黑"/>
      <family val="2"/>
      <charset val="134"/>
    </font>
    <font>
      <sz val="10"/>
      <name val="宋体"/>
      <family val="2"/>
      <charset val="134"/>
    </font>
    <font>
      <sz val="9"/>
      <color theme="3" tint="0.39997558519241921"/>
      <name val="微软雅黑"/>
      <family val="2"/>
      <charset val="134"/>
    </font>
    <font>
      <sz val="11"/>
      <color theme="3" tint="0.39997558519241921"/>
      <name val="微软雅黑"/>
      <family val="2"/>
      <charset val="134"/>
    </font>
    <font>
      <sz val="9"/>
      <color rgb="FF00B050"/>
      <name val="微软雅黑"/>
      <family val="2"/>
      <charset val="134"/>
    </font>
    <font>
      <b/>
      <sz val="9"/>
      <color indexed="81"/>
      <name val="宋体"/>
      <family val="2"/>
      <charset val="134"/>
    </font>
    <font>
      <sz val="11"/>
      <color rgb="FF000000"/>
      <name val="微软雅黑"/>
      <family val="2"/>
      <charset val="134"/>
    </font>
    <font>
      <sz val="11"/>
      <name val="微软雅黑"/>
      <family val="2"/>
      <charset val="134"/>
    </font>
    <font>
      <b/>
      <sz val="11"/>
      <color theme="9"/>
      <name val="微软雅黑"/>
      <family val="2"/>
      <charset val="134"/>
    </font>
    <font>
      <b/>
      <sz val="9"/>
      <color theme="0" tint="-0.34998626667073579"/>
      <name val="微软雅黑"/>
      <family val="2"/>
      <charset val="134"/>
    </font>
    <font>
      <b/>
      <sz val="9"/>
      <color theme="0"/>
      <name val="微软雅黑"/>
      <family val="2"/>
      <charset val="134"/>
    </font>
    <font>
      <b/>
      <sz val="9"/>
      <color theme="9"/>
      <name val="微软雅黑"/>
      <family val="2"/>
      <charset val="134"/>
    </font>
    <font>
      <b/>
      <sz val="11"/>
      <color rgb="FF00B050"/>
      <name val="微软雅黑"/>
      <family val="2"/>
      <charset val="134"/>
    </font>
    <font>
      <b/>
      <sz val="11"/>
      <color rgb="FFFF0000"/>
      <name val="微软雅黑"/>
      <family val="2"/>
      <charset val="134"/>
    </font>
    <font>
      <b/>
      <sz val="11"/>
      <color theme="1"/>
      <name val="宋体"/>
      <family val="3"/>
      <charset val="134"/>
      <scheme val="minor"/>
    </font>
    <font>
      <b/>
      <sz val="11"/>
      <color rgb="FF00B050"/>
      <name val="宋体"/>
      <family val="3"/>
      <charset val="134"/>
      <scheme val="minor"/>
    </font>
    <font>
      <sz val="10"/>
      <color theme="1"/>
      <name val="宋体"/>
      <family val="3"/>
      <charset val="134"/>
    </font>
    <font>
      <b/>
      <sz val="12"/>
      <color theme="1"/>
      <name val="宋体"/>
      <family val="2"/>
      <charset val="134"/>
      <scheme val="minor"/>
    </font>
    <font>
      <b/>
      <sz val="12"/>
      <color rgb="FF002060"/>
      <name val="宋体"/>
      <family val="2"/>
      <charset val="134"/>
      <scheme val="minor"/>
    </font>
    <font>
      <b/>
      <sz val="12"/>
      <color theme="0" tint="-0.14999847407452621"/>
      <name val="宋体"/>
      <family val="3"/>
      <charset val="134"/>
      <scheme val="minor"/>
    </font>
    <font>
      <b/>
      <sz val="12"/>
      <color rgb="FFFF0000"/>
      <name val="宋体"/>
      <family val="3"/>
      <charset val="134"/>
      <scheme val="minor"/>
    </font>
    <font>
      <b/>
      <sz val="12"/>
      <color rgb="FF00B050"/>
      <name val="宋体"/>
      <family val="3"/>
      <charset val="134"/>
      <scheme val="minor"/>
    </font>
    <font>
      <sz val="12"/>
      <color theme="0"/>
      <name val="宋体"/>
      <family val="2"/>
      <charset val="134"/>
      <scheme val="minor"/>
    </font>
    <font>
      <b/>
      <sz val="11"/>
      <color theme="0"/>
      <name val="宋体"/>
      <family val="3"/>
      <charset val="134"/>
      <scheme val="minor"/>
    </font>
    <font>
      <b/>
      <sz val="10"/>
      <color theme="1"/>
      <name val="微软雅黑"/>
      <family val="2"/>
      <charset val="134"/>
    </font>
    <font>
      <b/>
      <sz val="10"/>
      <color rgb="FFFF0000"/>
      <name val="微软雅黑"/>
      <family val="2"/>
      <charset val="134"/>
    </font>
    <font>
      <b/>
      <sz val="11"/>
      <color theme="9"/>
      <name val="宋体"/>
      <family val="3"/>
      <charset val="134"/>
      <scheme val="minor"/>
    </font>
    <font>
      <b/>
      <sz val="11"/>
      <color theme="9" tint="-0.249977111117893"/>
      <name val="宋体"/>
      <family val="3"/>
      <charset val="134"/>
      <scheme val="minor"/>
    </font>
    <font>
      <b/>
      <sz val="10"/>
      <color rgb="FF000000"/>
      <name val="宋体"/>
      <family val="3"/>
      <charset val="134"/>
    </font>
    <font>
      <sz val="11"/>
      <name val="宋体"/>
      <family val="2"/>
      <charset val="134"/>
      <scheme val="minor"/>
    </font>
    <font>
      <sz val="10"/>
      <name val="Arial"/>
      <family val="2"/>
    </font>
    <font>
      <b/>
      <sz val="8"/>
      <color theme="9"/>
      <name val="微软雅黑"/>
      <family val="2"/>
      <charset val="134"/>
    </font>
    <font>
      <b/>
      <sz val="10"/>
      <color theme="0"/>
      <name val="Arial"/>
      <family val="2"/>
    </font>
    <font>
      <b/>
      <sz val="10"/>
      <color theme="0"/>
      <name val="宋体"/>
      <family val="2"/>
      <charset val="134"/>
    </font>
    <font>
      <sz val="11"/>
      <name val="Arial"/>
      <family val="2"/>
    </font>
    <font>
      <b/>
      <sz val="16"/>
      <color theme="0"/>
      <name val="微软雅黑"/>
      <family val="2"/>
      <charset val="134"/>
    </font>
    <font>
      <b/>
      <sz val="16"/>
      <color theme="0"/>
      <name val="Arial"/>
      <family val="2"/>
    </font>
  </fonts>
  <fills count="61">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D8D8D8"/>
        <bgColor rgb="FF000000"/>
      </patternFill>
    </fill>
    <fill>
      <patternFill patternType="solid">
        <fgColor rgb="FFFFFF00"/>
        <bgColor indexed="64"/>
      </patternFill>
    </fill>
    <fill>
      <patternFill patternType="solid">
        <fgColor theme="5" tint="0.39997558519241921"/>
        <bgColor indexed="64"/>
      </patternFill>
    </fill>
    <fill>
      <patternFill patternType="solid">
        <fgColor rgb="FFD8D8D8"/>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rgb="FF000000"/>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mediumGray">
        <bgColor theme="6" tint="0.39994506668294322"/>
      </patternFill>
    </fill>
    <fill>
      <patternFill patternType="solid">
        <fgColor theme="8"/>
        <bgColor indexed="64"/>
      </patternFill>
    </fill>
    <fill>
      <patternFill patternType="lightGray">
        <bgColor theme="4" tint="-0.249977111117893"/>
      </patternFill>
    </fill>
    <fill>
      <patternFill patternType="solid">
        <fgColor theme="5" tint="0.79998168889431442"/>
        <bgColor indexed="64"/>
      </patternFill>
    </fill>
    <fill>
      <patternFill patternType="solid">
        <fgColor theme="3" tint="0.79998168889431442"/>
        <bgColor indexed="64"/>
      </patternFill>
    </fill>
    <fill>
      <patternFill patternType="darkUp">
        <bgColor auto="1"/>
      </patternFill>
    </fill>
    <fill>
      <patternFill patternType="solid">
        <fgColor theme="4" tint="-0.49998474074526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4"/>
        <bgColor indexed="64"/>
      </patternFill>
    </fill>
    <fill>
      <patternFill patternType="solid">
        <fgColor rgb="FFFFC000"/>
        <bgColor indexed="64"/>
      </patternFill>
    </fill>
    <fill>
      <patternFill patternType="lightGray"/>
    </fill>
    <fill>
      <patternFill patternType="solid">
        <fgColor theme="0" tint="-4.9989318521683403E-2"/>
        <bgColor indexed="64"/>
      </patternFill>
    </fill>
    <fill>
      <patternFill patternType="gray125">
        <bgColor theme="4" tint="-0.499984740745262"/>
      </patternFill>
    </fill>
    <fill>
      <patternFill patternType="gray125">
        <bgColor rgb="FF92D050"/>
      </patternFill>
    </fill>
    <fill>
      <patternFill patternType="solid">
        <fgColor rgb="FF002060"/>
        <bgColor indexed="64"/>
      </patternFill>
    </fill>
    <fill>
      <patternFill patternType="solid">
        <fgColor theme="9"/>
        <bgColor indexed="64"/>
      </patternFill>
    </fill>
    <fill>
      <patternFill patternType="gray125">
        <bgColor theme="9"/>
      </patternFill>
    </fill>
    <fill>
      <patternFill patternType="solid">
        <fgColor theme="9" tint="0.79998168889431442"/>
        <bgColor indexed="64"/>
      </patternFill>
    </fill>
    <fill>
      <patternFill patternType="gray0625">
        <bgColor theme="9" tint="0.79998168889431442"/>
      </patternFill>
    </fill>
    <fill>
      <patternFill patternType="gray0625">
        <bgColor theme="7" tint="0.79998168889431442"/>
      </patternFill>
    </fill>
    <fill>
      <patternFill patternType="solid">
        <fgColor theme="9" tint="0.59999389629810485"/>
        <bgColor indexed="64"/>
      </patternFill>
    </fill>
    <fill>
      <patternFill patternType="gray0625">
        <bgColor theme="8" tint="0.79998168889431442"/>
      </patternFill>
    </fill>
    <fill>
      <patternFill patternType="solid">
        <fgColor theme="2"/>
        <bgColor indexed="64"/>
      </patternFill>
    </fill>
    <fill>
      <patternFill patternType="gray0625"/>
    </fill>
    <fill>
      <patternFill patternType="solid">
        <fgColor rgb="FFFFFF99"/>
        <bgColor indexed="64"/>
      </patternFill>
    </fill>
    <fill>
      <patternFill patternType="gray0625">
        <bgColor theme="2"/>
      </patternFill>
    </fill>
    <fill>
      <patternFill patternType="gray0625">
        <bgColor theme="6" tint="0.79998168889431442"/>
      </patternFill>
    </fill>
    <fill>
      <patternFill patternType="gray0625">
        <bgColor rgb="FFFFFF99"/>
      </patternFill>
    </fill>
    <fill>
      <patternFill patternType="lightGrid">
        <bgColor auto="1"/>
      </patternFill>
    </fill>
    <fill>
      <patternFill patternType="lightGrid">
        <bgColor theme="9" tint="0.79995117038483843"/>
      </patternFill>
    </fill>
    <fill>
      <patternFill patternType="lightGrid">
        <bgColor theme="7" tint="0.79995117038483843"/>
      </patternFill>
    </fill>
    <fill>
      <patternFill patternType="solid">
        <fgColor theme="4"/>
        <bgColor theme="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7"/>
        <bgColor theme="4"/>
      </patternFill>
    </fill>
    <fill>
      <patternFill patternType="solid">
        <fgColor theme="7"/>
        <bgColor indexed="64"/>
      </patternFill>
    </fill>
    <fill>
      <patternFill patternType="mediumGray">
        <bgColor rgb="FF92D050"/>
      </patternFill>
    </fill>
    <fill>
      <patternFill patternType="solid">
        <fgColor rgb="FF92D050"/>
        <bgColor rgb="FF000000"/>
      </patternFill>
    </fill>
    <fill>
      <patternFill patternType="mediumGray">
        <bgColor theme="0"/>
      </patternFill>
    </fill>
  </fills>
  <borders count="84">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theme="9"/>
      </left>
      <right/>
      <top/>
      <bottom/>
      <diagonal/>
    </border>
    <border>
      <left/>
      <right style="thin">
        <color indexed="64"/>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medium">
        <color theme="9"/>
      </left>
      <right style="thin">
        <color indexed="64"/>
      </right>
      <top style="medium">
        <color theme="9"/>
      </top>
      <bottom style="thin">
        <color indexed="64"/>
      </bottom>
      <diagonal/>
    </border>
    <border>
      <left style="thin">
        <color indexed="64"/>
      </left>
      <right style="thin">
        <color indexed="64"/>
      </right>
      <top style="medium">
        <color theme="9"/>
      </top>
      <bottom style="thin">
        <color indexed="64"/>
      </bottom>
      <diagonal/>
    </border>
    <border>
      <left style="thin">
        <color indexed="64"/>
      </left>
      <right/>
      <top style="medium">
        <color theme="9"/>
      </top>
      <bottom style="thin">
        <color indexed="64"/>
      </bottom>
      <diagonal/>
    </border>
    <border>
      <left style="thin">
        <color indexed="64"/>
      </left>
      <right style="medium">
        <color theme="9"/>
      </right>
      <top style="medium">
        <color theme="9"/>
      </top>
      <bottom style="thin">
        <color indexed="64"/>
      </bottom>
      <diagonal/>
    </border>
    <border>
      <left style="medium">
        <color theme="9"/>
      </left>
      <right/>
      <top/>
      <bottom/>
      <diagonal/>
    </border>
    <border>
      <left style="thin">
        <color indexed="64"/>
      </left>
      <right style="medium">
        <color theme="9"/>
      </right>
      <top style="thin">
        <color indexed="64"/>
      </top>
      <bottom style="thin">
        <color indexed="64"/>
      </bottom>
      <diagonal/>
    </border>
    <border>
      <left style="medium">
        <color theme="9"/>
      </left>
      <right/>
      <top/>
      <bottom style="medium">
        <color theme="9"/>
      </bottom>
      <diagonal/>
    </border>
    <border>
      <left/>
      <right/>
      <top/>
      <bottom style="medium">
        <color theme="9"/>
      </bottom>
      <diagonal/>
    </border>
    <border>
      <left style="thin">
        <color indexed="64"/>
      </left>
      <right style="thin">
        <color indexed="64"/>
      </right>
      <top style="thin">
        <color indexed="64"/>
      </top>
      <bottom style="medium">
        <color theme="9"/>
      </bottom>
      <diagonal/>
    </border>
    <border>
      <left style="thin">
        <color indexed="64"/>
      </left>
      <right style="medium">
        <color theme="9"/>
      </right>
      <top style="thin">
        <color indexed="64"/>
      </top>
      <bottom style="medium">
        <color theme="9"/>
      </bottom>
      <diagonal/>
    </border>
    <border>
      <left/>
      <right style="thin">
        <color indexed="64"/>
      </right>
      <top style="medium">
        <color theme="9"/>
      </top>
      <bottom style="thin">
        <color indexed="64"/>
      </bottom>
      <diagonal/>
    </border>
    <border>
      <left/>
      <right style="medium">
        <color theme="9"/>
      </right>
      <top style="medium">
        <color theme="9"/>
      </top>
      <bottom/>
      <diagonal/>
    </border>
    <border>
      <left style="medium">
        <color theme="9"/>
      </left>
      <right style="thin">
        <color indexed="64"/>
      </right>
      <top style="thin">
        <color indexed="64"/>
      </top>
      <bottom style="thin">
        <color indexed="64"/>
      </bottom>
      <diagonal/>
    </border>
    <border>
      <left/>
      <right style="medium">
        <color theme="9"/>
      </right>
      <top style="thin">
        <color indexed="64"/>
      </top>
      <bottom style="thin">
        <color indexed="64"/>
      </bottom>
      <diagonal/>
    </border>
    <border>
      <left/>
      <right style="medium">
        <color theme="9"/>
      </right>
      <top/>
      <bottom/>
      <diagonal/>
    </border>
    <border>
      <left style="medium">
        <color theme="9"/>
      </left>
      <right style="thin">
        <color indexed="64"/>
      </right>
      <top style="thin">
        <color indexed="64"/>
      </top>
      <bottom style="medium">
        <color theme="9"/>
      </bottom>
      <diagonal/>
    </border>
    <border>
      <left/>
      <right style="medium">
        <color theme="9"/>
      </right>
      <top/>
      <bottom style="medium">
        <color theme="9"/>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n">
        <color theme="0"/>
      </right>
      <top/>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style="medium">
        <color indexed="64"/>
      </right>
      <top/>
      <bottom/>
      <diagonal/>
    </border>
  </borders>
  <cellStyleXfs count="13">
    <xf numFmtId="0" fontId="0" fillId="0" borderId="0">
      <alignment vertical="center"/>
    </xf>
    <xf numFmtId="0" fontId="1" fillId="0" borderId="0">
      <alignment vertical="center"/>
    </xf>
    <xf numFmtId="0" fontId="9" fillId="0" borderId="0" applyNumberFormat="0" applyFill="0" applyBorder="0" applyAlignment="0" applyProtection="0">
      <alignment vertical="center"/>
    </xf>
    <xf numFmtId="9" fontId="13" fillId="0" borderId="0" applyFont="0" applyFill="0" applyBorder="0" applyAlignment="0" applyProtection="0">
      <alignment vertical="center"/>
    </xf>
    <xf numFmtId="43" fontId="13" fillId="0" borderId="0" applyFont="0" applyFill="0" applyBorder="0" applyAlignment="0" applyProtection="0">
      <alignment vertical="center"/>
    </xf>
    <xf numFmtId="0" fontId="19" fillId="0" borderId="0">
      <alignment vertical="center"/>
    </xf>
    <xf numFmtId="0" fontId="13" fillId="0" borderId="0">
      <alignment vertical="center"/>
    </xf>
    <xf numFmtId="9" fontId="19" fillId="0" borderId="0" applyFont="0" applyFill="0" applyBorder="0" applyAlignment="0" applyProtection="0">
      <alignment vertical="center"/>
    </xf>
    <xf numFmtId="9" fontId="37" fillId="0" borderId="0" applyFont="0" applyFill="0" applyBorder="0" applyAlignment="0" applyProtection="0">
      <alignment vertical="center"/>
    </xf>
    <xf numFmtId="0" fontId="19" fillId="0" borderId="0"/>
    <xf numFmtId="0" fontId="13" fillId="0" borderId="0">
      <alignment vertical="center"/>
    </xf>
    <xf numFmtId="0" fontId="19" fillId="0" borderId="0">
      <alignment vertical="center"/>
    </xf>
    <xf numFmtId="0" fontId="19" fillId="0" borderId="0">
      <alignment vertical="center"/>
    </xf>
  </cellStyleXfs>
  <cellXfs count="2066">
    <xf numFmtId="0" fontId="0" fillId="0" borderId="0" xfId="0">
      <alignment vertical="center"/>
    </xf>
    <xf numFmtId="0" fontId="5" fillId="0" borderId="0" xfId="0" applyFont="1">
      <alignment vertical="center"/>
    </xf>
    <xf numFmtId="0" fontId="4" fillId="0" borderId="0" xfId="0" applyFont="1">
      <alignment vertical="center"/>
    </xf>
    <xf numFmtId="0" fontId="2" fillId="0" borderId="0" xfId="0" applyFont="1">
      <alignment vertical="center"/>
    </xf>
    <xf numFmtId="0" fontId="6" fillId="0" borderId="0" xfId="0" applyFont="1">
      <alignment vertical="center"/>
    </xf>
    <xf numFmtId="0" fontId="4" fillId="0" borderId="5" xfId="0" applyFont="1" applyBorder="1">
      <alignment vertical="center"/>
    </xf>
    <xf numFmtId="0" fontId="4" fillId="0" borderId="6"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2" fillId="0" borderId="0" xfId="0" applyFont="1" applyAlignment="1">
      <alignment horizontal="left" vertical="center"/>
    </xf>
    <xf numFmtId="0" fontId="6" fillId="0" borderId="6" xfId="0" applyFont="1" applyBorder="1" applyAlignment="1">
      <alignment horizontal="left" vertical="center"/>
    </xf>
    <xf numFmtId="0" fontId="6" fillId="0" borderId="5" xfId="0" applyFont="1" applyBorder="1">
      <alignment vertical="center"/>
    </xf>
    <xf numFmtId="0" fontId="6" fillId="0" borderId="5" xfId="0" applyFont="1" applyBorder="1" applyAlignment="1">
      <alignment horizontal="left"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7" fillId="2" borderId="13" xfId="0" applyFont="1" applyFill="1" applyBorder="1" applyAlignment="1">
      <alignment horizontal="center" vertical="center"/>
    </xf>
    <xf numFmtId="0" fontId="4" fillId="0" borderId="5" xfId="0" applyFont="1" applyFill="1" applyBorder="1" applyAlignment="1">
      <alignment horizontal="left" vertical="center" indent="1"/>
    </xf>
    <xf numFmtId="0" fontId="4" fillId="0" borderId="0" xfId="0" applyFont="1" applyFill="1">
      <alignment vertical="center"/>
    </xf>
    <xf numFmtId="0" fontId="5" fillId="0" borderId="0" xfId="0" applyFont="1" applyFill="1">
      <alignment vertical="center"/>
    </xf>
    <xf numFmtId="0" fontId="6" fillId="0" borderId="5" xfId="0" applyFont="1" applyFill="1" applyBorder="1">
      <alignment vertical="center"/>
    </xf>
    <xf numFmtId="0" fontId="6" fillId="0" borderId="1" xfId="0" applyFont="1" applyBorder="1" applyAlignment="1">
      <alignment horizontal="left" vertical="center"/>
    </xf>
    <xf numFmtId="0" fontId="4" fillId="0" borderId="1" xfId="0" applyFont="1" applyBorder="1" applyAlignment="1">
      <alignment horizontal="left" vertical="center"/>
    </xf>
    <xf numFmtId="0" fontId="6" fillId="0" borderId="5" xfId="0" applyFont="1" applyFill="1" applyBorder="1" applyAlignment="1">
      <alignment horizontal="left" vertical="center"/>
    </xf>
    <xf numFmtId="0" fontId="4" fillId="0" borderId="0" xfId="0" applyFont="1" applyFill="1" applyAlignment="1">
      <alignment horizontal="right" vertical="center"/>
    </xf>
    <xf numFmtId="0" fontId="5" fillId="0" borderId="0" xfId="0" applyFont="1" applyFill="1" applyAlignment="1">
      <alignment horizontal="right" vertical="center"/>
    </xf>
    <xf numFmtId="0" fontId="4" fillId="0" borderId="0" xfId="0" applyFont="1" applyAlignment="1">
      <alignment horizontal="right" vertical="center"/>
    </xf>
    <xf numFmtId="0" fontId="5" fillId="0" borderId="0" xfId="0" applyFont="1" applyAlignment="1">
      <alignment horizontal="right" vertical="center"/>
    </xf>
    <xf numFmtId="0" fontId="2" fillId="0" borderId="7"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10" fillId="0" borderId="2" xfId="2" applyFont="1" applyBorder="1">
      <alignment vertical="center"/>
    </xf>
    <xf numFmtId="0" fontId="10" fillId="0" borderId="4" xfId="2" applyFont="1" applyBorder="1">
      <alignment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8" fillId="0" borderId="19" xfId="0" applyFont="1" applyFill="1" applyBorder="1" applyAlignment="1">
      <alignment horizontal="center" vertical="center"/>
    </xf>
    <xf numFmtId="0" fontId="8" fillId="0" borderId="8" xfId="0" applyFont="1" applyFill="1" applyBorder="1" applyAlignment="1">
      <alignment horizontal="center" vertical="center"/>
    </xf>
    <xf numFmtId="0" fontId="11" fillId="4" borderId="5" xfId="0" applyFont="1" applyFill="1" applyBorder="1" applyAlignment="1">
      <alignment horizontal="center" vertical="center" wrapText="1"/>
    </xf>
    <xf numFmtId="0" fontId="4" fillId="0" borderId="21" xfId="0" applyFont="1" applyFill="1" applyBorder="1" applyAlignment="1">
      <alignment horizontal="right" vertical="center"/>
    </xf>
    <xf numFmtId="0" fontId="4" fillId="0" borderId="21" xfId="0" applyFont="1" applyFill="1" applyBorder="1" applyAlignment="1">
      <alignment vertical="center"/>
    </xf>
    <xf numFmtId="0" fontId="5" fillId="0" borderId="5" xfId="0" applyFont="1" applyBorder="1">
      <alignment vertical="center"/>
    </xf>
    <xf numFmtId="0" fontId="2" fillId="0" borderId="0" xfId="0" applyFont="1" applyBorder="1" applyAlignment="1">
      <alignment horizontal="center" vertical="center"/>
    </xf>
    <xf numFmtId="0" fontId="4" fillId="0" borderId="21"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8" fillId="0" borderId="0" xfId="0" applyFont="1" applyFill="1" applyBorder="1" applyAlignment="1">
      <alignment horizontal="center" vertical="center"/>
    </xf>
    <xf numFmtId="0" fontId="4" fillId="0" borderId="5" xfId="0" applyFont="1" applyBorder="1" applyAlignment="1">
      <alignment horizontal="left" vertical="center" wrapText="1"/>
    </xf>
    <xf numFmtId="0" fontId="4" fillId="0" borderId="5" xfId="0" applyFont="1" applyBorder="1" applyAlignment="1">
      <alignment vertical="center" wrapText="1"/>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0" borderId="22" xfId="0" applyFont="1" applyFill="1" applyBorder="1" applyAlignment="1">
      <alignment horizontal="center" vertical="center"/>
    </xf>
    <xf numFmtId="0" fontId="4" fillId="0" borderId="0" xfId="0" applyFont="1" applyFill="1" applyAlignment="1">
      <alignment vertical="center"/>
    </xf>
    <xf numFmtId="0" fontId="4" fillId="0" borderId="5" xfId="0" applyFont="1" applyFill="1" applyBorder="1" applyAlignment="1">
      <alignment horizontal="center" vertical="center"/>
    </xf>
    <xf numFmtId="0" fontId="6" fillId="0" borderId="24" xfId="0" applyFont="1" applyBorder="1" applyAlignment="1">
      <alignment horizontal="left" vertical="center"/>
    </xf>
    <xf numFmtId="0" fontId="4" fillId="0" borderId="22" xfId="0" applyFont="1" applyBorder="1">
      <alignment vertical="center"/>
    </xf>
    <xf numFmtId="0" fontId="4" fillId="0" borderId="5" xfId="0" applyFont="1" applyFill="1" applyBorder="1" applyAlignment="1">
      <alignment horizontal="right" vertical="center"/>
    </xf>
    <xf numFmtId="0" fontId="4" fillId="0" borderId="5" xfId="0" applyFont="1" applyFill="1" applyBorder="1">
      <alignment vertical="center"/>
    </xf>
    <xf numFmtId="0" fontId="6" fillId="0" borderId="5" xfId="0" applyFont="1" applyFill="1" applyBorder="1" applyAlignment="1">
      <alignment horizontal="right" vertical="center"/>
    </xf>
    <xf numFmtId="0" fontId="6" fillId="0" borderId="22" xfId="0" applyFont="1" applyFill="1" applyBorder="1">
      <alignment vertical="center"/>
    </xf>
    <xf numFmtId="0" fontId="4" fillId="0" borderId="21" xfId="0" applyFont="1" applyFill="1" applyBorder="1" applyAlignment="1">
      <alignment horizontal="left" vertical="center"/>
    </xf>
    <xf numFmtId="0" fontId="4" fillId="0" borderId="5" xfId="0" applyFont="1" applyFill="1" applyBorder="1" applyAlignment="1">
      <alignment vertical="center"/>
    </xf>
    <xf numFmtId="176" fontId="4" fillId="0" borderId="5" xfId="0" applyNumberFormat="1" applyFont="1" applyBorder="1" applyAlignment="1">
      <alignment horizontal="center" vertical="center"/>
    </xf>
    <xf numFmtId="177" fontId="4" fillId="0" borderId="5" xfId="0" applyNumberFormat="1" applyFont="1" applyFill="1" applyBorder="1" applyAlignment="1">
      <alignment horizontal="right" vertical="center"/>
    </xf>
    <xf numFmtId="43" fontId="4" fillId="0" borderId="5" xfId="0" applyNumberFormat="1" applyFont="1" applyFill="1" applyBorder="1" applyAlignment="1">
      <alignment horizontal="center" vertical="center"/>
    </xf>
    <xf numFmtId="43" fontId="4" fillId="0" borderId="5" xfId="0" applyNumberFormat="1" applyFont="1" applyFill="1" applyBorder="1" applyAlignment="1">
      <alignment horizontal="right" vertical="center"/>
    </xf>
    <xf numFmtId="0" fontId="7" fillId="2" borderId="5" xfId="0" applyFont="1" applyFill="1" applyBorder="1" applyAlignment="1">
      <alignment horizontal="center" vertical="center"/>
    </xf>
    <xf numFmtId="10" fontId="4" fillId="0" borderId="5" xfId="0" applyNumberFormat="1" applyFont="1" applyFill="1" applyBorder="1" applyAlignment="1">
      <alignment horizontal="right" vertical="center"/>
    </xf>
    <xf numFmtId="0" fontId="6" fillId="0" borderId="5" xfId="0" applyFont="1" applyBorder="1" applyAlignment="1">
      <alignment horizontal="right" vertical="center"/>
    </xf>
    <xf numFmtId="0" fontId="6" fillId="0" borderId="5" xfId="0" applyFont="1" applyBorder="1" applyAlignment="1">
      <alignment horizontal="center" vertical="center"/>
    </xf>
    <xf numFmtId="0" fontId="6" fillId="0" borderId="5" xfId="0" applyFont="1" applyFill="1" applyBorder="1" applyAlignment="1">
      <alignment horizontal="center" vertical="center"/>
    </xf>
    <xf numFmtId="0" fontId="4" fillId="0" borderId="22" xfId="0" applyFont="1" applyFill="1" applyBorder="1">
      <alignment vertical="center"/>
    </xf>
    <xf numFmtId="179" fontId="5" fillId="0" borderId="5" xfId="0" applyNumberFormat="1" applyFont="1" applyFill="1" applyBorder="1">
      <alignment vertical="center"/>
    </xf>
    <xf numFmtId="179" fontId="4" fillId="0" borderId="5" xfId="0" applyNumberFormat="1" applyFont="1" applyFill="1" applyBorder="1">
      <alignment vertical="center"/>
    </xf>
    <xf numFmtId="179" fontId="4" fillId="0" borderId="5" xfId="0" applyNumberFormat="1" applyFont="1" applyBorder="1">
      <alignment vertical="center"/>
    </xf>
    <xf numFmtId="0" fontId="4" fillId="0" borderId="5" xfId="0" applyFont="1" applyFill="1" applyBorder="1" applyAlignment="1">
      <alignment horizontal="center" vertical="center"/>
    </xf>
    <xf numFmtId="0" fontId="4" fillId="0" borderId="0" xfId="0" applyFont="1" applyAlignment="1">
      <alignment vertical="center"/>
    </xf>
    <xf numFmtId="10" fontId="4" fillId="0" borderId="0" xfId="0" applyNumberFormat="1" applyFont="1">
      <alignment vertical="center"/>
    </xf>
    <xf numFmtId="0" fontId="6" fillId="0" borderId="5" xfId="0" applyFont="1" applyFill="1" applyBorder="1" applyAlignment="1">
      <alignment vertical="center"/>
    </xf>
    <xf numFmtId="0" fontId="6" fillId="0" borderId="5" xfId="0" applyFont="1" applyBorder="1" applyAlignment="1">
      <alignment vertical="center"/>
    </xf>
    <xf numFmtId="0" fontId="6" fillId="0" borderId="0" xfId="0" applyFont="1" applyAlignment="1">
      <alignment vertical="center"/>
    </xf>
    <xf numFmtId="0" fontId="4" fillId="0" borderId="5" xfId="0" applyFont="1" applyFill="1" applyBorder="1" applyAlignment="1">
      <alignment horizontal="center" vertical="center"/>
    </xf>
    <xf numFmtId="0" fontId="4" fillId="0" borderId="0" xfId="0" applyFont="1" applyAlignment="1">
      <alignment horizontal="center" vertical="center"/>
    </xf>
    <xf numFmtId="0" fontId="0" fillId="0" borderId="0" xfId="0" applyFont="1">
      <alignment vertical="center"/>
    </xf>
    <xf numFmtId="0" fontId="6" fillId="0" borderId="5" xfId="0" applyFont="1" applyBorder="1" applyAlignment="1">
      <alignment vertical="center" wrapText="1"/>
    </xf>
    <xf numFmtId="0" fontId="8" fillId="0" borderId="7" xfId="0" applyFont="1" applyFill="1" applyBorder="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4" fillId="0" borderId="0" xfId="0" applyFont="1" applyBorder="1">
      <alignment vertical="center"/>
    </xf>
    <xf numFmtId="0" fontId="7" fillId="2" borderId="27" xfId="0" applyFont="1" applyFill="1" applyBorder="1" applyAlignment="1">
      <alignment horizontal="center" vertical="center"/>
    </xf>
    <xf numFmtId="0" fontId="2" fillId="0" borderId="7" xfId="0" applyFont="1" applyBorder="1" applyAlignment="1">
      <alignment horizontal="center" vertical="center"/>
    </xf>
    <xf numFmtId="0" fontId="20" fillId="0" borderId="23" xfId="0" applyFont="1" applyFill="1" applyBorder="1">
      <alignment vertical="center"/>
    </xf>
    <xf numFmtId="0" fontId="20" fillId="0" borderId="5" xfId="0" applyFont="1" applyFill="1" applyBorder="1" applyAlignment="1">
      <alignment horizontal="center" vertical="center" wrapText="1"/>
    </xf>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Font="1" applyAlignment="1">
      <alignment horizontal="center" vertical="center"/>
    </xf>
    <xf numFmtId="0" fontId="20" fillId="0" borderId="23" xfId="0" applyFont="1" applyBorder="1" applyAlignment="1">
      <alignment horizontal="center" vertical="center" wrapText="1"/>
    </xf>
    <xf numFmtId="0" fontId="20" fillId="0" borderId="21"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30" xfId="0" applyFont="1" applyBorder="1" applyAlignment="1">
      <alignment horizontal="center" vertical="center" wrapText="1"/>
    </xf>
    <xf numFmtId="0" fontId="20" fillId="0" borderId="23" xfId="0" applyFont="1" applyFill="1" applyBorder="1" applyAlignment="1">
      <alignment horizontal="center" vertical="center" wrapText="1"/>
    </xf>
    <xf numFmtId="0" fontId="20" fillId="0" borderId="5" xfId="0" applyFont="1" applyBorder="1" applyAlignment="1">
      <alignment horizontal="center" vertical="center" wrapText="1"/>
    </xf>
    <xf numFmtId="0" fontId="20" fillId="0" borderId="22" xfId="0" applyFont="1" applyBorder="1" applyAlignment="1">
      <alignment horizontal="center" vertical="center" wrapText="1"/>
    </xf>
    <xf numFmtId="0" fontId="20" fillId="0" borderId="26"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21" xfId="0" applyFont="1" applyFill="1" applyBorder="1" applyAlignment="1">
      <alignment horizontal="center" vertical="center" wrapText="1"/>
    </xf>
    <xf numFmtId="0" fontId="20" fillId="0" borderId="30" xfId="0" applyFont="1" applyFill="1" applyBorder="1" applyAlignment="1">
      <alignment horizontal="center" vertical="center"/>
    </xf>
    <xf numFmtId="0" fontId="20" fillId="0" borderId="27" xfId="0" applyFont="1" applyFill="1" applyBorder="1" applyAlignment="1">
      <alignment horizontal="center" vertical="center"/>
    </xf>
    <xf numFmtId="0" fontId="20" fillId="0" borderId="23" xfId="0" applyFont="1" applyFill="1" applyBorder="1" applyAlignment="1">
      <alignment horizontal="center" vertical="center"/>
    </xf>
    <xf numFmtId="0" fontId="20" fillId="0" borderId="12" xfId="0" applyFont="1" applyBorder="1" applyAlignment="1">
      <alignment horizontal="left" vertical="center" wrapText="1"/>
    </xf>
    <xf numFmtId="0" fontId="2" fillId="0" borderId="7" xfId="0" applyFont="1" applyBorder="1" applyAlignment="1">
      <alignment horizontal="center" vertical="center"/>
    </xf>
    <xf numFmtId="0" fontId="20" fillId="0" borderId="21" xfId="0" applyFont="1" applyBorder="1" applyAlignment="1">
      <alignment vertical="center" wrapText="1"/>
    </xf>
    <xf numFmtId="0" fontId="20" fillId="0" borderId="5" xfId="0" applyFont="1" applyBorder="1" applyAlignment="1">
      <alignment horizontal="left" vertical="center" wrapText="1"/>
    </xf>
    <xf numFmtId="0" fontId="22" fillId="7" borderId="5" xfId="6" applyFont="1" applyFill="1" applyBorder="1" applyAlignment="1">
      <alignment horizontal="center" vertical="center" wrapText="1"/>
    </xf>
    <xf numFmtId="0" fontId="22" fillId="0" borderId="5" xfId="6" applyFont="1" applyBorder="1" applyAlignment="1">
      <alignment horizontal="center" vertical="center" wrapText="1"/>
    </xf>
    <xf numFmtId="0" fontId="24" fillId="0" borderId="5" xfId="6" applyFont="1" applyBorder="1" applyAlignment="1">
      <alignment horizontal="center" vertical="center" wrapText="1"/>
    </xf>
    <xf numFmtId="0" fontId="24" fillId="0" borderId="5" xfId="6" applyFont="1" applyBorder="1" applyAlignment="1">
      <alignment horizontal="left" vertical="center" wrapText="1"/>
    </xf>
    <xf numFmtId="0" fontId="24" fillId="0" borderId="5" xfId="6" applyFont="1" applyFill="1" applyBorder="1" applyAlignment="1">
      <alignment horizontal="left" vertical="center" wrapText="1"/>
    </xf>
    <xf numFmtId="0" fontId="24" fillId="0" borderId="0" xfId="6" applyFont="1" applyBorder="1" applyAlignment="1">
      <alignment horizontal="left" vertical="center" wrapText="1"/>
    </xf>
    <xf numFmtId="0" fontId="0" fillId="0" borderId="0" xfId="0" applyBorder="1">
      <alignment vertical="center"/>
    </xf>
    <xf numFmtId="0" fontId="20" fillId="0" borderId="5" xfId="0" applyFont="1" applyFill="1" applyBorder="1" applyAlignment="1">
      <alignment horizontal="left" vertical="center" wrapText="1"/>
    </xf>
    <xf numFmtId="0" fontId="22" fillId="0" borderId="5" xfId="6" applyFont="1" applyBorder="1" applyAlignment="1">
      <alignment horizontal="center" vertical="center"/>
    </xf>
    <xf numFmtId="3" fontId="24" fillId="0" borderId="5" xfId="4" applyNumberFormat="1" applyFont="1" applyBorder="1" applyAlignment="1">
      <alignment horizontal="center" vertical="center" wrapText="1"/>
    </xf>
    <xf numFmtId="9" fontId="24" fillId="0" borderId="5" xfId="4" applyNumberFormat="1" applyFont="1" applyBorder="1" applyAlignment="1">
      <alignment horizontal="center" vertical="center" wrapText="1"/>
    </xf>
    <xf numFmtId="0" fontId="4" fillId="6" borderId="5" xfId="0" applyFont="1" applyFill="1" applyBorder="1" applyAlignment="1">
      <alignment horizontal="center" vertical="center"/>
    </xf>
    <xf numFmtId="0" fontId="25" fillId="0" borderId="0" xfId="0" applyFont="1" applyFill="1" applyBorder="1" applyAlignment="1">
      <alignment horizontal="center" vertical="center"/>
    </xf>
    <xf numFmtId="3" fontId="4" fillId="0" borderId="5" xfId="0" applyNumberFormat="1" applyFont="1" applyFill="1" applyBorder="1" applyAlignment="1">
      <alignment horizontal="right" vertical="center"/>
    </xf>
    <xf numFmtId="3" fontId="4" fillId="0" borderId="5" xfId="0" applyNumberFormat="1" applyFont="1" applyBorder="1">
      <alignment vertical="center"/>
    </xf>
    <xf numFmtId="9" fontId="4" fillId="0" borderId="5" xfId="3" applyFont="1" applyFill="1" applyBorder="1" applyAlignment="1">
      <alignment horizontal="right" vertical="center"/>
    </xf>
    <xf numFmtId="0" fontId="24" fillId="8" borderId="5" xfId="6" applyFont="1" applyFill="1" applyBorder="1" applyAlignment="1">
      <alignment horizontal="center" vertical="center" wrapText="1"/>
    </xf>
    <xf numFmtId="0" fontId="24" fillId="0" borderId="5" xfId="6" applyFont="1" applyFill="1" applyBorder="1" applyAlignment="1">
      <alignment horizontal="center" vertical="center" wrapText="1"/>
    </xf>
    <xf numFmtId="0" fontId="20" fillId="0" borderId="0" xfId="0" applyFont="1">
      <alignment vertical="center"/>
    </xf>
    <xf numFmtId="0" fontId="26" fillId="0" borderId="0" xfId="0" applyFont="1" applyAlignment="1">
      <alignment horizontal="center" vertical="center"/>
    </xf>
    <xf numFmtId="182" fontId="26" fillId="0" borderId="0" xfId="0" applyNumberFormat="1" applyFont="1" applyAlignment="1">
      <alignment horizontal="center" vertical="center"/>
    </xf>
    <xf numFmtId="43" fontId="4" fillId="0" borderId="0" xfId="4" applyFont="1">
      <alignment vertical="center"/>
    </xf>
    <xf numFmtId="43" fontId="4" fillId="0" borderId="0" xfId="4" applyFont="1" applyFill="1">
      <alignment vertical="center"/>
    </xf>
    <xf numFmtId="43" fontId="0" fillId="0" borderId="0" xfId="0" applyNumberFormat="1">
      <alignment vertical="center"/>
    </xf>
    <xf numFmtId="183" fontId="0" fillId="0" borderId="0" xfId="0" applyNumberFormat="1">
      <alignment vertical="center"/>
    </xf>
    <xf numFmtId="0" fontId="4" fillId="5" borderId="0" xfId="0" applyFont="1" applyFill="1">
      <alignment vertical="center"/>
    </xf>
    <xf numFmtId="0" fontId="4" fillId="0" borderId="32" xfId="0" applyFont="1" applyBorder="1">
      <alignment vertical="center"/>
    </xf>
    <xf numFmtId="0" fontId="4" fillId="0" borderId="3" xfId="0" applyFont="1" applyBorder="1" applyAlignment="1">
      <alignment horizontal="left" vertical="center"/>
    </xf>
    <xf numFmtId="0" fontId="27" fillId="0" borderId="0" xfId="0" applyFont="1">
      <alignment vertical="center"/>
    </xf>
    <xf numFmtId="0" fontId="28" fillId="0" borderId="0" xfId="0" applyFont="1">
      <alignment vertical="center"/>
    </xf>
    <xf numFmtId="0" fontId="28" fillId="0" borderId="0" xfId="0" applyFont="1" applyBorder="1">
      <alignment vertical="center"/>
    </xf>
    <xf numFmtId="0" fontId="30" fillId="0" borderId="5" xfId="0" applyFont="1" applyBorder="1" applyAlignment="1">
      <alignment horizontal="center" vertical="center" wrapText="1"/>
    </xf>
    <xf numFmtId="0" fontId="31" fillId="0" borderId="5" xfId="0" applyFont="1" applyBorder="1" applyAlignment="1">
      <alignment horizontal="left" vertical="center" wrapText="1"/>
    </xf>
    <xf numFmtId="0" fontId="31" fillId="0" borderId="5" xfId="0" applyNumberFormat="1" applyFont="1" applyBorder="1" applyAlignment="1">
      <alignment horizontal="center" vertical="center" wrapText="1"/>
    </xf>
    <xf numFmtId="0" fontId="31" fillId="0" borderId="5" xfId="0" applyFont="1" applyBorder="1" applyAlignment="1">
      <alignment horizontal="center" vertical="center" wrapText="1"/>
    </xf>
    <xf numFmtId="0" fontId="31" fillId="0" borderId="5" xfId="0" applyNumberFormat="1" applyFont="1" applyFill="1" applyBorder="1" applyAlignment="1">
      <alignment horizontal="center" vertical="center" wrapText="1"/>
    </xf>
    <xf numFmtId="0" fontId="31" fillId="0" borderId="5" xfId="0" applyFont="1" applyFill="1" applyBorder="1" applyAlignment="1">
      <alignment horizontal="center" vertical="center" wrapText="1"/>
    </xf>
    <xf numFmtId="0" fontId="31" fillId="0" borderId="5" xfId="0" applyFont="1" applyFill="1" applyBorder="1" applyAlignment="1">
      <alignment horizontal="left" vertical="center" wrapText="1"/>
    </xf>
    <xf numFmtId="0" fontId="31" fillId="0" borderId="5" xfId="0" applyFont="1" applyBorder="1" applyAlignment="1">
      <alignment vertical="center" wrapText="1"/>
    </xf>
    <xf numFmtId="0" fontId="32" fillId="9" borderId="5" xfId="0" applyFont="1" applyFill="1" applyBorder="1" applyAlignment="1">
      <alignment horizontal="center" vertical="center" wrapText="1"/>
    </xf>
    <xf numFmtId="0" fontId="20" fillId="0" borderId="22" xfId="0" applyFont="1" applyFill="1" applyBorder="1" applyAlignment="1">
      <alignment horizontal="left" vertical="center" wrapText="1"/>
    </xf>
    <xf numFmtId="0" fontId="20" fillId="0" borderId="26"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5" xfId="0" applyFont="1" applyFill="1" applyBorder="1" applyAlignment="1">
      <alignment horizontal="left" vertical="center" wrapText="1"/>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8" fillId="0" borderId="20"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9" xfId="0" applyFont="1" applyFill="1" applyBorder="1" applyAlignment="1">
      <alignment horizontal="center" vertical="center"/>
    </xf>
    <xf numFmtId="0" fontId="2" fillId="0" borderId="0" xfId="0" applyFont="1" applyBorder="1" applyAlignment="1">
      <alignment horizontal="center" vertical="center"/>
    </xf>
    <xf numFmtId="0" fontId="4" fillId="0" borderId="31" xfId="0" applyFont="1" applyBorder="1">
      <alignment vertical="center"/>
    </xf>
    <xf numFmtId="178" fontId="4" fillId="0" borderId="21" xfId="0" applyNumberFormat="1" applyFont="1" applyFill="1" applyBorder="1" applyAlignment="1">
      <alignment horizontal="right" vertical="center"/>
    </xf>
    <xf numFmtId="9" fontId="4" fillId="0" borderId="5" xfId="0" applyNumberFormat="1" applyFont="1" applyFill="1" applyBorder="1" applyAlignment="1">
      <alignment horizontal="right" vertical="center"/>
    </xf>
    <xf numFmtId="0" fontId="2" fillId="0" borderId="34" xfId="0" applyFont="1" applyBorder="1" applyAlignment="1">
      <alignment horizontal="center" vertical="center"/>
    </xf>
    <xf numFmtId="0" fontId="35" fillId="0" borderId="0" xfId="0" applyFont="1" applyBorder="1" applyAlignment="1">
      <alignment vertical="center"/>
    </xf>
    <xf numFmtId="0" fontId="31" fillId="0" borderId="0" xfId="0" applyFont="1" applyBorder="1" applyAlignment="1">
      <alignment vertical="center"/>
    </xf>
    <xf numFmtId="0" fontId="36" fillId="0" borderId="5" xfId="0" applyFont="1" applyFill="1" applyBorder="1" applyAlignment="1">
      <alignment horizontal="left" vertical="center" wrapText="1"/>
    </xf>
    <xf numFmtId="0" fontId="36" fillId="0" borderId="5" xfId="0" applyFont="1" applyFill="1" applyBorder="1" applyAlignment="1">
      <alignment horizontal="center" vertical="center" wrapText="1"/>
    </xf>
    <xf numFmtId="0" fontId="36" fillId="0" borderId="5" xfId="0" applyFont="1" applyFill="1" applyBorder="1" applyAlignment="1">
      <alignment vertical="center" wrapText="1"/>
    </xf>
    <xf numFmtId="0" fontId="36" fillId="0" borderId="5" xfId="0" applyFont="1" applyFill="1" applyBorder="1" applyAlignment="1">
      <alignment vertical="center"/>
    </xf>
    <xf numFmtId="0" fontId="36" fillId="0" borderId="5" xfId="0" applyFont="1" applyFill="1" applyBorder="1" applyAlignment="1">
      <alignment horizontal="left" vertical="center"/>
    </xf>
    <xf numFmtId="0" fontId="36" fillId="0" borderId="5" xfId="0" applyFont="1" applyFill="1" applyBorder="1" applyAlignment="1">
      <alignment horizontal="center" vertical="center"/>
    </xf>
    <xf numFmtId="0" fontId="11" fillId="0" borderId="22" xfId="0" applyFont="1" applyFill="1" applyBorder="1" applyAlignment="1">
      <alignment vertical="center" wrapText="1"/>
    </xf>
    <xf numFmtId="0" fontId="36" fillId="0" borderId="22" xfId="0" applyFont="1" applyFill="1" applyBorder="1" applyAlignment="1">
      <alignment horizontal="left" vertical="center"/>
    </xf>
    <xf numFmtId="0" fontId="36" fillId="0" borderId="22" xfId="0" applyFont="1" applyFill="1" applyBorder="1" applyAlignment="1">
      <alignment horizontal="center" vertical="center"/>
    </xf>
    <xf numFmtId="0" fontId="36" fillId="0" borderId="22" xfId="0" applyFont="1" applyFill="1" applyBorder="1" applyAlignment="1">
      <alignment vertical="center" wrapText="1"/>
    </xf>
    <xf numFmtId="0" fontId="36" fillId="0" borderId="22" xfId="0" applyFont="1" applyFill="1" applyBorder="1" applyAlignment="1">
      <alignment horizontal="left" vertical="center" wrapText="1"/>
    </xf>
    <xf numFmtId="0" fontId="11" fillId="0" borderId="5" xfId="0" applyFont="1" applyFill="1" applyBorder="1" applyAlignment="1">
      <alignment horizontal="center" vertical="center" wrapText="1"/>
    </xf>
    <xf numFmtId="0" fontId="35" fillId="0" borderId="5" xfId="0" applyFont="1" applyFill="1" applyBorder="1" applyAlignment="1">
      <alignment vertical="center"/>
    </xf>
    <xf numFmtId="0" fontId="35" fillId="0" borderId="0" xfId="0" applyFont="1" applyBorder="1" applyAlignment="1">
      <alignment horizontal="center" vertical="center" wrapText="1"/>
    </xf>
    <xf numFmtId="0" fontId="35" fillId="0" borderId="0" xfId="0" applyFont="1" applyBorder="1" applyAlignment="1">
      <alignment horizontal="left" vertical="center"/>
    </xf>
    <xf numFmtId="0" fontId="35" fillId="0" borderId="0" xfId="0" applyFont="1" applyBorder="1" applyAlignment="1">
      <alignment horizontal="center" vertical="center"/>
    </xf>
    <xf numFmtId="0" fontId="6" fillId="0" borderId="0" xfId="0" applyFont="1" applyBorder="1" applyAlignment="1">
      <alignment horizontal="center" vertical="center"/>
    </xf>
    <xf numFmtId="0" fontId="4" fillId="0" borderId="5" xfId="0" applyFont="1" applyFill="1" applyBorder="1" applyAlignment="1">
      <alignment horizontal="center" vertical="center"/>
    </xf>
    <xf numFmtId="0" fontId="2" fillId="0" borderId="0" xfId="0" applyFont="1" applyBorder="1" applyAlignment="1">
      <alignment horizontal="center" vertical="center"/>
    </xf>
    <xf numFmtId="43" fontId="6" fillId="0" borderId="5" xfId="0" applyNumberFormat="1" applyFont="1" applyFill="1" applyBorder="1" applyAlignment="1">
      <alignment horizontal="right" vertical="center"/>
    </xf>
    <xf numFmtId="0" fontId="6" fillId="0" borderId="0" xfId="0" applyFont="1" applyBorder="1" applyAlignment="1">
      <alignment horizontal="left"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Border="1" applyAlignment="1">
      <alignment vertical="center"/>
    </xf>
    <xf numFmtId="43" fontId="6" fillId="0" borderId="0" xfId="0" applyNumberFormat="1" applyFont="1" applyFill="1" applyBorder="1" applyAlignment="1">
      <alignment horizontal="right" vertical="center"/>
    </xf>
    <xf numFmtId="184" fontId="4" fillId="0" borderId="5" xfId="4" applyNumberFormat="1" applyFont="1" applyFill="1" applyBorder="1" applyAlignment="1">
      <alignment horizontal="right" vertical="center"/>
    </xf>
    <xf numFmtId="0" fontId="20" fillId="0" borderId="5" xfId="0" applyFont="1" applyFill="1" applyBorder="1" applyAlignment="1">
      <alignment horizontal="left" vertical="center" wrapText="1"/>
    </xf>
    <xf numFmtId="0" fontId="20" fillId="0" borderId="5" xfId="0" applyFont="1" applyBorder="1" applyAlignment="1">
      <alignment horizontal="left" vertical="center" wrapText="1"/>
    </xf>
    <xf numFmtId="0" fontId="36" fillId="0" borderId="5" xfId="0" applyFont="1" applyFill="1" applyBorder="1" applyAlignment="1">
      <alignment horizontal="left" vertical="center" wrapText="1"/>
    </xf>
    <xf numFmtId="0" fontId="4" fillId="9" borderId="5" xfId="0" applyFont="1" applyFill="1" applyBorder="1" applyAlignment="1">
      <alignment horizontal="center" vertical="center"/>
    </xf>
    <xf numFmtId="0" fontId="4" fillId="9" borderId="22" xfId="0" applyFont="1" applyFill="1" applyBorder="1" applyAlignment="1">
      <alignment horizontal="center" vertical="center"/>
    </xf>
    <xf numFmtId="0" fontId="24" fillId="9" borderId="5" xfId="6" applyFont="1" applyFill="1" applyBorder="1" applyAlignment="1">
      <alignment horizontal="center" vertical="center" wrapText="1"/>
    </xf>
    <xf numFmtId="0" fontId="42" fillId="10" borderId="5" xfId="0" applyFont="1" applyFill="1" applyBorder="1" applyAlignment="1">
      <alignment horizontal="center" vertical="center" wrapText="1"/>
    </xf>
    <xf numFmtId="0" fontId="43" fillId="0" borderId="0" xfId="0" applyFont="1">
      <alignment vertical="center"/>
    </xf>
    <xf numFmtId="0" fontId="20" fillId="0" borderId="5" xfId="0" applyFont="1" applyBorder="1" applyAlignment="1">
      <alignment horizontal="center" vertical="center"/>
    </xf>
    <xf numFmtId="0" fontId="0" fillId="0" borderId="0" xfId="0" applyAlignment="1">
      <alignment horizontal="left" vertical="center"/>
    </xf>
    <xf numFmtId="0" fontId="21" fillId="0" borderId="0" xfId="0" applyFont="1" applyBorder="1" applyAlignment="1">
      <alignment vertical="center"/>
    </xf>
    <xf numFmtId="0" fontId="26" fillId="0" borderId="5" xfId="0" applyFont="1" applyFill="1" applyBorder="1" applyAlignment="1">
      <alignment horizontal="center" vertical="center" wrapText="1"/>
    </xf>
    <xf numFmtId="0" fontId="44" fillId="0" borderId="0" xfId="0" applyFont="1" applyAlignment="1">
      <alignment horizontal="center" vertical="center" wrapText="1"/>
    </xf>
    <xf numFmtId="0" fontId="26" fillId="0" borderId="5" xfId="0" applyFont="1" applyFill="1" applyBorder="1" applyAlignment="1">
      <alignment horizontal="left" vertical="center" wrapText="1"/>
    </xf>
    <xf numFmtId="0" fontId="26" fillId="0" borderId="5" xfId="0" applyFont="1" applyBorder="1" applyAlignment="1">
      <alignment vertical="center" wrapText="1"/>
    </xf>
    <xf numFmtId="0" fontId="36" fillId="0" borderId="5" xfId="0" applyFont="1" applyBorder="1" applyAlignment="1">
      <alignment horizontal="center" vertical="center" wrapText="1"/>
    </xf>
    <xf numFmtId="0" fontId="36" fillId="0" borderId="5" xfId="0" applyFont="1" applyBorder="1" applyAlignment="1">
      <alignment horizontal="left" vertical="center" wrapText="1"/>
    </xf>
    <xf numFmtId="0" fontId="26" fillId="0" borderId="5" xfId="0" applyFont="1" applyBorder="1">
      <alignment vertical="center"/>
    </xf>
    <xf numFmtId="0" fontId="20" fillId="0" borderId="5" xfId="0" applyFont="1" applyBorder="1" applyAlignment="1">
      <alignment vertical="center" wrapText="1"/>
    </xf>
    <xf numFmtId="0" fontId="20" fillId="0" borderId="5" xfId="0" applyFont="1" applyFill="1" applyBorder="1" applyAlignment="1">
      <alignment horizontal="center" vertical="center"/>
    </xf>
    <xf numFmtId="0" fontId="44" fillId="0" borderId="0" xfId="0" applyFont="1">
      <alignment vertical="center"/>
    </xf>
    <xf numFmtId="0" fontId="26" fillId="0" borderId="5" xfId="0" applyFont="1" applyBorder="1" applyAlignment="1">
      <alignment horizontal="left" vertical="center" wrapText="1"/>
    </xf>
    <xf numFmtId="0" fontId="11" fillId="0" borderId="5" xfId="0" applyFont="1" applyBorder="1" applyAlignment="1">
      <alignment vertical="center" wrapText="1"/>
    </xf>
    <xf numFmtId="0" fontId="41" fillId="0" borderId="0" xfId="0" applyFont="1" applyBorder="1" applyAlignment="1">
      <alignment horizontal="center" vertical="center"/>
    </xf>
    <xf numFmtId="0" fontId="43" fillId="0" borderId="5" xfId="0" applyFont="1" applyBorder="1" applyAlignment="1">
      <alignment horizontal="center" vertical="center"/>
    </xf>
    <xf numFmtId="0" fontId="43" fillId="5" borderId="5" xfId="0" applyFont="1" applyFill="1" applyBorder="1" applyAlignment="1">
      <alignment horizontal="center" vertical="center"/>
    </xf>
    <xf numFmtId="0" fontId="26" fillId="0" borderId="31" xfId="0" applyFont="1" applyFill="1" applyBorder="1" applyAlignment="1">
      <alignment horizontal="center" vertical="center" wrapText="1"/>
    </xf>
    <xf numFmtId="0" fontId="20" fillId="0" borderId="31" xfId="0" applyFont="1" applyFill="1" applyBorder="1" applyAlignment="1">
      <alignment horizontal="center" vertical="center" wrapText="1"/>
    </xf>
    <xf numFmtId="0" fontId="36" fillId="0" borderId="31" xfId="0" applyFont="1" applyBorder="1" applyAlignment="1">
      <alignment horizontal="center" vertical="center" wrapText="1"/>
    </xf>
    <xf numFmtId="0" fontId="11" fillId="5" borderId="5" xfId="0" applyFont="1" applyFill="1" applyBorder="1" applyAlignment="1">
      <alignment vertical="center" wrapText="1"/>
    </xf>
    <xf numFmtId="0" fontId="20" fillId="0" borderId="5" xfId="0" applyFont="1" applyBorder="1">
      <alignment vertical="center"/>
    </xf>
    <xf numFmtId="43" fontId="20" fillId="0" borderId="5" xfId="4" applyFont="1" applyBorder="1">
      <alignment vertical="center"/>
    </xf>
    <xf numFmtId="43" fontId="20" fillId="0" borderId="0" xfId="4" applyFont="1">
      <alignment vertical="center"/>
    </xf>
    <xf numFmtId="43" fontId="45" fillId="0" borderId="0" xfId="4" applyFont="1">
      <alignment vertical="center"/>
    </xf>
    <xf numFmtId="43" fontId="20" fillId="0" borderId="0" xfId="4" applyFont="1" applyAlignment="1">
      <alignment horizontal="center" vertical="center"/>
    </xf>
    <xf numFmtId="3" fontId="4" fillId="0" borderId="21" xfId="0" applyNumberFormat="1" applyFont="1" applyFill="1" applyBorder="1" applyAlignment="1">
      <alignment horizontal="right" vertical="center"/>
    </xf>
    <xf numFmtId="0" fontId="11" fillId="10" borderId="5" xfId="0" applyFont="1" applyFill="1" applyBorder="1" applyAlignment="1">
      <alignment horizontal="center" vertical="center"/>
    </xf>
    <xf numFmtId="0" fontId="11" fillId="10" borderId="5" xfId="0" applyFont="1" applyFill="1" applyBorder="1" applyAlignment="1">
      <alignment horizontal="center" vertical="center" wrapText="1"/>
    </xf>
    <xf numFmtId="0" fontId="11" fillId="10" borderId="22" xfId="0" applyFont="1" applyFill="1" applyBorder="1" applyAlignment="1">
      <alignment horizontal="center" vertical="center" wrapText="1"/>
    </xf>
    <xf numFmtId="43" fontId="35" fillId="0" borderId="0" xfId="4" applyFont="1" applyBorder="1" applyAlignment="1">
      <alignment vertical="center"/>
    </xf>
    <xf numFmtId="43" fontId="35" fillId="0" borderId="0" xfId="0" applyNumberFormat="1" applyFont="1" applyBorder="1" applyAlignment="1">
      <alignment vertical="center"/>
    </xf>
    <xf numFmtId="0" fontId="4" fillId="0" borderId="5" xfId="0" applyFont="1" applyFill="1" applyBorder="1" applyAlignment="1">
      <alignment horizontal="center" vertical="center"/>
    </xf>
    <xf numFmtId="0" fontId="2" fillId="0" borderId="0" xfId="0" applyFont="1" applyBorder="1" applyAlignment="1">
      <alignment horizontal="center" vertical="center"/>
    </xf>
    <xf numFmtId="0" fontId="4" fillId="0" borderId="5" xfId="0" applyFont="1" applyFill="1" applyBorder="1" applyAlignment="1">
      <alignment horizontal="left" vertical="center"/>
    </xf>
    <xf numFmtId="0" fontId="4" fillId="0" borderId="5" xfId="0" applyFont="1" applyFill="1" applyBorder="1" applyAlignment="1">
      <alignment horizontal="left" vertical="center"/>
    </xf>
    <xf numFmtId="0" fontId="4" fillId="0" borderId="5" xfId="0" applyFont="1" applyFill="1" applyBorder="1" applyAlignment="1">
      <alignment horizontal="center" vertical="center"/>
    </xf>
    <xf numFmtId="0" fontId="20" fillId="0" borderId="5" xfId="0" applyFont="1" applyFill="1" applyBorder="1" applyAlignment="1">
      <alignment horizontal="center" vertical="center" wrapText="1"/>
    </xf>
    <xf numFmtId="0" fontId="20" fillId="0" borderId="5" xfId="0" applyFont="1" applyBorder="1" applyAlignment="1">
      <alignment horizontal="center"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3" fontId="24" fillId="0" borderId="5" xfId="6" applyNumberFormat="1" applyFont="1" applyFill="1" applyBorder="1" applyAlignment="1">
      <alignment horizontal="center" vertical="center" wrapText="1"/>
    </xf>
    <xf numFmtId="4" fontId="24" fillId="0" borderId="5" xfId="4" applyNumberFormat="1" applyFont="1" applyFill="1" applyBorder="1" applyAlignment="1">
      <alignment horizontal="center" vertical="center" wrapText="1"/>
    </xf>
    <xf numFmtId="4" fontId="24" fillId="0" borderId="5" xfId="4" applyNumberFormat="1" applyFont="1" applyBorder="1" applyAlignment="1">
      <alignment horizontal="center" vertical="center" wrapText="1"/>
    </xf>
    <xf numFmtId="0" fontId="21" fillId="0" borderId="0" xfId="0" applyFont="1" applyBorder="1" applyAlignment="1">
      <alignment horizontal="center" vertical="center"/>
    </xf>
    <xf numFmtId="0" fontId="20" fillId="11" borderId="5" xfId="0" applyFont="1" applyFill="1" applyBorder="1" applyAlignment="1">
      <alignment horizontal="center" vertical="center"/>
    </xf>
    <xf numFmtId="43" fontId="43" fillId="0" borderId="0" xfId="4" applyFont="1">
      <alignment vertical="center"/>
    </xf>
    <xf numFmtId="0" fontId="4" fillId="0" borderId="5" xfId="0" applyFont="1" applyFill="1" applyBorder="1" applyAlignment="1">
      <alignment horizontal="center" vertical="center"/>
    </xf>
    <xf numFmtId="0" fontId="0" fillId="5" borderId="5" xfId="0" applyFill="1" applyBorder="1" applyAlignment="1">
      <alignment horizontal="center" vertical="center"/>
    </xf>
    <xf numFmtId="0" fontId="44" fillId="0" borderId="5" xfId="0" applyFont="1" applyFill="1" applyBorder="1" applyAlignment="1">
      <alignment horizontal="center" vertical="center"/>
    </xf>
    <xf numFmtId="0" fontId="0" fillId="0" borderId="5" xfId="0" applyFill="1" applyBorder="1" applyAlignment="1">
      <alignment horizontal="center" vertical="center"/>
    </xf>
    <xf numFmtId="43" fontId="4" fillId="0" borderId="0" xfId="4" applyFont="1" applyFill="1" applyBorder="1">
      <alignment vertical="center"/>
    </xf>
    <xf numFmtId="0" fontId="20" fillId="0" borderId="5" xfId="0" applyFont="1" applyFill="1" applyBorder="1" applyAlignment="1">
      <alignment horizontal="left" vertical="center" wrapText="1"/>
    </xf>
    <xf numFmtId="0" fontId="5" fillId="0" borderId="0" xfId="0" applyFont="1" applyBorder="1" applyAlignment="1">
      <alignment horizontal="left" vertical="center"/>
    </xf>
    <xf numFmtId="0" fontId="4" fillId="0" borderId="21" xfId="0" applyFont="1" applyBorder="1" applyAlignment="1">
      <alignment horizontal="center" vertical="center"/>
    </xf>
    <xf numFmtId="0" fontId="4" fillId="0" borderId="21" xfId="0" applyFont="1" applyFill="1" applyBorder="1" applyAlignment="1">
      <alignment horizontal="center" vertical="center"/>
    </xf>
    <xf numFmtId="0" fontId="20" fillId="0" borderId="21" xfId="0" applyFont="1" applyBorder="1" applyAlignment="1">
      <alignment vertical="center"/>
    </xf>
    <xf numFmtId="0" fontId="20" fillId="0" borderId="21" xfId="0" applyFont="1" applyBorder="1" applyAlignment="1">
      <alignment horizontal="right" vertical="center"/>
    </xf>
    <xf numFmtId="182" fontId="6" fillId="0" borderId="5" xfId="0" applyNumberFormat="1" applyFont="1" applyFill="1" applyBorder="1" applyAlignment="1">
      <alignment vertical="center" wrapText="1"/>
    </xf>
    <xf numFmtId="182" fontId="6" fillId="0" borderId="5" xfId="0" applyNumberFormat="1" applyFont="1" applyFill="1" applyBorder="1">
      <alignment vertical="center"/>
    </xf>
    <xf numFmtId="182" fontId="6" fillId="0" borderId="5" xfId="0" applyNumberFormat="1" applyFont="1" applyFill="1" applyBorder="1" applyAlignment="1">
      <alignment horizontal="center" vertical="center"/>
    </xf>
    <xf numFmtId="182" fontId="6" fillId="0" borderId="0" xfId="0" applyNumberFormat="1" applyFont="1" applyFill="1">
      <alignment vertical="center"/>
    </xf>
    <xf numFmtId="0" fontId="4" fillId="0" borderId="0" xfId="0" applyFont="1" applyBorder="1" applyAlignment="1">
      <alignment horizontal="left" vertical="center"/>
    </xf>
    <xf numFmtId="182" fontId="4" fillId="0" borderId="0" xfId="0" applyNumberFormat="1" applyFont="1" applyFill="1">
      <alignment vertical="center"/>
    </xf>
    <xf numFmtId="43" fontId="51" fillId="0" borderId="0" xfId="4" applyFont="1" applyAlignment="1">
      <alignment horizontal="left" vertical="center"/>
    </xf>
    <xf numFmtId="0" fontId="51" fillId="0" borderId="0" xfId="0" applyFont="1" applyAlignment="1">
      <alignment horizontal="right" vertical="center"/>
    </xf>
    <xf numFmtId="0" fontId="51" fillId="0" borderId="0" xfId="0" applyFont="1" applyAlignment="1">
      <alignment horizontal="center" vertical="center"/>
    </xf>
    <xf numFmtId="0" fontId="7" fillId="2" borderId="24" xfId="0" applyFont="1" applyFill="1" applyBorder="1" applyAlignment="1">
      <alignment horizontal="center" vertical="center"/>
    </xf>
    <xf numFmtId="0" fontId="7" fillId="2" borderId="35" xfId="0" applyFont="1" applyFill="1" applyBorder="1" applyAlignment="1">
      <alignment horizontal="center" vertical="center"/>
    </xf>
    <xf numFmtId="0" fontId="4" fillId="0" borderId="21" xfId="0" applyFont="1" applyBorder="1" applyAlignment="1">
      <alignment horizontal="left" vertical="center"/>
    </xf>
    <xf numFmtId="43" fontId="4" fillId="0" borderId="5" xfId="4" applyFont="1" applyFill="1" applyBorder="1">
      <alignment vertical="center"/>
    </xf>
    <xf numFmtId="182" fontId="6" fillId="0" borderId="0" xfId="0" applyNumberFormat="1" applyFont="1" applyFill="1" applyBorder="1">
      <alignment vertical="center"/>
    </xf>
    <xf numFmtId="0" fontId="4" fillId="0" borderId="0" xfId="0" applyFont="1" applyFill="1" applyAlignment="1">
      <alignment horizontal="left" vertical="center"/>
    </xf>
    <xf numFmtId="43" fontId="51" fillId="0" borderId="0" xfId="4" applyFont="1" applyAlignment="1">
      <alignment horizontal="right" vertical="center"/>
    </xf>
    <xf numFmtId="0" fontId="5" fillId="0" borderId="0" xfId="0" applyFont="1" applyFill="1" applyAlignment="1">
      <alignment horizontal="left" vertical="center"/>
    </xf>
    <xf numFmtId="0" fontId="4" fillId="0" borderId="5" xfId="0" applyFont="1" applyFill="1" applyBorder="1" applyAlignment="1">
      <alignment horizontal="left" vertical="center" wrapText="1" indent="1"/>
    </xf>
    <xf numFmtId="43" fontId="4" fillId="0" borderId="21" xfId="4" applyFont="1" applyBorder="1" applyAlignment="1">
      <alignment horizontal="center" vertical="center"/>
    </xf>
    <xf numFmtId="188" fontId="4" fillId="0" borderId="5" xfId="0" applyNumberFormat="1" applyFont="1" applyFill="1" applyBorder="1" applyAlignment="1">
      <alignment horizontal="right" vertical="center"/>
    </xf>
    <xf numFmtId="0" fontId="6" fillId="0" borderId="6" xfId="0" applyFont="1" applyFill="1" applyBorder="1" applyAlignment="1">
      <alignment horizontal="left" vertical="center"/>
    </xf>
    <xf numFmtId="185" fontId="4" fillId="0" borderId="6" xfId="0" applyNumberFormat="1" applyFont="1" applyFill="1" applyBorder="1" applyAlignment="1">
      <alignment horizontal="left" vertical="center"/>
    </xf>
    <xf numFmtId="182" fontId="6" fillId="0" borderId="6" xfId="0" applyNumberFormat="1" applyFont="1" applyFill="1" applyBorder="1" applyAlignment="1">
      <alignment horizontal="left" vertical="center"/>
    </xf>
    <xf numFmtId="182" fontId="6" fillId="0" borderId="21" xfId="0" applyNumberFormat="1" applyFont="1" applyFill="1" applyBorder="1" applyAlignment="1">
      <alignment vertical="center" wrapText="1"/>
    </xf>
    <xf numFmtId="182" fontId="6" fillId="0" borderId="0" xfId="0" applyNumberFormat="1" applyFont="1" applyFill="1" applyBorder="1" applyAlignment="1">
      <alignment horizontal="left" vertical="center"/>
    </xf>
    <xf numFmtId="182" fontId="6" fillId="0" borderId="0" xfId="0" quotePrefix="1" applyNumberFormat="1" applyFont="1" applyFill="1" applyBorder="1" applyAlignment="1">
      <alignment horizontal="center" vertical="center"/>
    </xf>
    <xf numFmtId="9" fontId="4" fillId="3" borderId="21" xfId="0" applyNumberFormat="1" applyFont="1" applyFill="1" applyBorder="1" applyAlignment="1">
      <alignment horizontal="right" vertical="center"/>
    </xf>
    <xf numFmtId="10" fontId="24" fillId="0" borderId="5" xfId="6" applyNumberFormat="1" applyFont="1" applyFill="1" applyBorder="1" applyAlignment="1">
      <alignment horizontal="center" vertical="center" wrapText="1"/>
    </xf>
    <xf numFmtId="0" fontId="4" fillId="0" borderId="0" xfId="1" applyFont="1">
      <alignment vertical="center"/>
    </xf>
    <xf numFmtId="0" fontId="1" fillId="0" borderId="0" xfId="1">
      <alignment vertical="center"/>
    </xf>
    <xf numFmtId="0" fontId="4" fillId="3" borderId="3" xfId="1" applyFont="1" applyFill="1" applyBorder="1" applyAlignment="1"/>
    <xf numFmtId="0" fontId="54" fillId="0" borderId="0" xfId="1" applyFont="1" applyAlignment="1"/>
    <xf numFmtId="0" fontId="4" fillId="3" borderId="1" xfId="1" applyFont="1" applyFill="1" applyBorder="1" applyAlignment="1">
      <alignment wrapText="1"/>
    </xf>
    <xf numFmtId="0" fontId="4" fillId="16" borderId="2" xfId="1" applyFont="1" applyFill="1" applyBorder="1" applyAlignment="1">
      <alignment wrapText="1"/>
    </xf>
    <xf numFmtId="0" fontId="55" fillId="16" borderId="2" xfId="1" applyFont="1" applyFill="1" applyBorder="1" applyAlignment="1">
      <alignment horizontal="left" vertical="center" wrapText="1"/>
    </xf>
    <xf numFmtId="0" fontId="4" fillId="16" borderId="2" xfId="1" quotePrefix="1" applyFont="1" applyFill="1" applyBorder="1" applyAlignment="1">
      <alignment horizontal="left" vertical="center" wrapText="1"/>
    </xf>
    <xf numFmtId="31" fontId="55" fillId="16" borderId="2" xfId="1" applyNumberFormat="1" applyFont="1" applyFill="1" applyBorder="1" applyAlignment="1">
      <alignment horizontal="left" vertical="center" wrapText="1"/>
    </xf>
    <xf numFmtId="0" fontId="4" fillId="16" borderId="4" xfId="1" applyFont="1" applyFill="1" applyBorder="1" applyAlignment="1">
      <alignment wrapText="1"/>
    </xf>
    <xf numFmtId="0" fontId="4" fillId="16" borderId="2" xfId="1" applyFont="1" applyFill="1" applyBorder="1" applyAlignment="1">
      <alignment horizontal="left" wrapText="1"/>
    </xf>
    <xf numFmtId="31" fontId="4" fillId="16" borderId="2" xfId="1" applyNumberFormat="1" applyFont="1" applyFill="1" applyBorder="1" applyAlignment="1">
      <alignment horizontal="left" wrapText="1"/>
    </xf>
    <xf numFmtId="0" fontId="4" fillId="16" borderId="4" xfId="1" applyFont="1" applyFill="1" applyBorder="1" applyAlignment="1">
      <alignment horizontal="left" wrapText="1"/>
    </xf>
    <xf numFmtId="0" fontId="4" fillId="0" borderId="5" xfId="0" applyFont="1" applyFill="1" applyBorder="1" applyAlignment="1">
      <alignment horizontal="left" vertical="center"/>
    </xf>
    <xf numFmtId="0" fontId="4" fillId="16" borderId="2" xfId="1" applyFont="1" applyFill="1" applyBorder="1" applyAlignment="1">
      <alignment horizontal="left" vertical="center" wrapText="1"/>
    </xf>
    <xf numFmtId="14" fontId="4" fillId="16" borderId="2" xfId="1" applyNumberFormat="1" applyFont="1" applyFill="1" applyBorder="1" applyAlignment="1">
      <alignment horizontal="left" wrapText="1"/>
    </xf>
    <xf numFmtId="0" fontId="8" fillId="0" borderId="0" xfId="0" applyFont="1" applyFill="1" applyBorder="1" applyAlignment="1">
      <alignment horizontal="center" vertical="top"/>
    </xf>
    <xf numFmtId="0" fontId="25" fillId="0" borderId="0" xfId="0" applyFont="1" applyFill="1" applyBorder="1" applyAlignment="1">
      <alignment horizontal="center" vertical="top"/>
    </xf>
    <xf numFmtId="0" fontId="8" fillId="0" borderId="0" xfId="0" applyFont="1" applyFill="1" applyBorder="1" applyAlignment="1">
      <alignment horizontal="left" vertical="top"/>
    </xf>
    <xf numFmtId="0" fontId="48" fillId="0" borderId="0" xfId="0" applyFont="1" applyAlignment="1">
      <alignment vertical="top"/>
    </xf>
    <xf numFmtId="0" fontId="5" fillId="0" borderId="0" xfId="0" applyFont="1" applyAlignment="1">
      <alignment vertical="top"/>
    </xf>
    <xf numFmtId="0" fontId="4" fillId="0" borderId="0" xfId="0" applyFont="1" applyAlignment="1">
      <alignment vertical="top"/>
    </xf>
    <xf numFmtId="0" fontId="5" fillId="0" borderId="0" xfId="0" applyFont="1" applyFill="1" applyAlignment="1">
      <alignment vertical="top"/>
    </xf>
    <xf numFmtId="0" fontId="4" fillId="0" borderId="0" xfId="0" applyFont="1" applyFill="1" applyAlignment="1">
      <alignment vertical="top"/>
    </xf>
    <xf numFmtId="43" fontId="5" fillId="0" borderId="0" xfId="4" applyFont="1" applyAlignment="1">
      <alignment vertical="top"/>
    </xf>
    <xf numFmtId="0" fontId="5" fillId="0" borderId="0" xfId="0" applyFont="1" applyFill="1" applyAlignment="1">
      <alignment vertical="top" wrapText="1"/>
    </xf>
    <xf numFmtId="0" fontId="8" fillId="0" borderId="36" xfId="0" applyFont="1" applyFill="1" applyBorder="1" applyAlignment="1">
      <alignment horizontal="center" vertical="top"/>
    </xf>
    <xf numFmtId="0" fontId="5" fillId="0" borderId="0" xfId="0" applyFont="1" applyAlignment="1">
      <alignment horizontal="right" vertical="top"/>
    </xf>
    <xf numFmtId="0" fontId="5" fillId="0" borderId="5" xfId="0" applyFont="1" applyFill="1" applyBorder="1" applyAlignment="1">
      <alignment horizontal="center" vertical="top"/>
    </xf>
    <xf numFmtId="9" fontId="4" fillId="0" borderId="5" xfId="0" applyNumberFormat="1" applyFont="1" applyFill="1" applyBorder="1" applyAlignment="1">
      <alignment horizontal="center" vertical="top"/>
    </xf>
    <xf numFmtId="3" fontId="4" fillId="0" borderId="5" xfId="0" applyNumberFormat="1" applyFont="1" applyFill="1" applyBorder="1" applyAlignment="1">
      <alignment horizontal="center" vertical="top"/>
    </xf>
    <xf numFmtId="9" fontId="4" fillId="0" borderId="5" xfId="0" applyNumberFormat="1" applyFont="1" applyFill="1" applyBorder="1" applyAlignment="1">
      <alignment horizontal="right" vertical="top"/>
    </xf>
    <xf numFmtId="43" fontId="4" fillId="0" borderId="0" xfId="4" applyFont="1" applyAlignment="1">
      <alignment vertical="top"/>
    </xf>
    <xf numFmtId="0" fontId="4" fillId="0" borderId="5" xfId="0" applyFont="1" applyFill="1" applyBorder="1" applyAlignment="1">
      <alignment horizontal="left" vertical="top" wrapText="1"/>
    </xf>
    <xf numFmtId="0" fontId="5" fillId="0" borderId="5" xfId="0" applyFont="1" applyBorder="1" applyAlignment="1">
      <alignment horizontal="left" vertical="top"/>
    </xf>
    <xf numFmtId="0" fontId="5" fillId="0" borderId="5" xfId="0" applyFont="1" applyBorder="1" applyAlignment="1">
      <alignment horizontal="center" vertical="top"/>
    </xf>
    <xf numFmtId="0" fontId="4" fillId="0" borderId="5" xfId="0" applyFont="1" applyFill="1" applyBorder="1" applyAlignment="1">
      <alignment horizontal="right" vertical="top"/>
    </xf>
    <xf numFmtId="0" fontId="6" fillId="0" borderId="5" xfId="0" applyFont="1" applyFill="1" applyBorder="1" applyAlignment="1">
      <alignment vertical="top" wrapText="1"/>
    </xf>
    <xf numFmtId="0" fontId="4" fillId="0" borderId="5" xfId="0" applyFont="1" applyFill="1" applyBorder="1" applyAlignment="1">
      <alignment horizontal="left" vertical="top"/>
    </xf>
    <xf numFmtId="3" fontId="4" fillId="0" borderId="5" xfId="0" quotePrefix="1" applyNumberFormat="1" applyFont="1" applyFill="1" applyBorder="1" applyAlignment="1">
      <alignment horizontal="center" vertical="top"/>
    </xf>
    <xf numFmtId="187" fontId="4" fillId="0" borderId="5" xfId="0" applyNumberFormat="1" applyFont="1" applyFill="1" applyBorder="1" applyAlignment="1">
      <alignment horizontal="center" vertical="top"/>
    </xf>
    <xf numFmtId="43" fontId="4" fillId="0" borderId="0" xfId="4" applyFont="1" applyBorder="1" applyAlignment="1">
      <alignment vertical="top"/>
    </xf>
    <xf numFmtId="0" fontId="4" fillId="0" borderId="5" xfId="0" applyFont="1" applyBorder="1" applyAlignment="1">
      <alignment horizontal="left" vertical="top"/>
    </xf>
    <xf numFmtId="0" fontId="5" fillId="0" borderId="5" xfId="0" applyFont="1" applyFill="1" applyBorder="1" applyAlignment="1">
      <alignment horizontal="left" vertical="top"/>
    </xf>
    <xf numFmtId="0" fontId="4" fillId="0" borderId="5" xfId="0" applyFont="1" applyBorder="1" applyAlignment="1">
      <alignment horizontal="center" vertical="top"/>
    </xf>
    <xf numFmtId="0" fontId="36" fillId="0" borderId="5" xfId="6" applyFont="1" applyFill="1" applyBorder="1" applyAlignment="1">
      <alignment horizontal="left" vertical="top"/>
    </xf>
    <xf numFmtId="3" fontId="4" fillId="0" borderId="5" xfId="0" applyNumberFormat="1" applyFont="1" applyFill="1" applyBorder="1" applyAlignment="1">
      <alignment horizontal="left" vertical="top"/>
    </xf>
    <xf numFmtId="0" fontId="4" fillId="0" borderId="5" xfId="0" applyFont="1" applyBorder="1" applyAlignment="1">
      <alignment horizontal="right" vertical="top"/>
    </xf>
    <xf numFmtId="3" fontId="4" fillId="0" borderId="5" xfId="4" applyNumberFormat="1" applyFont="1" applyFill="1" applyBorder="1" applyAlignment="1">
      <alignment horizontal="center" vertical="top"/>
    </xf>
    <xf numFmtId="0" fontId="50" fillId="13" borderId="5" xfId="0" applyFont="1" applyFill="1" applyBorder="1" applyAlignment="1">
      <alignment horizontal="center" vertical="top"/>
    </xf>
    <xf numFmtId="0" fontId="4" fillId="0" borderId="0" xfId="0" applyFont="1" applyFill="1" applyBorder="1" applyAlignment="1">
      <alignment vertical="top"/>
    </xf>
    <xf numFmtId="182" fontId="6" fillId="0" borderId="5" xfId="0" applyNumberFormat="1" applyFont="1" applyFill="1" applyBorder="1" applyAlignment="1">
      <alignment horizontal="center" vertical="top"/>
    </xf>
    <xf numFmtId="182" fontId="6" fillId="0" borderId="0" xfId="0" applyNumberFormat="1" applyFont="1" applyFill="1" applyBorder="1" applyAlignment="1">
      <alignment horizontal="center" vertical="top"/>
    </xf>
    <xf numFmtId="182" fontId="6" fillId="0" borderId="0" xfId="0" applyNumberFormat="1" applyFont="1" applyFill="1" applyAlignment="1">
      <alignment vertical="top"/>
    </xf>
    <xf numFmtId="0" fontId="4" fillId="0" borderId="0" xfId="0" applyFont="1" applyFill="1" applyAlignment="1">
      <alignment vertical="top" wrapText="1"/>
    </xf>
    <xf numFmtId="0" fontId="4"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horizontal="center" vertical="top"/>
    </xf>
    <xf numFmtId="182" fontId="4" fillId="0" borderId="0" xfId="0" applyNumberFormat="1" applyFont="1" applyAlignment="1">
      <alignment vertical="top"/>
    </xf>
    <xf numFmtId="182" fontId="4" fillId="0" borderId="0" xfId="0" applyNumberFormat="1" applyFont="1" applyFill="1" applyAlignment="1">
      <alignment vertical="top"/>
    </xf>
    <xf numFmtId="43" fontId="4" fillId="0" borderId="0" xfId="4" applyFont="1" applyAlignment="1">
      <alignment horizontal="right" vertical="top"/>
    </xf>
    <xf numFmtId="43" fontId="4" fillId="0" borderId="0" xfId="4" applyFont="1" applyFill="1" applyAlignment="1">
      <alignment vertical="top"/>
    </xf>
    <xf numFmtId="0" fontId="5" fillId="0" borderId="0" xfId="0" applyFont="1" applyAlignment="1">
      <alignment horizontal="left" vertical="top"/>
    </xf>
    <xf numFmtId="0" fontId="5" fillId="0" borderId="0" xfId="0" applyFont="1" applyAlignment="1">
      <alignment horizontal="center" vertical="top"/>
    </xf>
    <xf numFmtId="43" fontId="5" fillId="0" borderId="0" xfId="4" applyFont="1" applyFill="1" applyAlignment="1">
      <alignment vertical="top"/>
    </xf>
    <xf numFmtId="0" fontId="2" fillId="0" borderId="7" xfId="0" applyFont="1" applyBorder="1" applyAlignment="1">
      <alignment horizontal="center" vertical="top"/>
    </xf>
    <xf numFmtId="0" fontId="20" fillId="0" borderId="21" xfId="0" applyFont="1" applyBorder="1" applyAlignment="1">
      <alignment horizontal="left" vertical="top" wrapText="1"/>
    </xf>
    <xf numFmtId="0" fontId="20" fillId="0" borderId="21" xfId="0" applyFont="1" applyFill="1" applyBorder="1" applyAlignment="1">
      <alignment horizontal="left" vertical="top" wrapText="1"/>
    </xf>
    <xf numFmtId="0" fontId="20" fillId="0" borderId="23" xfId="0" applyFont="1" applyBorder="1" applyAlignment="1">
      <alignment horizontal="left" vertical="top" wrapText="1"/>
    </xf>
    <xf numFmtId="0" fontId="4" fillId="0" borderId="5" xfId="0" applyFont="1" applyBorder="1" applyAlignment="1">
      <alignment horizontal="left" vertical="top" wrapText="1"/>
    </xf>
    <xf numFmtId="0" fontId="0" fillId="0" borderId="0" xfId="0" applyAlignment="1">
      <alignment vertical="top"/>
    </xf>
    <xf numFmtId="0" fontId="8" fillId="0" borderId="25" xfId="0" applyFont="1" applyFill="1" applyBorder="1" applyAlignment="1">
      <alignment horizontal="center" vertical="top"/>
    </xf>
    <xf numFmtId="0" fontId="6" fillId="0" borderId="5" xfId="0" applyFont="1" applyBorder="1" applyAlignment="1">
      <alignment vertical="top"/>
    </xf>
    <xf numFmtId="0" fontId="39" fillId="0" borderId="0" xfId="0" applyFont="1" applyFill="1" applyAlignment="1">
      <alignment horizontal="left" vertical="center"/>
    </xf>
    <xf numFmtId="0" fontId="39" fillId="0" borderId="0" xfId="0" applyFont="1" applyFill="1" applyAlignment="1">
      <alignment horizontal="right" vertical="center"/>
    </xf>
    <xf numFmtId="0" fontId="39" fillId="0" borderId="0" xfId="0" applyFont="1" applyFill="1" applyAlignment="1">
      <alignment horizontal="center" vertical="center"/>
    </xf>
    <xf numFmtId="0" fontId="39" fillId="0" borderId="0" xfId="0" applyFont="1" applyAlignment="1">
      <alignment horizontal="right" vertical="center"/>
    </xf>
    <xf numFmtId="43" fontId="4" fillId="0" borderId="0" xfId="4" applyFont="1" applyAlignment="1">
      <alignment horizontal="center" vertical="top"/>
    </xf>
    <xf numFmtId="182" fontId="4" fillId="0" borderId="0" xfId="0" applyNumberFormat="1" applyFont="1" applyAlignment="1">
      <alignment horizontal="center" vertical="top"/>
    </xf>
    <xf numFmtId="0" fontId="5" fillId="0" borderId="0" xfId="0" applyFont="1" applyFill="1" applyAlignment="1">
      <alignment horizontal="center" vertical="top"/>
    </xf>
    <xf numFmtId="182" fontId="4" fillId="0" borderId="0" xfId="0" applyNumberFormat="1" applyFont="1" applyFill="1" applyAlignment="1">
      <alignment horizontal="center" vertical="top"/>
    </xf>
    <xf numFmtId="0" fontId="4" fillId="0" borderId="0" xfId="0" applyFont="1" applyFill="1" applyAlignment="1">
      <alignment horizontal="center" vertical="top"/>
    </xf>
    <xf numFmtId="0" fontId="57" fillId="0" borderId="38" xfId="0" applyFont="1" applyBorder="1" applyAlignment="1">
      <alignment horizontal="left" vertical="center"/>
    </xf>
    <xf numFmtId="0" fontId="57" fillId="0" borderId="39" xfId="0" applyFont="1" applyBorder="1" applyAlignment="1">
      <alignment horizontal="left" vertical="center"/>
    </xf>
    <xf numFmtId="0" fontId="57" fillId="0" borderId="40" xfId="0" applyFont="1" applyBorder="1" applyAlignment="1">
      <alignment horizontal="left" vertical="center"/>
    </xf>
    <xf numFmtId="0" fontId="57" fillId="0" borderId="41" xfId="0" applyFont="1" applyBorder="1" applyAlignment="1">
      <alignment horizontal="left" vertical="center"/>
    </xf>
    <xf numFmtId="0" fontId="57" fillId="0" borderId="40" xfId="0" applyFont="1" applyBorder="1" applyAlignment="1">
      <alignment horizontal="center" vertical="center"/>
    </xf>
    <xf numFmtId="0" fontId="56" fillId="0" borderId="0" xfId="0" applyFont="1" applyAlignment="1">
      <alignment horizontal="justify" vertical="center"/>
    </xf>
    <xf numFmtId="0" fontId="59" fillId="0" borderId="0" xfId="0" applyFont="1" applyAlignment="1">
      <alignment horizontal="justify" vertical="center"/>
    </xf>
    <xf numFmtId="43" fontId="4" fillId="0" borderId="5" xfId="4" applyFont="1" applyFill="1" applyBorder="1" applyAlignment="1">
      <alignment horizontal="right" vertical="center"/>
    </xf>
    <xf numFmtId="0" fontId="4" fillId="9" borderId="5" xfId="0" applyFont="1" applyFill="1" applyBorder="1" applyAlignment="1">
      <alignment horizontal="center" vertical="top"/>
    </xf>
    <xf numFmtId="0" fontId="4" fillId="0" borderId="5" xfId="0" applyFont="1" applyFill="1" applyBorder="1" applyAlignment="1">
      <alignment horizontal="center" vertical="top"/>
    </xf>
    <xf numFmtId="0" fontId="4" fillId="0" borderId="5" xfId="0" applyFont="1" applyFill="1" applyBorder="1" applyAlignment="1">
      <alignment horizontal="left" vertical="center"/>
    </xf>
    <xf numFmtId="0" fontId="4" fillId="0" borderId="5" xfId="0" applyFont="1" applyFill="1" applyBorder="1" applyAlignment="1">
      <alignment horizontal="center" vertical="center"/>
    </xf>
    <xf numFmtId="0" fontId="4" fillId="0" borderId="5" xfId="0" applyFont="1" applyFill="1" applyBorder="1" applyAlignment="1">
      <alignment horizontal="right" vertical="center"/>
    </xf>
    <xf numFmtId="0" fontId="4" fillId="0" borderId="5" xfId="0" applyFont="1" applyFill="1" applyBorder="1" applyAlignment="1">
      <alignment horizontal="left" vertical="center"/>
    </xf>
    <xf numFmtId="0" fontId="4" fillId="9" borderId="5" xfId="0" applyFont="1" applyFill="1" applyBorder="1" applyAlignment="1">
      <alignment horizontal="center" vertical="center"/>
    </xf>
    <xf numFmtId="0" fontId="20" fillId="0" borderId="5" xfId="0" applyFont="1" applyFill="1" applyBorder="1" applyAlignment="1">
      <alignment horizontal="center" vertical="center" wrapText="1"/>
    </xf>
    <xf numFmtId="0" fontId="20" fillId="0" borderId="2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5" xfId="0" applyFont="1" applyBorder="1" applyAlignment="1">
      <alignment horizontal="center" vertical="center" wrapText="1"/>
    </xf>
    <xf numFmtId="186" fontId="5" fillId="0" borderId="0" xfId="4" applyNumberFormat="1" applyFont="1" applyFill="1">
      <alignment vertical="center"/>
    </xf>
    <xf numFmtId="182" fontId="6" fillId="0" borderId="12" xfId="0" applyNumberFormat="1" applyFont="1" applyFill="1" applyBorder="1" applyAlignment="1">
      <alignment vertical="top"/>
    </xf>
    <xf numFmtId="0" fontId="20" fillId="0" borderId="5" xfId="0" applyFont="1" applyFill="1" applyBorder="1" applyAlignment="1">
      <alignment horizontal="right" vertical="top"/>
    </xf>
    <xf numFmtId="0" fontId="20" fillId="0" borderId="5" xfId="0" applyFont="1" applyFill="1" applyBorder="1" applyAlignment="1">
      <alignment horizontal="left" vertical="top"/>
    </xf>
    <xf numFmtId="0" fontId="20" fillId="0" borderId="5" xfId="0" applyFont="1" applyFill="1" applyBorder="1" applyAlignment="1">
      <alignment vertical="top"/>
    </xf>
    <xf numFmtId="0" fontId="46" fillId="0" borderId="5" xfId="0" applyFont="1" applyFill="1" applyBorder="1" applyAlignment="1">
      <alignment horizontal="left" vertical="center"/>
    </xf>
    <xf numFmtId="185" fontId="4" fillId="0" borderId="5" xfId="0" applyNumberFormat="1" applyFont="1" applyFill="1" applyBorder="1" applyAlignment="1">
      <alignment horizontal="left" vertical="center"/>
    </xf>
    <xf numFmtId="0" fontId="0" fillId="0" borderId="5" xfId="0" applyBorder="1">
      <alignment vertical="center"/>
    </xf>
    <xf numFmtId="0" fontId="0" fillId="12" borderId="5" xfId="0" applyFill="1" applyBorder="1">
      <alignment vertical="center"/>
    </xf>
    <xf numFmtId="0" fontId="0" fillId="17" borderId="5" xfId="0" applyFill="1" applyBorder="1" applyAlignment="1">
      <alignment horizontal="center" vertical="center"/>
    </xf>
    <xf numFmtId="0" fontId="0" fillId="17" borderId="5" xfId="0" applyFill="1" applyBorder="1">
      <alignment vertical="center"/>
    </xf>
    <xf numFmtId="0" fontId="0" fillId="12" borderId="5" xfId="0" applyFill="1" applyBorder="1" applyAlignment="1">
      <alignment horizontal="center" vertical="center"/>
    </xf>
    <xf numFmtId="0" fontId="0" fillId="18" borderId="5" xfId="0" applyFill="1" applyBorder="1">
      <alignment vertical="center"/>
    </xf>
    <xf numFmtId="43" fontId="0" fillId="18" borderId="5" xfId="4" applyFont="1" applyFill="1" applyBorder="1">
      <alignment vertical="center"/>
    </xf>
    <xf numFmtId="43" fontId="0" fillId="12" borderId="5" xfId="4" applyFont="1" applyFill="1" applyBorder="1">
      <alignment vertical="center"/>
    </xf>
    <xf numFmtId="43" fontId="11" fillId="0" borderId="5" xfId="4" applyFont="1" applyFill="1" applyBorder="1" applyAlignment="1">
      <alignment horizontal="center" vertical="center"/>
    </xf>
    <xf numFmtId="43" fontId="11" fillId="0" borderId="12" xfId="4" applyFont="1" applyFill="1" applyBorder="1" applyAlignment="1">
      <alignment horizontal="center" vertical="center"/>
    </xf>
    <xf numFmtId="43" fontId="11" fillId="0" borderId="26" xfId="4" applyFont="1" applyFill="1" applyBorder="1" applyAlignment="1">
      <alignment horizontal="center" vertical="center"/>
    </xf>
    <xf numFmtId="43" fontId="11" fillId="0" borderId="5" xfId="4" applyFont="1" applyBorder="1" applyAlignment="1">
      <alignment horizontal="center" vertical="center"/>
    </xf>
    <xf numFmtId="43" fontId="11" fillId="0" borderId="5" xfId="4" applyFont="1" applyBorder="1" applyAlignment="1">
      <alignment vertical="center"/>
    </xf>
    <xf numFmtId="43" fontId="11" fillId="0" borderId="12" xfId="4" applyFont="1" applyBorder="1" applyAlignment="1">
      <alignment horizontal="center" vertical="center"/>
    </xf>
    <xf numFmtId="0" fontId="34" fillId="0" borderId="0" xfId="0" applyFont="1" applyBorder="1" applyAlignment="1">
      <alignment horizontal="center" wrapText="1"/>
    </xf>
    <xf numFmtId="43" fontId="0" fillId="17" borderId="5" xfId="4" applyFont="1" applyFill="1" applyBorder="1">
      <alignment vertical="center"/>
    </xf>
    <xf numFmtId="9" fontId="0" fillId="0" borderId="0" xfId="0" applyNumberFormat="1">
      <alignment vertical="center"/>
    </xf>
    <xf numFmtId="43" fontId="0" fillId="18" borderId="5" xfId="4" applyFont="1" applyFill="1" applyBorder="1" applyAlignment="1">
      <alignment horizontal="center" vertical="center"/>
    </xf>
    <xf numFmtId="43" fontId="4" fillId="0" borderId="0" xfId="4" applyFont="1" applyBorder="1" applyAlignment="1">
      <alignment horizontal="left" vertical="center"/>
    </xf>
    <xf numFmtId="43" fontId="4" fillId="0" borderId="0" xfId="4" applyFont="1" applyAlignment="1">
      <alignment horizontal="left" vertical="top"/>
    </xf>
    <xf numFmtId="0" fontId="5" fillId="14" borderId="0" xfId="0" applyFont="1" applyFill="1">
      <alignment vertical="center"/>
    </xf>
    <xf numFmtId="0" fontId="4" fillId="14" borderId="0" xfId="0" applyFont="1" applyFill="1">
      <alignment vertical="center"/>
    </xf>
    <xf numFmtId="186" fontId="4" fillId="14" borderId="0" xfId="4" applyNumberFormat="1" applyFont="1" applyFill="1" applyAlignment="1">
      <alignment vertical="center"/>
    </xf>
    <xf numFmtId="182" fontId="6" fillId="14" borderId="0" xfId="0" applyNumberFormat="1" applyFont="1" applyFill="1">
      <alignment vertical="center"/>
    </xf>
    <xf numFmtId="43" fontId="60" fillId="0" borderId="0" xfId="4" applyFont="1" applyBorder="1" applyAlignment="1">
      <alignment horizontal="left" vertical="center"/>
    </xf>
    <xf numFmtId="43" fontId="60" fillId="0" borderId="0" xfId="4" applyFont="1" applyAlignment="1">
      <alignment horizontal="left" vertical="top"/>
    </xf>
    <xf numFmtId="0" fontId="60" fillId="0" borderId="0" xfId="0" applyFont="1" applyAlignment="1">
      <alignment horizontal="right" vertical="top"/>
    </xf>
    <xf numFmtId="0" fontId="60" fillId="0" borderId="0" xfId="0" applyFont="1" applyAlignment="1">
      <alignment horizontal="center" vertical="top"/>
    </xf>
    <xf numFmtId="43" fontId="60" fillId="0" borderId="0" xfId="4" applyFont="1" applyAlignment="1">
      <alignment vertical="top"/>
    </xf>
    <xf numFmtId="0" fontId="60" fillId="0" borderId="0" xfId="0" applyFont="1" applyAlignment="1">
      <alignment vertical="top"/>
    </xf>
    <xf numFmtId="43" fontId="60" fillId="0" borderId="0" xfId="4" applyFont="1" applyFill="1" applyAlignment="1">
      <alignment vertical="top"/>
    </xf>
    <xf numFmtId="43" fontId="60" fillId="0" borderId="0" xfId="4" applyFont="1">
      <alignment vertical="center"/>
    </xf>
    <xf numFmtId="43" fontId="4" fillId="0" borderId="5" xfId="4" applyFont="1" applyFill="1" applyBorder="1" applyAlignment="1">
      <alignment horizontal="center" vertical="center"/>
    </xf>
    <xf numFmtId="3" fontId="4" fillId="0" borderId="5" xfId="4" applyNumberFormat="1" applyFont="1" applyFill="1" applyBorder="1" applyAlignment="1">
      <alignment horizontal="right" vertical="center"/>
    </xf>
    <xf numFmtId="0" fontId="6" fillId="0" borderId="0" xfId="0" applyFont="1" applyAlignment="1">
      <alignment vertical="center" wrapText="1"/>
    </xf>
    <xf numFmtId="0" fontId="4" fillId="0" borderId="21" xfId="0" applyFont="1" applyBorder="1" applyAlignment="1">
      <alignment horizontal="right" vertical="center"/>
    </xf>
    <xf numFmtId="0" fontId="62" fillId="0" borderId="5" xfId="0" applyFont="1" applyFill="1" applyBorder="1" applyAlignment="1">
      <alignment vertical="center"/>
    </xf>
    <xf numFmtId="0" fontId="61" fillId="0" borderId="5" xfId="0" applyFont="1" applyFill="1" applyBorder="1" applyAlignment="1">
      <alignment vertical="center" wrapText="1"/>
    </xf>
    <xf numFmtId="43" fontId="31" fillId="0" borderId="0" xfId="4" applyNumberFormat="1" applyFont="1" applyBorder="1" applyAlignment="1">
      <alignment vertical="center"/>
    </xf>
    <xf numFmtId="0" fontId="35" fillId="16" borderId="0" xfId="0" applyFont="1" applyFill="1" applyBorder="1" applyAlignment="1">
      <alignment horizontal="center" vertical="center"/>
    </xf>
    <xf numFmtId="0" fontId="36" fillId="0" borderId="0" xfId="0" applyFont="1" applyFill="1" applyBorder="1" applyAlignment="1">
      <alignment horizontal="center" vertical="center" wrapText="1"/>
    </xf>
    <xf numFmtId="0" fontId="36" fillId="6" borderId="5" xfId="0" applyFont="1" applyFill="1" applyBorder="1" applyAlignment="1">
      <alignment horizontal="center" vertical="center" wrapText="1"/>
    </xf>
    <xf numFmtId="0" fontId="64" fillId="0" borderId="0" xfId="0" applyFont="1">
      <alignment vertical="center"/>
    </xf>
    <xf numFmtId="0" fontId="63" fillId="0" borderId="0" xfId="0" applyFont="1" applyFill="1" applyAlignment="1">
      <alignment horizontal="right" vertical="center"/>
    </xf>
    <xf numFmtId="0" fontId="4" fillId="0" borderId="5" xfId="0" applyFont="1" applyFill="1" applyBorder="1" applyAlignment="1">
      <alignment horizontal="center" vertical="center"/>
    </xf>
    <xf numFmtId="0" fontId="4" fillId="3" borderId="5" xfId="0" applyFont="1" applyFill="1" applyBorder="1" applyAlignment="1">
      <alignment horizontal="left" vertical="center" wrapText="1"/>
    </xf>
    <xf numFmtId="0" fontId="4" fillId="0" borderId="5" xfId="0" applyFont="1" applyFill="1" applyBorder="1" applyAlignment="1">
      <alignment horizontal="right" vertical="center" wrapText="1"/>
    </xf>
    <xf numFmtId="0" fontId="8" fillId="0" borderId="0" xfId="0" applyFont="1" applyFill="1" applyBorder="1" applyAlignment="1">
      <alignment horizontal="center" vertical="center" wrapText="1"/>
    </xf>
    <xf numFmtId="0" fontId="4" fillId="0" borderId="5" xfId="0" applyFont="1" applyBorder="1" applyAlignment="1">
      <alignment horizontal="right" vertical="center" wrapText="1"/>
    </xf>
    <xf numFmtId="0" fontId="4" fillId="0" borderId="22" xfId="0" applyFont="1" applyBorder="1" applyAlignment="1">
      <alignment horizontal="right" vertical="center" wrapText="1"/>
    </xf>
    <xf numFmtId="3" fontId="4" fillId="0" borderId="5" xfId="0" applyNumberFormat="1" applyFont="1" applyBorder="1" applyAlignment="1">
      <alignment horizontal="right" vertical="center" wrapText="1"/>
    </xf>
    <xf numFmtId="0" fontId="6" fillId="0" borderId="5" xfId="0" applyFont="1" applyBorder="1" applyAlignment="1">
      <alignment horizontal="righ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29" fillId="0" borderId="7" xfId="0" applyFont="1" applyBorder="1" applyAlignment="1">
      <alignment vertical="center"/>
    </xf>
    <xf numFmtId="0" fontId="4" fillId="0" borderId="5" xfId="0" applyFont="1" applyFill="1" applyBorder="1" applyAlignment="1">
      <alignment horizontal="center" vertical="center"/>
    </xf>
    <xf numFmtId="177" fontId="4" fillId="0" borderId="5" xfId="0" applyNumberFormat="1" applyFont="1" applyFill="1" applyBorder="1" applyAlignment="1">
      <alignment horizontal="center" vertical="center"/>
    </xf>
    <xf numFmtId="0" fontId="20" fillId="0" borderId="5" xfId="0" applyFont="1" applyBorder="1" applyAlignment="1">
      <alignment horizontal="center" vertical="center"/>
    </xf>
    <xf numFmtId="0" fontId="20" fillId="5" borderId="5" xfId="0" applyFont="1" applyFill="1" applyBorder="1" applyAlignment="1">
      <alignment horizontal="center" vertical="center"/>
    </xf>
    <xf numFmtId="0" fontId="20" fillId="0" borderId="0" xfId="0" applyFont="1" applyFill="1" applyBorder="1" applyAlignment="1">
      <alignment horizontal="center" vertical="center"/>
    </xf>
    <xf numFmtId="0" fontId="52" fillId="0" borderId="5" xfId="0" applyFont="1" applyBorder="1" applyAlignment="1">
      <alignment horizontal="right" vertical="top"/>
    </xf>
    <xf numFmtId="0" fontId="52" fillId="0" borderId="5" xfId="0" applyFont="1" applyBorder="1" applyAlignment="1">
      <alignment horizontal="center" vertical="top"/>
    </xf>
    <xf numFmtId="0" fontId="57" fillId="9" borderId="40" xfId="0" applyFont="1" applyFill="1" applyBorder="1" applyAlignment="1">
      <alignment horizontal="left" vertical="center"/>
    </xf>
    <xf numFmtId="0" fontId="57" fillId="9" borderId="41" xfId="0" applyFont="1" applyFill="1" applyBorder="1" applyAlignment="1">
      <alignment horizontal="left" vertical="center"/>
    </xf>
    <xf numFmtId="0" fontId="0" fillId="9" borderId="0" xfId="0" applyFill="1">
      <alignment vertical="center"/>
    </xf>
    <xf numFmtId="0" fontId="6" fillId="0" borderId="1" xfId="0" applyFont="1" applyFill="1" applyBorder="1" applyAlignment="1">
      <alignment horizontal="left" vertical="center"/>
    </xf>
    <xf numFmtId="0" fontId="46" fillId="0" borderId="5" xfId="0" applyFont="1" applyFill="1" applyBorder="1">
      <alignment vertical="center"/>
    </xf>
    <xf numFmtId="0" fontId="25" fillId="0" borderId="5" xfId="0" applyFont="1" applyFill="1" applyBorder="1">
      <alignment vertical="center"/>
    </xf>
    <xf numFmtId="0" fontId="6" fillId="0" borderId="5" xfId="0" applyFont="1" applyFill="1" applyBorder="1" applyAlignment="1">
      <alignment horizontal="left" vertical="center" indent="1"/>
    </xf>
    <xf numFmtId="0" fontId="25" fillId="0" borderId="5" xfId="0" applyFont="1" applyFill="1" applyBorder="1" applyAlignment="1">
      <alignment horizontal="left" vertical="center" indent="1"/>
    </xf>
    <xf numFmtId="0" fontId="46" fillId="0" borderId="5" xfId="0" applyFont="1" applyFill="1" applyBorder="1" applyAlignment="1">
      <alignment horizontal="right" vertical="center"/>
    </xf>
    <xf numFmtId="0" fontId="46" fillId="0" borderId="5" xfId="0" applyFont="1" applyBorder="1">
      <alignment vertical="center"/>
    </xf>
    <xf numFmtId="0" fontId="46" fillId="0" borderId="22" xfId="0" applyFont="1" applyBorder="1">
      <alignment vertical="center"/>
    </xf>
    <xf numFmtId="0" fontId="46" fillId="0" borderId="5" xfId="0" applyFont="1" applyBorder="1" applyAlignment="1">
      <alignment horizontal="right" vertical="center"/>
    </xf>
    <xf numFmtId="3" fontId="46" fillId="0" borderId="5" xfId="0" applyNumberFormat="1" applyFont="1" applyBorder="1">
      <alignment vertical="center"/>
    </xf>
    <xf numFmtId="0" fontId="25" fillId="0" borderId="5" xfId="0" applyFont="1" applyBorder="1" applyAlignment="1">
      <alignment horizontal="right" vertical="center"/>
    </xf>
    <xf numFmtId="0" fontId="46" fillId="0" borderId="0" xfId="0" applyFont="1" applyAlignment="1">
      <alignment horizontal="right" vertical="center"/>
    </xf>
    <xf numFmtId="0" fontId="25" fillId="0" borderId="0" xfId="0" applyFont="1" applyBorder="1" applyAlignment="1">
      <alignment horizontal="center" vertical="center"/>
    </xf>
    <xf numFmtId="0" fontId="46" fillId="0" borderId="5" xfId="0" applyFont="1" applyBorder="1" applyAlignment="1">
      <alignment vertical="center"/>
    </xf>
    <xf numFmtId="0" fontId="46" fillId="0" borderId="5" xfId="0" applyFont="1" applyFill="1" applyBorder="1" applyAlignment="1">
      <alignment horizontal="right" vertical="top"/>
    </xf>
    <xf numFmtId="0" fontId="46" fillId="0" borderId="5" xfId="0" applyFont="1" applyBorder="1" applyAlignment="1">
      <alignment vertical="top"/>
    </xf>
    <xf numFmtId="0" fontId="46" fillId="0" borderId="5" xfId="0" applyFont="1" applyFill="1" applyBorder="1" applyAlignment="1">
      <alignment vertical="top"/>
    </xf>
    <xf numFmtId="0" fontId="46" fillId="0" borderId="5" xfId="0" applyFont="1" applyBorder="1" applyAlignment="1">
      <alignment horizontal="right" vertical="top"/>
    </xf>
    <xf numFmtId="0" fontId="68" fillId="0" borderId="5" xfId="0" applyFont="1" applyBorder="1">
      <alignment vertical="center"/>
    </xf>
    <xf numFmtId="0" fontId="4" fillId="0" borderId="5" xfId="0" applyFont="1" applyFill="1" applyBorder="1" applyAlignment="1">
      <alignment horizontal="center" vertical="top"/>
    </xf>
    <xf numFmtId="0" fontId="4" fillId="9" borderId="5" xfId="0" applyFont="1" applyFill="1" applyBorder="1" applyAlignment="1">
      <alignment horizontal="center" vertical="top"/>
    </xf>
    <xf numFmtId="0" fontId="4" fillId="0" borderId="5" xfId="0" applyFont="1" applyFill="1" applyBorder="1" applyAlignment="1">
      <alignment horizontal="right" vertical="top"/>
    </xf>
    <xf numFmtId="0" fontId="4" fillId="0" borderId="5" xfId="0" applyFont="1" applyBorder="1" applyAlignment="1">
      <alignment horizontal="center" vertical="top"/>
    </xf>
    <xf numFmtId="0" fontId="4" fillId="0" borderId="5" xfId="0" applyFont="1" applyFill="1" applyBorder="1" applyAlignment="1">
      <alignment horizontal="center" vertical="center"/>
    </xf>
    <xf numFmtId="0" fontId="4" fillId="0" borderId="5" xfId="0" applyFont="1" applyFill="1" applyBorder="1" applyAlignment="1">
      <alignment horizontal="right" vertical="center"/>
    </xf>
    <xf numFmtId="0" fontId="4" fillId="0" borderId="5" xfId="0" applyFont="1" applyFill="1" applyBorder="1" applyAlignment="1">
      <alignment horizontal="left" vertical="center"/>
    </xf>
    <xf numFmtId="0" fontId="4" fillId="9" borderId="5" xfId="0" applyFont="1" applyFill="1" applyBorder="1" applyAlignment="1">
      <alignment horizontal="center" vertical="center"/>
    </xf>
    <xf numFmtId="0" fontId="4" fillId="0" borderId="6" xfId="0" applyFont="1" applyFill="1" applyBorder="1" applyAlignment="1">
      <alignment horizontal="left" vertical="center"/>
    </xf>
    <xf numFmtId="0" fontId="6" fillId="0" borderId="3" xfId="0" applyFont="1" applyFill="1" applyBorder="1" applyAlignment="1">
      <alignment horizontal="left" vertical="center"/>
    </xf>
    <xf numFmtId="0" fontId="8" fillId="0" borderId="33" xfId="0" applyFont="1" applyFill="1" applyBorder="1" applyAlignment="1">
      <alignment vertical="center"/>
    </xf>
    <xf numFmtId="0" fontId="8" fillId="0" borderId="34" xfId="0" applyFont="1" applyFill="1" applyBorder="1" applyAlignment="1">
      <alignment vertical="center"/>
    </xf>
    <xf numFmtId="0" fontId="8" fillId="0" borderId="42" xfId="0" applyFont="1" applyFill="1" applyBorder="1" applyAlignment="1">
      <alignment vertical="center"/>
    </xf>
    <xf numFmtId="186" fontId="4" fillId="0" borderId="5" xfId="4" applyNumberFormat="1" applyFont="1" applyFill="1" applyBorder="1" applyAlignment="1">
      <alignment vertical="top"/>
    </xf>
    <xf numFmtId="43" fontId="4" fillId="0" borderId="5" xfId="4" applyFont="1" applyBorder="1" applyAlignment="1">
      <alignment vertical="top"/>
    </xf>
    <xf numFmtId="43" fontId="4" fillId="0" borderId="5" xfId="4" applyNumberFormat="1" applyFont="1" applyFill="1" applyBorder="1" applyAlignment="1">
      <alignment vertical="top"/>
    </xf>
    <xf numFmtId="43" fontId="4" fillId="0" borderId="5" xfId="4" applyFont="1" applyFill="1" applyBorder="1" applyAlignment="1">
      <alignment vertical="top"/>
    </xf>
    <xf numFmtId="0" fontId="7" fillId="2" borderId="5" xfId="0" applyFont="1" applyFill="1" applyBorder="1" applyAlignment="1">
      <alignment horizontal="center" vertical="center" wrapText="1"/>
    </xf>
    <xf numFmtId="0" fontId="5" fillId="0" borderId="0" xfId="0" applyFont="1" applyAlignment="1">
      <alignment vertical="center"/>
    </xf>
    <xf numFmtId="0" fontId="5" fillId="0" borderId="0" xfId="0" applyFont="1" applyFill="1" applyAlignment="1">
      <alignment vertical="center"/>
    </xf>
    <xf numFmtId="186" fontId="5" fillId="14" borderId="5" xfId="4" applyNumberFormat="1" applyFont="1" applyFill="1" applyBorder="1" applyAlignment="1">
      <alignment vertical="top"/>
    </xf>
    <xf numFmtId="43" fontId="7" fillId="2" borderId="0" xfId="4" applyFont="1" applyFill="1" applyAlignment="1">
      <alignment vertical="center"/>
    </xf>
    <xf numFmtId="0" fontId="7" fillId="2" borderId="22" xfId="0" applyFont="1" applyFill="1" applyBorder="1" applyAlignment="1">
      <alignment horizontal="center" vertical="center"/>
    </xf>
    <xf numFmtId="0" fontId="7" fillId="2" borderId="5" xfId="0" applyFont="1" applyFill="1" applyBorder="1" applyAlignment="1">
      <alignment vertical="center" wrapText="1"/>
    </xf>
    <xf numFmtId="9" fontId="4" fillId="20" borderId="5" xfId="0" applyNumberFormat="1" applyFont="1" applyFill="1" applyBorder="1" applyAlignment="1">
      <alignment vertical="top"/>
    </xf>
    <xf numFmtId="0" fontId="6" fillId="0" borderId="5" xfId="0" applyFont="1" applyFill="1" applyBorder="1" applyAlignment="1">
      <alignment vertical="top"/>
    </xf>
    <xf numFmtId="186" fontId="5" fillId="14" borderId="0" xfId="4" applyNumberFormat="1" applyFont="1" applyFill="1" applyBorder="1" applyAlignment="1">
      <alignment vertical="top"/>
    </xf>
    <xf numFmtId="186" fontId="5" fillId="0" borderId="0" xfId="4" applyNumberFormat="1" applyFont="1" applyBorder="1" applyAlignment="1">
      <alignment vertical="top"/>
    </xf>
    <xf numFmtId="186" fontId="5" fillId="14" borderId="0" xfId="4" applyNumberFormat="1" applyFont="1" applyFill="1" applyBorder="1" applyAlignment="1">
      <alignment vertical="center"/>
    </xf>
    <xf numFmtId="186" fontId="5" fillId="0" borderId="0" xfId="4" applyNumberFormat="1" applyFont="1" applyBorder="1" applyAlignment="1">
      <alignment vertical="center"/>
    </xf>
    <xf numFmtId="186" fontId="4" fillId="14" borderId="0" xfId="4" applyNumberFormat="1" applyFont="1" applyFill="1" applyBorder="1" applyAlignment="1">
      <alignment vertical="top"/>
    </xf>
    <xf numFmtId="186" fontId="4" fillId="0" borderId="0" xfId="4" applyNumberFormat="1" applyFont="1" applyBorder="1" applyAlignment="1">
      <alignment vertical="top"/>
    </xf>
    <xf numFmtId="186" fontId="60" fillId="14" borderId="0" xfId="4" applyNumberFormat="1" applyFont="1" applyFill="1" applyBorder="1" applyAlignment="1">
      <alignment vertical="top"/>
    </xf>
    <xf numFmtId="186" fontId="60" fillId="0" borderId="0" xfId="4" applyNumberFormat="1" applyFont="1" applyBorder="1" applyAlignment="1">
      <alignment vertical="top"/>
    </xf>
    <xf numFmtId="43" fontId="4" fillId="14" borderId="0" xfId="4" applyFont="1" applyFill="1" applyBorder="1" applyAlignment="1">
      <alignment vertical="top"/>
    </xf>
    <xf numFmtId="186" fontId="4" fillId="14" borderId="5" xfId="4" applyNumberFormat="1" applyFont="1" applyFill="1" applyBorder="1" applyAlignment="1">
      <alignment vertical="top"/>
    </xf>
    <xf numFmtId="186" fontId="4" fillId="0" borderId="5" xfId="4" applyNumberFormat="1" applyFont="1" applyBorder="1" applyAlignment="1">
      <alignment vertical="top"/>
    </xf>
    <xf numFmtId="186" fontId="4" fillId="16" borderId="5" xfId="4" applyNumberFormat="1" applyFont="1" applyFill="1" applyBorder="1" applyAlignment="1">
      <alignment vertical="top"/>
    </xf>
    <xf numFmtId="186" fontId="6" fillId="14" borderId="5" xfId="4" applyNumberFormat="1" applyFont="1" applyFill="1" applyBorder="1" applyAlignment="1">
      <alignment vertical="top"/>
    </xf>
    <xf numFmtId="186" fontId="6" fillId="0" borderId="5" xfId="4" applyNumberFormat="1" applyFont="1" applyFill="1" applyBorder="1" applyAlignment="1">
      <alignment vertical="top"/>
    </xf>
    <xf numFmtId="43" fontId="4" fillId="0" borderId="5" xfId="4" applyFont="1" applyBorder="1" applyAlignment="1">
      <alignment horizontal="center" vertical="top"/>
    </xf>
    <xf numFmtId="0" fontId="48" fillId="2" borderId="0" xfId="0" applyFont="1" applyFill="1" applyAlignment="1">
      <alignment vertical="top"/>
    </xf>
    <xf numFmtId="182" fontId="6" fillId="21" borderId="5" xfId="0" applyNumberFormat="1" applyFont="1" applyFill="1" applyBorder="1" applyAlignment="1">
      <alignment vertical="top"/>
    </xf>
    <xf numFmtId="43" fontId="4" fillId="21" borderId="5" xfId="0" applyNumberFormat="1" applyFont="1" applyFill="1" applyBorder="1" applyAlignment="1">
      <alignment vertical="top"/>
    </xf>
    <xf numFmtId="43" fontId="60" fillId="0" borderId="5" xfId="4" applyFont="1" applyBorder="1" applyAlignment="1">
      <alignment horizontal="center" vertical="top"/>
    </xf>
    <xf numFmtId="43" fontId="60" fillId="0" borderId="5" xfId="4" applyFont="1" applyFill="1" applyBorder="1" applyAlignment="1">
      <alignment horizontal="center" vertical="top"/>
    </xf>
    <xf numFmtId="43" fontId="4" fillId="0" borderId="5" xfId="4" applyFont="1" applyFill="1" applyBorder="1" applyAlignment="1">
      <alignment horizontal="center" vertical="top"/>
    </xf>
    <xf numFmtId="9" fontId="4" fillId="0" borderId="0" xfId="0" applyNumberFormat="1" applyFont="1" applyFill="1" applyBorder="1" applyAlignment="1">
      <alignment vertical="top"/>
    </xf>
    <xf numFmtId="182" fontId="6" fillId="9" borderId="12" xfId="0" applyNumberFormat="1" applyFont="1" applyFill="1" applyBorder="1" applyAlignment="1">
      <alignment vertical="top"/>
    </xf>
    <xf numFmtId="0" fontId="6" fillId="8" borderId="5" xfId="0" applyFont="1" applyFill="1" applyBorder="1" applyAlignment="1">
      <alignment vertical="top"/>
    </xf>
    <xf numFmtId="0" fontId="4" fillId="8" borderId="5" xfId="0" applyFont="1" applyFill="1" applyBorder="1" applyAlignment="1">
      <alignment horizontal="left" vertical="top"/>
    </xf>
    <xf numFmtId="182" fontId="4" fillId="0" borderId="5" xfId="0" applyNumberFormat="1" applyFont="1" applyFill="1" applyBorder="1" applyAlignment="1">
      <alignment horizontal="center" vertical="top"/>
    </xf>
    <xf numFmtId="43" fontId="70" fillId="8" borderId="5" xfId="4" applyFont="1" applyFill="1" applyBorder="1" applyAlignment="1">
      <alignment vertical="top"/>
    </xf>
    <xf numFmtId="0" fontId="4" fillId="8" borderId="5" xfId="0" applyFont="1" applyFill="1" applyBorder="1">
      <alignment vertical="center"/>
    </xf>
    <xf numFmtId="0" fontId="4" fillId="0" borderId="0" xfId="0" applyFont="1" applyBorder="1" applyAlignment="1">
      <alignment horizontal="right" vertical="center"/>
    </xf>
    <xf numFmtId="0" fontId="4" fillId="0" borderId="0" xfId="0" applyFont="1" applyBorder="1" applyAlignment="1">
      <alignment horizontal="center" vertical="center"/>
    </xf>
    <xf numFmtId="43" fontId="4" fillId="0" borderId="5" xfId="4" applyFont="1" applyBorder="1">
      <alignment vertical="center"/>
    </xf>
    <xf numFmtId="182" fontId="6" fillId="9" borderId="5" xfId="0" quotePrefix="1" applyNumberFormat="1" applyFont="1" applyFill="1" applyBorder="1" applyAlignment="1">
      <alignment horizontal="center" vertical="center"/>
    </xf>
    <xf numFmtId="182" fontId="6" fillId="0" borderId="21" xfId="0" applyNumberFormat="1" applyFont="1" applyFill="1" applyBorder="1" applyAlignment="1">
      <alignment horizontal="left" vertical="center"/>
    </xf>
    <xf numFmtId="182" fontId="2" fillId="0" borderId="31" xfId="0" applyNumberFormat="1" applyFont="1" applyFill="1" applyBorder="1">
      <alignment vertical="center"/>
    </xf>
    <xf numFmtId="182" fontId="6" fillId="8" borderId="5" xfId="0" applyNumberFormat="1" applyFont="1" applyFill="1" applyBorder="1" applyAlignment="1">
      <alignment vertical="center" wrapText="1"/>
    </xf>
    <xf numFmtId="182" fontId="6" fillId="8" borderId="5" xfId="0" applyNumberFormat="1" applyFont="1" applyFill="1" applyBorder="1" applyAlignment="1">
      <alignment vertical="top" wrapText="1"/>
    </xf>
    <xf numFmtId="182" fontId="6" fillId="0" borderId="27" xfId="0" applyNumberFormat="1" applyFont="1" applyFill="1" applyBorder="1" applyAlignment="1">
      <alignment horizontal="left" vertical="center"/>
    </xf>
    <xf numFmtId="182" fontId="6" fillId="0" borderId="29" xfId="0" applyNumberFormat="1" applyFont="1" applyFill="1" applyBorder="1" applyAlignment="1">
      <alignment vertical="top"/>
    </xf>
    <xf numFmtId="43" fontId="4" fillId="21" borderId="5" xfId="0" applyNumberFormat="1" applyFont="1" applyFill="1" applyBorder="1" applyAlignment="1">
      <alignment horizontal="center" vertical="center"/>
    </xf>
    <xf numFmtId="43" fontId="46" fillId="0" borderId="0" xfId="4" applyFont="1" applyFill="1" applyBorder="1" applyAlignment="1">
      <alignment horizontal="right" vertical="center"/>
    </xf>
    <xf numFmtId="43" fontId="51" fillId="0" borderId="5" xfId="4" applyFont="1" applyBorder="1">
      <alignment vertical="center"/>
    </xf>
    <xf numFmtId="0" fontId="7" fillId="2" borderId="21" xfId="0" applyFont="1" applyFill="1" applyBorder="1" applyAlignment="1">
      <alignment horizontal="center" vertical="center"/>
    </xf>
    <xf numFmtId="0" fontId="6" fillId="8" borderId="5" xfId="0" applyFont="1" applyFill="1" applyBorder="1">
      <alignment vertical="center"/>
    </xf>
    <xf numFmtId="43" fontId="38" fillId="8" borderId="5" xfId="4" applyFont="1" applyFill="1" applyBorder="1" applyAlignment="1">
      <alignment horizontal="left" vertical="center"/>
    </xf>
    <xf numFmtId="0" fontId="6" fillId="8" borderId="5" xfId="0" applyFont="1" applyFill="1" applyBorder="1" applyAlignment="1">
      <alignment horizontal="left" vertical="center"/>
    </xf>
    <xf numFmtId="0" fontId="7" fillId="2" borderId="35" xfId="0" applyFont="1" applyFill="1" applyBorder="1" applyAlignment="1">
      <alignment horizontal="center" vertical="center"/>
    </xf>
    <xf numFmtId="189" fontId="6" fillId="9" borderId="22" xfId="0" quotePrefix="1" applyNumberFormat="1" applyFont="1" applyFill="1" applyBorder="1" applyAlignment="1">
      <alignment horizontal="center" vertical="center"/>
    </xf>
    <xf numFmtId="9" fontId="4" fillId="0" borderId="5" xfId="0" applyNumberFormat="1" applyFont="1" applyFill="1" applyBorder="1" applyAlignment="1">
      <alignment horizontal="left" vertical="center"/>
    </xf>
    <xf numFmtId="182" fontId="4" fillId="0" borderId="5" xfId="0" applyNumberFormat="1" applyFont="1" applyFill="1" applyBorder="1" applyAlignment="1">
      <alignment horizontal="left" vertical="center"/>
    </xf>
    <xf numFmtId="43" fontId="4" fillId="0" borderId="5" xfId="4" applyFont="1" applyFill="1" applyBorder="1" applyAlignment="1">
      <alignment horizontal="left" vertical="center"/>
    </xf>
    <xf numFmtId="3" fontId="4" fillId="0" borderId="5" xfId="0" applyNumberFormat="1" applyFont="1" applyFill="1" applyBorder="1" applyAlignment="1">
      <alignment horizontal="left" vertical="center"/>
    </xf>
    <xf numFmtId="190" fontId="4" fillId="0" borderId="5" xfId="4" applyNumberFormat="1" applyFont="1" applyFill="1" applyBorder="1" applyAlignment="1">
      <alignment horizontal="left" vertical="center"/>
    </xf>
    <xf numFmtId="43" fontId="4" fillId="0" borderId="5" xfId="4" applyFont="1" applyFill="1" applyBorder="1" applyAlignment="1">
      <alignment vertical="center"/>
    </xf>
    <xf numFmtId="43" fontId="51" fillId="0" borderId="0" xfId="4" applyFont="1" applyAlignment="1">
      <alignment horizontal="center" vertical="center"/>
    </xf>
    <xf numFmtId="43" fontId="4" fillId="0" borderId="5" xfId="0" applyNumberFormat="1" applyFont="1" applyFill="1" applyBorder="1" applyAlignment="1">
      <alignment vertical="center"/>
    </xf>
    <xf numFmtId="9" fontId="4" fillId="20" borderId="5" xfId="0" applyNumberFormat="1" applyFont="1" applyFill="1" applyBorder="1" applyAlignment="1">
      <alignment horizontal="center" vertical="top"/>
    </xf>
    <xf numFmtId="43" fontId="46" fillId="21" borderId="5" xfId="4" applyFont="1" applyFill="1" applyBorder="1" applyAlignment="1">
      <alignment horizontal="center" vertical="center"/>
    </xf>
    <xf numFmtId="43" fontId="4" fillId="14" borderId="5" xfId="0" applyNumberFormat="1" applyFont="1" applyFill="1" applyBorder="1">
      <alignment vertical="center"/>
    </xf>
    <xf numFmtId="186" fontId="4" fillId="14" borderId="5" xfId="4" applyNumberFormat="1" applyFont="1" applyFill="1" applyBorder="1">
      <alignment vertical="center"/>
    </xf>
    <xf numFmtId="43" fontId="4" fillId="14" borderId="5" xfId="4" applyFont="1" applyFill="1" applyBorder="1">
      <alignment vertical="center"/>
    </xf>
    <xf numFmtId="0" fontId="4" fillId="14" borderId="5" xfId="0" applyFont="1" applyFill="1" applyBorder="1">
      <alignment vertical="center"/>
    </xf>
    <xf numFmtId="0" fontId="4" fillId="14" borderId="0" xfId="0" applyFont="1" applyFill="1" applyAlignment="1">
      <alignment vertical="center"/>
    </xf>
    <xf numFmtId="43" fontId="4" fillId="0" borderId="0" xfId="0" applyNumberFormat="1" applyFont="1" applyAlignment="1">
      <alignment vertical="center"/>
    </xf>
    <xf numFmtId="9" fontId="4" fillId="0" borderId="0" xfId="0" applyNumberFormat="1" applyFont="1" applyFill="1" applyAlignment="1">
      <alignment vertical="center"/>
    </xf>
    <xf numFmtId="3" fontId="4" fillId="0" borderId="5" xfId="0" applyNumberFormat="1" applyFont="1" applyFill="1" applyBorder="1" applyAlignment="1">
      <alignment vertical="center"/>
    </xf>
    <xf numFmtId="182" fontId="6" fillId="0" borderId="5" xfId="0" applyNumberFormat="1" applyFont="1" applyFill="1" applyBorder="1" applyAlignment="1">
      <alignment vertical="center"/>
    </xf>
    <xf numFmtId="182" fontId="6" fillId="0" borderId="21" xfId="0" applyNumberFormat="1" applyFont="1" applyFill="1" applyBorder="1" applyAlignment="1">
      <alignment vertical="center"/>
    </xf>
    <xf numFmtId="182" fontId="6" fillId="0" borderId="0" xfId="0" applyNumberFormat="1" applyFont="1" applyFill="1" applyAlignment="1">
      <alignment vertical="center"/>
    </xf>
    <xf numFmtId="186" fontId="6" fillId="0" borderId="0" xfId="4" applyNumberFormat="1" applyFont="1" applyFill="1" applyAlignment="1">
      <alignment vertical="center"/>
    </xf>
    <xf numFmtId="182" fontId="6" fillId="0" borderId="0" xfId="0" applyNumberFormat="1" applyFont="1" applyFill="1" applyBorder="1" applyAlignment="1">
      <alignment vertical="center"/>
    </xf>
    <xf numFmtId="0" fontId="39" fillId="0" borderId="0" xfId="0" applyFont="1" applyFill="1" applyAlignment="1">
      <alignment vertical="center"/>
    </xf>
    <xf numFmtId="3" fontId="4" fillId="0" borderId="5" xfId="4" applyNumberFormat="1" applyFont="1" applyFill="1" applyBorder="1" applyAlignment="1">
      <alignment vertical="center"/>
    </xf>
    <xf numFmtId="43" fontId="4" fillId="0" borderId="5" xfId="4" applyFont="1" applyBorder="1" applyAlignment="1">
      <alignment vertical="center"/>
    </xf>
    <xf numFmtId="43" fontId="4" fillId="0" borderId="5" xfId="0" applyNumberFormat="1" applyFont="1" applyBorder="1" applyAlignment="1">
      <alignment vertical="center"/>
    </xf>
    <xf numFmtId="43" fontId="4" fillId="0" borderId="5" xfId="4" applyFont="1" applyBorder="1" applyAlignment="1">
      <alignment horizontal="center" vertical="center"/>
    </xf>
    <xf numFmtId="0" fontId="39" fillId="0" borderId="0" xfId="0" applyFont="1" applyAlignment="1">
      <alignment horizontal="center" vertical="center"/>
    </xf>
    <xf numFmtId="4" fontId="4" fillId="0" borderId="5" xfId="4" applyNumberFormat="1" applyFont="1" applyBorder="1" applyAlignment="1">
      <alignment horizontal="left" vertical="center"/>
    </xf>
    <xf numFmtId="4" fontId="4" fillId="0" borderId="5" xfId="4" applyNumberFormat="1" applyFont="1" applyBorder="1" applyAlignment="1">
      <alignment horizontal="left" vertical="center" wrapText="1"/>
    </xf>
    <xf numFmtId="43" fontId="6" fillId="21" borderId="5" xfId="0" applyNumberFormat="1" applyFont="1" applyFill="1" applyBorder="1" applyAlignment="1">
      <alignment horizontal="center" vertical="center"/>
    </xf>
    <xf numFmtId="182" fontId="6" fillId="21" borderId="5" xfId="0" quotePrefix="1" applyNumberFormat="1" applyFont="1" applyFill="1" applyBorder="1" applyAlignment="1">
      <alignment horizontal="right" vertical="center"/>
    </xf>
    <xf numFmtId="182" fontId="4" fillId="21" borderId="5" xfId="0" quotePrefix="1" applyNumberFormat="1" applyFont="1" applyFill="1" applyBorder="1" applyAlignment="1">
      <alignment horizontal="right" vertical="center"/>
    </xf>
    <xf numFmtId="43" fontId="51" fillId="0" borderId="5" xfId="4" applyFont="1" applyBorder="1" applyAlignment="1">
      <alignment vertical="center"/>
    </xf>
    <xf numFmtId="43" fontId="51" fillId="0" borderId="5" xfId="4" applyFont="1" applyFill="1" applyBorder="1" applyAlignment="1">
      <alignment vertical="center"/>
    </xf>
    <xf numFmtId="0" fontId="6" fillId="8" borderId="5" xfId="0" applyFont="1" applyFill="1" applyBorder="1" applyAlignment="1">
      <alignment vertical="center"/>
    </xf>
    <xf numFmtId="43" fontId="4" fillId="21" borderId="5" xfId="0" applyNumberFormat="1" applyFont="1" applyFill="1" applyBorder="1" applyAlignment="1">
      <alignment horizontal="right" vertical="center"/>
    </xf>
    <xf numFmtId="182" fontId="6" fillId="0" borderId="0" xfId="0" applyNumberFormat="1" applyFont="1" applyFill="1" applyBorder="1" applyAlignment="1">
      <alignment horizontal="center" vertical="center"/>
    </xf>
    <xf numFmtId="0" fontId="39" fillId="0" borderId="0" xfId="0" applyFont="1" applyFill="1" applyBorder="1" applyAlignment="1">
      <alignment vertical="center"/>
    </xf>
    <xf numFmtId="176" fontId="39" fillId="0" borderId="0" xfId="4" applyNumberFormat="1" applyFont="1" applyFill="1" applyBorder="1" applyAlignment="1">
      <alignment vertical="center"/>
    </xf>
    <xf numFmtId="176" fontId="39" fillId="0" borderId="0" xfId="0" applyNumberFormat="1" applyFont="1" applyFill="1" applyBorder="1" applyAlignment="1">
      <alignment vertical="center"/>
    </xf>
    <xf numFmtId="182" fontId="6" fillId="0" borderId="31" xfId="0" applyNumberFormat="1" applyFont="1" applyFill="1" applyBorder="1" applyAlignment="1">
      <alignment horizontal="center" vertical="center"/>
    </xf>
    <xf numFmtId="186" fontId="4" fillId="14" borderId="5" xfId="4" applyNumberFormat="1" applyFont="1" applyFill="1" applyBorder="1" applyAlignment="1">
      <alignment vertical="center"/>
    </xf>
    <xf numFmtId="0" fontId="4" fillId="14" borderId="5" xfId="0" applyFont="1" applyFill="1" applyBorder="1" applyAlignment="1">
      <alignment vertical="center"/>
    </xf>
    <xf numFmtId="43" fontId="4" fillId="14" borderId="5" xfId="0" applyNumberFormat="1" applyFont="1" applyFill="1" applyBorder="1" applyAlignment="1">
      <alignment vertical="center"/>
    </xf>
    <xf numFmtId="185" fontId="4" fillId="14" borderId="5" xfId="0" applyNumberFormat="1" applyFont="1" applyFill="1" applyBorder="1" applyAlignment="1">
      <alignment vertical="center"/>
    </xf>
    <xf numFmtId="186" fontId="6" fillId="14" borderId="5" xfId="4" applyNumberFormat="1" applyFont="1" applyFill="1" applyBorder="1" applyAlignment="1">
      <alignment vertical="center"/>
    </xf>
    <xf numFmtId="182" fontId="6" fillId="14" borderId="5" xfId="0" applyNumberFormat="1" applyFont="1" applyFill="1" applyBorder="1" applyAlignment="1">
      <alignment vertical="center"/>
    </xf>
    <xf numFmtId="0" fontId="39" fillId="14" borderId="5" xfId="0" applyFont="1" applyFill="1" applyBorder="1" applyAlignment="1">
      <alignment vertical="center"/>
    </xf>
    <xf numFmtId="0" fontId="7" fillId="2" borderId="35" xfId="0" applyFont="1" applyFill="1" applyBorder="1" applyAlignment="1">
      <alignment horizontal="center" vertical="center" wrapText="1"/>
    </xf>
    <xf numFmtId="0" fontId="4" fillId="0" borderId="5" xfId="0" applyFont="1" applyFill="1" applyBorder="1" applyAlignment="1">
      <alignment horizontal="center" vertical="top"/>
    </xf>
    <xf numFmtId="0" fontId="4" fillId="9" borderId="5" xfId="0" applyFont="1" applyFill="1" applyBorder="1" applyAlignment="1">
      <alignment horizontal="center" vertical="top"/>
    </xf>
    <xf numFmtId="0" fontId="4" fillId="0" borderId="5" xfId="0" applyFont="1" applyBorder="1" applyAlignment="1">
      <alignment horizontal="center" vertical="top"/>
    </xf>
    <xf numFmtId="0" fontId="4" fillId="0" borderId="5" xfId="0" applyFont="1" applyFill="1" applyBorder="1" applyAlignment="1">
      <alignment horizontal="center" vertical="center" wrapText="1"/>
    </xf>
    <xf numFmtId="0" fontId="7" fillId="2" borderId="35" xfId="0" applyFont="1" applyFill="1" applyBorder="1" applyAlignment="1">
      <alignment horizontal="center" vertical="center"/>
    </xf>
    <xf numFmtId="0" fontId="20" fillId="0" borderId="23"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27" xfId="0" applyFont="1" applyFill="1" applyBorder="1" applyAlignment="1">
      <alignment horizontal="left" vertical="center" wrapText="1"/>
    </xf>
    <xf numFmtId="0" fontId="4" fillId="0" borderId="5" xfId="0" applyFont="1" applyFill="1" applyBorder="1" applyAlignment="1">
      <alignment horizontal="center" vertical="center"/>
    </xf>
    <xf numFmtId="0" fontId="4" fillId="0" borderId="5" xfId="0" applyFont="1" applyBorder="1" applyAlignment="1">
      <alignment horizontal="left" vertical="center"/>
    </xf>
    <xf numFmtId="0" fontId="4" fillId="9" borderId="5" xfId="0" applyFont="1" applyFill="1" applyBorder="1" applyAlignment="1">
      <alignment horizontal="center" vertical="center"/>
    </xf>
    <xf numFmtId="0" fontId="4" fillId="0" borderId="5" xfId="0" applyFont="1" applyFill="1" applyBorder="1" applyAlignment="1">
      <alignment horizontal="right" vertical="center"/>
    </xf>
    <xf numFmtId="0" fontId="4" fillId="9" borderId="21" xfId="0" applyFont="1" applyFill="1" applyBorder="1" applyAlignment="1">
      <alignment horizontal="center" vertical="center"/>
    </xf>
    <xf numFmtId="0" fontId="20" fillId="0" borderId="5" xfId="0" applyFont="1" applyFill="1" applyBorder="1" applyAlignment="1">
      <alignment horizontal="left" vertical="center" wrapText="1"/>
    </xf>
    <xf numFmtId="179" fontId="4" fillId="9" borderId="5" xfId="0" applyNumberFormat="1" applyFont="1" applyFill="1" applyBorder="1" applyAlignment="1">
      <alignment horizontal="center" vertical="center"/>
    </xf>
    <xf numFmtId="0" fontId="4" fillId="0" borderId="5" xfId="0" applyFont="1" applyFill="1" applyBorder="1" applyAlignment="1">
      <alignment horizontal="left" vertical="center"/>
    </xf>
    <xf numFmtId="179" fontId="4" fillId="0" borderId="5" xfId="0" applyNumberFormat="1" applyFont="1" applyFill="1" applyBorder="1" applyAlignment="1">
      <alignment horizontal="center" vertical="center"/>
    </xf>
    <xf numFmtId="181" fontId="4" fillId="0" borderId="5" xfId="0" applyNumberFormat="1" applyFont="1" applyFill="1" applyBorder="1" applyAlignment="1">
      <alignment horizontal="center" vertical="center"/>
    </xf>
    <xf numFmtId="0" fontId="2" fillId="0" borderId="0" xfId="0" applyFont="1" applyBorder="1" applyAlignment="1">
      <alignment horizontal="center" vertical="center"/>
    </xf>
    <xf numFmtId="0" fontId="4" fillId="0" borderId="5" xfId="0" applyFont="1" applyBorder="1" applyAlignment="1">
      <alignment horizontal="center" vertical="center" wrapText="1"/>
    </xf>
    <xf numFmtId="0" fontId="20" fillId="0" borderId="5" xfId="0" applyFont="1" applyFill="1" applyBorder="1" applyAlignment="1">
      <alignment horizontal="center" vertical="center" wrapText="1"/>
    </xf>
    <xf numFmtId="0" fontId="20" fillId="0" borderId="21" xfId="0" applyFont="1" applyFill="1" applyBorder="1" applyAlignment="1">
      <alignment horizontal="left" vertical="center" wrapText="1"/>
    </xf>
    <xf numFmtId="0" fontId="4" fillId="0" borderId="43" xfId="0" applyFont="1" applyFill="1" applyBorder="1">
      <alignment vertical="center"/>
    </xf>
    <xf numFmtId="0" fontId="52" fillId="0" borderId="5" xfId="0" applyFont="1" applyBorder="1" applyAlignment="1">
      <alignment horizontal="left" vertical="top"/>
    </xf>
    <xf numFmtId="0" fontId="4" fillId="0" borderId="5" xfId="0" applyFont="1" applyBorder="1" applyAlignment="1">
      <alignment vertical="top"/>
    </xf>
    <xf numFmtId="0" fontId="50" fillId="0" borderId="5" xfId="0" applyFont="1" applyFill="1" applyBorder="1" applyAlignment="1">
      <alignment horizontal="center" vertical="center"/>
    </xf>
    <xf numFmtId="182" fontId="6" fillId="0" borderId="12" xfId="0" applyNumberFormat="1" applyFont="1" applyFill="1" applyBorder="1" applyAlignment="1">
      <alignment horizontal="center" vertical="top"/>
    </xf>
    <xf numFmtId="182" fontId="6" fillId="0" borderId="12" xfId="0" applyNumberFormat="1" applyFont="1" applyFill="1" applyBorder="1" applyAlignment="1">
      <alignment horizontal="left" vertical="top"/>
    </xf>
    <xf numFmtId="9" fontId="4" fillId="20" borderId="5" xfId="0" applyNumberFormat="1" applyFont="1" applyFill="1" applyBorder="1" applyAlignment="1">
      <alignment horizontal="left" vertical="top"/>
    </xf>
    <xf numFmtId="9" fontId="4" fillId="0" borderId="5" xfId="0" applyNumberFormat="1" applyFont="1" applyFill="1" applyBorder="1" applyAlignment="1">
      <alignment horizontal="left" vertical="top"/>
    </xf>
    <xf numFmtId="10" fontId="4" fillId="0" borderId="5" xfId="0" applyNumberFormat="1" applyFont="1" applyFill="1" applyBorder="1" applyAlignment="1">
      <alignment horizontal="left" vertical="top"/>
    </xf>
    <xf numFmtId="177" fontId="4" fillId="0" borderId="5" xfId="0" applyNumberFormat="1" applyFont="1" applyFill="1" applyBorder="1" applyAlignment="1">
      <alignment horizontal="left" vertical="top"/>
    </xf>
    <xf numFmtId="3" fontId="4" fillId="0" borderId="5" xfId="4" applyNumberFormat="1" applyFont="1" applyFill="1" applyBorder="1" applyAlignment="1">
      <alignment horizontal="left" vertical="top"/>
    </xf>
    <xf numFmtId="0" fontId="7" fillId="2" borderId="5" xfId="0" applyFont="1" applyFill="1" applyBorder="1" applyAlignment="1">
      <alignment horizontal="left" vertical="center"/>
    </xf>
    <xf numFmtId="10" fontId="4" fillId="0" borderId="5" xfId="0" applyNumberFormat="1" applyFont="1" applyBorder="1" applyAlignment="1">
      <alignment horizontal="left" vertical="top"/>
    </xf>
    <xf numFmtId="3" fontId="4" fillId="0" borderId="5" xfId="0" applyNumberFormat="1" applyFont="1" applyBorder="1" applyAlignment="1">
      <alignment horizontal="left" vertical="top"/>
    </xf>
    <xf numFmtId="0" fontId="48" fillId="8" borderId="5" xfId="0" applyFont="1" applyFill="1" applyBorder="1" applyAlignment="1">
      <alignment horizontal="left" vertical="top"/>
    </xf>
    <xf numFmtId="187" fontId="4" fillId="0" borderId="5" xfId="0" applyNumberFormat="1" applyFont="1" applyBorder="1" applyAlignment="1">
      <alignment horizontal="left" vertical="top"/>
    </xf>
    <xf numFmtId="185" fontId="4" fillId="0" borderId="5" xfId="0" applyNumberFormat="1" applyFont="1" applyBorder="1" applyAlignment="1">
      <alignment horizontal="left" vertical="top"/>
    </xf>
    <xf numFmtId="182" fontId="6" fillId="0" borderId="5" xfId="0" applyNumberFormat="1" applyFont="1" applyFill="1" applyBorder="1" applyAlignment="1">
      <alignment horizontal="left" vertical="top"/>
    </xf>
    <xf numFmtId="3" fontId="4" fillId="0" borderId="5" xfId="4" applyNumberFormat="1" applyFont="1" applyBorder="1" applyAlignment="1">
      <alignment horizontal="left" vertical="top"/>
    </xf>
    <xf numFmtId="43" fontId="4" fillId="0" borderId="5" xfId="4" applyNumberFormat="1" applyFont="1" applyFill="1" applyBorder="1" applyAlignment="1">
      <alignment horizontal="center" vertical="top"/>
    </xf>
    <xf numFmtId="43" fontId="60" fillId="0" borderId="0" xfId="4" applyFont="1" applyAlignment="1">
      <alignment horizontal="center" vertical="top"/>
    </xf>
    <xf numFmtId="0" fontId="5" fillId="0" borderId="0" xfId="0" applyFont="1" applyFill="1" applyAlignment="1">
      <alignment horizontal="left" vertical="top"/>
    </xf>
    <xf numFmtId="0" fontId="4" fillId="0" borderId="0" xfId="0" applyFont="1" applyFill="1" applyAlignment="1">
      <alignment horizontal="left" vertical="top"/>
    </xf>
    <xf numFmtId="43" fontId="4" fillId="0" borderId="0" xfId="4" applyFont="1" applyFill="1" applyAlignment="1">
      <alignment horizontal="left" vertical="top"/>
    </xf>
    <xf numFmtId="0" fontId="50" fillId="0" borderId="5" xfId="0" applyFont="1" applyFill="1" applyBorder="1" applyAlignment="1">
      <alignment horizontal="left" vertical="center"/>
    </xf>
    <xf numFmtId="0" fontId="4" fillId="0" borderId="23" xfId="0" applyFont="1" applyFill="1" applyBorder="1" applyAlignment="1">
      <alignment horizontal="left" vertical="center"/>
    </xf>
    <xf numFmtId="0" fontId="69" fillId="2" borderId="5" xfId="0" applyFont="1" applyFill="1" applyBorder="1" applyAlignment="1">
      <alignment horizontal="left" vertical="center" wrapText="1"/>
    </xf>
    <xf numFmtId="0" fontId="69" fillId="2" borderId="5"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69" fillId="2" borderId="5" xfId="0" applyFont="1" applyFill="1" applyBorder="1" applyAlignment="1">
      <alignment horizontal="center" vertical="center"/>
    </xf>
    <xf numFmtId="0" fontId="7" fillId="22" borderId="5" xfId="0" applyFont="1" applyFill="1" applyBorder="1" applyAlignment="1">
      <alignment horizontal="center" vertical="center"/>
    </xf>
    <xf numFmtId="182" fontId="6" fillId="0" borderId="5" xfId="0" applyNumberFormat="1" applyFont="1" applyFill="1" applyBorder="1" applyAlignment="1">
      <alignment horizontal="left" vertical="center"/>
    </xf>
    <xf numFmtId="9" fontId="4" fillId="20" borderId="21" xfId="0" applyNumberFormat="1" applyFont="1" applyFill="1" applyBorder="1" applyAlignment="1">
      <alignment horizontal="center" vertical="top"/>
    </xf>
    <xf numFmtId="9" fontId="4" fillId="3" borderId="5" xfId="0" applyNumberFormat="1" applyFont="1" applyFill="1" applyBorder="1" applyAlignment="1">
      <alignment horizontal="right" vertical="center"/>
    </xf>
    <xf numFmtId="9" fontId="4" fillId="0" borderId="5" xfId="0" applyNumberFormat="1" applyFont="1" applyBorder="1" applyAlignment="1">
      <alignment horizontal="right" vertical="center"/>
    </xf>
    <xf numFmtId="0" fontId="2" fillId="0" borderId="33" xfId="0" applyFont="1" applyBorder="1" applyAlignment="1">
      <alignment horizontal="left" vertical="center"/>
    </xf>
    <xf numFmtId="0" fontId="7" fillId="2" borderId="44" xfId="0" applyFont="1" applyFill="1" applyBorder="1" applyAlignment="1">
      <alignment horizontal="center" vertical="center"/>
    </xf>
    <xf numFmtId="0" fontId="0" fillId="0" borderId="5" xfId="0" applyBorder="1" applyAlignment="1">
      <alignment vertical="center"/>
    </xf>
    <xf numFmtId="0" fontId="5" fillId="14" borderId="5" xfId="0" applyFont="1" applyFill="1" applyBorder="1">
      <alignment vertical="center"/>
    </xf>
    <xf numFmtId="186" fontId="5" fillId="14" borderId="5" xfId="4" applyNumberFormat="1" applyFont="1" applyFill="1" applyBorder="1">
      <alignment vertical="center"/>
    </xf>
    <xf numFmtId="186" fontId="5" fillId="14" borderId="5" xfId="0" applyNumberFormat="1" applyFont="1" applyFill="1" applyBorder="1">
      <alignment vertical="center"/>
    </xf>
    <xf numFmtId="0" fontId="4" fillId="14" borderId="5" xfId="0" applyFont="1" applyFill="1" applyBorder="1" applyAlignment="1">
      <alignment vertical="top"/>
    </xf>
    <xf numFmtId="186" fontId="4" fillId="14" borderId="5" xfId="4" applyNumberFormat="1" applyFont="1" applyFill="1" applyBorder="1" applyAlignment="1">
      <alignment horizontal="right" vertical="center"/>
    </xf>
    <xf numFmtId="186" fontId="4" fillId="14" borderId="5" xfId="0" applyNumberFormat="1" applyFont="1" applyFill="1" applyBorder="1" applyAlignment="1">
      <alignment horizontal="right" vertical="center"/>
    </xf>
    <xf numFmtId="186" fontId="4" fillId="14" borderId="5" xfId="0" applyNumberFormat="1" applyFont="1" applyFill="1" applyBorder="1">
      <alignment vertical="center"/>
    </xf>
    <xf numFmtId="186" fontId="52" fillId="14" borderId="5" xfId="4" applyNumberFormat="1" applyFont="1" applyFill="1" applyBorder="1">
      <alignment vertical="center"/>
    </xf>
    <xf numFmtId="186" fontId="4" fillId="14" borderId="5" xfId="0" applyNumberFormat="1" applyFont="1" applyFill="1" applyBorder="1" applyAlignment="1">
      <alignment vertical="center"/>
    </xf>
    <xf numFmtId="0" fontId="6" fillId="14" borderId="5" xfId="0" applyFont="1" applyFill="1" applyBorder="1" applyAlignment="1">
      <alignment vertical="center"/>
    </xf>
    <xf numFmtId="186" fontId="6" fillId="14" borderId="5" xfId="0" applyNumberFormat="1" applyFont="1" applyFill="1" applyBorder="1" applyAlignment="1">
      <alignment vertical="center"/>
    </xf>
    <xf numFmtId="43" fontId="4" fillId="19" borderId="5" xfId="4" applyFont="1" applyFill="1" applyBorder="1">
      <alignment vertical="center"/>
    </xf>
    <xf numFmtId="179" fontId="6" fillId="9" borderId="5" xfId="0" quotePrefix="1" applyNumberFormat="1" applyFont="1" applyFill="1" applyBorder="1" applyAlignment="1">
      <alignment horizontal="center" vertical="center"/>
    </xf>
    <xf numFmtId="0" fontId="6" fillId="0" borderId="21" xfId="0" applyFont="1" applyBorder="1" applyAlignment="1">
      <alignment vertical="center"/>
    </xf>
    <xf numFmtId="0" fontId="6" fillId="0" borderId="31" xfId="0" applyFont="1" applyBorder="1" applyAlignment="1">
      <alignment vertical="center"/>
    </xf>
    <xf numFmtId="0" fontId="6" fillId="0" borderId="21" xfId="0" applyFont="1" applyBorder="1" applyAlignment="1">
      <alignment horizontal="left" vertical="center"/>
    </xf>
    <xf numFmtId="0" fontId="4" fillId="0" borderId="0" xfId="0" applyFont="1" applyAlignment="1">
      <alignment vertical="center" wrapText="1"/>
    </xf>
    <xf numFmtId="43" fontId="6" fillId="0" borderId="0" xfId="0" applyNumberFormat="1" applyFont="1" applyAlignment="1">
      <alignment vertical="center"/>
    </xf>
    <xf numFmtId="0" fontId="46" fillId="0" borderId="0" xfId="0" applyFont="1" applyFill="1" applyAlignment="1">
      <alignment vertical="center"/>
    </xf>
    <xf numFmtId="41" fontId="4" fillId="0" borderId="0" xfId="0" applyNumberFormat="1" applyFont="1" applyFill="1" applyAlignment="1">
      <alignment horizontal="center" vertical="center"/>
    </xf>
    <xf numFmtId="43" fontId="4" fillId="21" borderId="5" xfId="0" applyNumberFormat="1" applyFont="1" applyFill="1" applyBorder="1" applyAlignment="1">
      <alignment horizontal="right" vertical="top"/>
    </xf>
    <xf numFmtId="43" fontId="4" fillId="21" borderId="5" xfId="4" applyFont="1" applyFill="1" applyBorder="1" applyAlignment="1">
      <alignment horizontal="right" vertical="top"/>
    </xf>
    <xf numFmtId="0" fontId="6" fillId="0" borderId="8" xfId="0" applyFont="1" applyBorder="1" applyAlignment="1">
      <alignment vertical="center"/>
    </xf>
    <xf numFmtId="0" fontId="6" fillId="0" borderId="7" xfId="0" applyFont="1" applyBorder="1" applyAlignment="1">
      <alignment vertical="center"/>
    </xf>
    <xf numFmtId="0" fontId="25" fillId="0" borderId="34" xfId="0" applyFont="1" applyFill="1" applyBorder="1" applyAlignment="1">
      <alignment vertical="center"/>
    </xf>
    <xf numFmtId="0" fontId="6" fillId="0" borderId="8" xfId="0" applyFont="1" applyBorder="1" applyAlignment="1">
      <alignment horizontal="center" vertical="center"/>
    </xf>
    <xf numFmtId="0" fontId="71" fillId="2" borderId="35" xfId="0" applyFont="1" applyFill="1" applyBorder="1" applyAlignment="1">
      <alignment horizontal="center" vertical="center"/>
    </xf>
    <xf numFmtId="0" fontId="71" fillId="2" borderId="19" xfId="0" applyFont="1" applyFill="1" applyBorder="1" applyAlignment="1">
      <alignment horizontal="center" vertical="center"/>
    </xf>
    <xf numFmtId="0" fontId="71" fillId="2" borderId="13" xfId="0" applyFont="1" applyFill="1" applyBorder="1" applyAlignment="1">
      <alignment horizontal="center" vertical="center"/>
    </xf>
    <xf numFmtId="0" fontId="71" fillId="2" borderId="27" xfId="0" applyFont="1" applyFill="1" applyBorder="1" applyAlignment="1">
      <alignment horizontal="center" vertical="center"/>
    </xf>
    <xf numFmtId="0" fontId="72" fillId="2" borderId="35" xfId="0" applyFont="1" applyFill="1" applyBorder="1" applyAlignment="1">
      <alignment horizontal="center" vertical="center"/>
    </xf>
    <xf numFmtId="3" fontId="50" fillId="0" borderId="5" xfId="4" applyNumberFormat="1" applyFont="1" applyFill="1" applyBorder="1" applyAlignment="1">
      <alignment horizontal="right" vertical="center"/>
    </xf>
    <xf numFmtId="182" fontId="25" fillId="0" borderId="5" xfId="0" applyNumberFormat="1" applyFont="1" applyFill="1" applyBorder="1" applyAlignment="1">
      <alignment vertical="center"/>
    </xf>
    <xf numFmtId="182" fontId="6" fillId="0" borderId="21" xfId="0" applyNumberFormat="1" applyFont="1" applyFill="1" applyBorder="1" applyAlignment="1">
      <alignment horizontal="center" vertical="center"/>
    </xf>
    <xf numFmtId="43" fontId="4" fillId="21" borderId="5" xfId="4" applyFont="1" applyFill="1" applyBorder="1">
      <alignment vertical="center"/>
    </xf>
    <xf numFmtId="43" fontId="6" fillId="0" borderId="0" xfId="0" applyNumberFormat="1" applyFont="1" applyBorder="1" applyAlignment="1">
      <alignment vertical="center"/>
    </xf>
    <xf numFmtId="0" fontId="46" fillId="8" borderId="0" xfId="0" applyFont="1" applyFill="1" applyBorder="1" applyAlignment="1">
      <alignment vertical="center"/>
    </xf>
    <xf numFmtId="0" fontId="69" fillId="2" borderId="12" xfId="0" applyFont="1" applyFill="1" applyBorder="1" applyAlignment="1">
      <alignment horizontal="center" vertical="center"/>
    </xf>
    <xf numFmtId="0" fontId="2" fillId="0" borderId="14" xfId="0" applyFont="1" applyBorder="1" applyAlignment="1">
      <alignment horizontal="left" vertical="center"/>
    </xf>
    <xf numFmtId="43" fontId="5" fillId="14" borderId="5" xfId="4" applyFont="1" applyFill="1" applyBorder="1">
      <alignment vertical="center"/>
    </xf>
    <xf numFmtId="186" fontId="4" fillId="14" borderId="5" xfId="4" applyNumberFormat="1" applyFont="1" applyFill="1" applyBorder="1" applyAlignment="1">
      <alignment horizontal="center" vertical="center"/>
    </xf>
    <xf numFmtId="0" fontId="4" fillId="0" borderId="21" xfId="0" applyFont="1" applyFill="1" applyBorder="1">
      <alignment vertical="center"/>
    </xf>
    <xf numFmtId="0" fontId="5" fillId="0" borderId="0" xfId="0" applyFont="1" applyBorder="1">
      <alignment vertical="center"/>
    </xf>
    <xf numFmtId="43" fontId="46" fillId="19" borderId="5" xfId="4" applyFont="1" applyFill="1" applyBorder="1">
      <alignment vertical="center"/>
    </xf>
    <xf numFmtId="43" fontId="46" fillId="0" borderId="5" xfId="4" applyFont="1" applyFill="1" applyBorder="1">
      <alignment vertical="center"/>
    </xf>
    <xf numFmtId="180" fontId="46" fillId="0" borderId="5" xfId="4" applyNumberFormat="1" applyFont="1" applyFill="1" applyBorder="1">
      <alignment vertical="center"/>
    </xf>
    <xf numFmtId="0" fontId="6" fillId="0" borderId="31" xfId="0" applyFont="1" applyBorder="1">
      <alignment vertical="center"/>
    </xf>
    <xf numFmtId="0" fontId="6" fillId="9" borderId="5" xfId="0" quotePrefix="1" applyFont="1" applyFill="1" applyBorder="1" applyAlignment="1">
      <alignment horizontal="center" vertical="center"/>
    </xf>
    <xf numFmtId="0" fontId="4" fillId="14" borderId="5" xfId="0" applyFont="1" applyFill="1" applyBorder="1" applyAlignment="1">
      <alignment horizontal="right" vertical="center"/>
    </xf>
    <xf numFmtId="0" fontId="4" fillId="21" borderId="5" xfId="0" applyFont="1" applyFill="1" applyBorder="1" applyAlignment="1">
      <alignment horizontal="center" vertical="center"/>
    </xf>
    <xf numFmtId="0" fontId="6" fillId="14" borderId="5" xfId="0" applyFont="1" applyFill="1" applyBorder="1">
      <alignment vertical="center"/>
    </xf>
    <xf numFmtId="182" fontId="4" fillId="21" borderId="5" xfId="0" applyNumberFormat="1" applyFont="1" applyFill="1" applyBorder="1" applyAlignment="1">
      <alignment horizontal="center" vertical="center"/>
    </xf>
    <xf numFmtId="191" fontId="4" fillId="21" borderId="5" xfId="0" applyNumberFormat="1" applyFont="1" applyFill="1" applyBorder="1" applyAlignment="1">
      <alignment horizontal="center" vertical="center"/>
    </xf>
    <xf numFmtId="0" fontId="2" fillId="0" borderId="0" xfId="0" applyFont="1" applyBorder="1" applyAlignment="1">
      <alignment horizontal="left" vertical="center"/>
    </xf>
    <xf numFmtId="9" fontId="4" fillId="0" borderId="21" xfId="0" applyNumberFormat="1" applyFont="1" applyFill="1" applyBorder="1" applyAlignment="1">
      <alignment horizontal="left" vertical="center"/>
    </xf>
    <xf numFmtId="0" fontId="46" fillId="0" borderId="21" xfId="0" applyFont="1" applyFill="1" applyBorder="1" applyAlignment="1">
      <alignment horizontal="left" vertical="center"/>
    </xf>
    <xf numFmtId="10" fontId="4" fillId="0" borderId="21" xfId="0" applyNumberFormat="1" applyFont="1" applyFill="1" applyBorder="1" applyAlignment="1">
      <alignment horizontal="left" vertical="center"/>
    </xf>
    <xf numFmtId="43" fontId="4" fillId="0" borderId="21" xfId="4" applyFont="1" applyFill="1" applyBorder="1" applyAlignment="1">
      <alignment horizontal="left" vertical="center"/>
    </xf>
    <xf numFmtId="0" fontId="25" fillId="0" borderId="31" xfId="0" applyFont="1" applyBorder="1" applyAlignment="1">
      <alignment horizontal="right" vertical="center"/>
    </xf>
    <xf numFmtId="0" fontId="6" fillId="9" borderId="5" xfId="0" applyFont="1" applyFill="1" applyBorder="1" applyAlignment="1">
      <alignment horizontal="center" vertical="center"/>
    </xf>
    <xf numFmtId="0" fontId="4" fillId="9" borderId="5" xfId="0" applyFont="1" applyFill="1" applyBorder="1" applyAlignment="1">
      <alignment horizontal="right" vertical="center"/>
    </xf>
    <xf numFmtId="43" fontId="4" fillId="0" borderId="0" xfId="4" applyFont="1" applyBorder="1">
      <alignment vertical="center"/>
    </xf>
    <xf numFmtId="43" fontId="4" fillId="0" borderId="0" xfId="0" applyNumberFormat="1" applyFont="1" applyBorder="1">
      <alignment vertical="center"/>
    </xf>
    <xf numFmtId="0" fontId="7" fillId="0" borderId="0" xfId="0" applyFont="1" applyFill="1" applyBorder="1" applyAlignment="1">
      <alignment horizontal="center" vertical="center"/>
    </xf>
    <xf numFmtId="9" fontId="4" fillId="14" borderId="5" xfId="0" applyNumberFormat="1" applyFont="1" applyFill="1" applyBorder="1">
      <alignment vertical="center"/>
    </xf>
    <xf numFmtId="0" fontId="6" fillId="21" borderId="5" xfId="0" applyFont="1" applyFill="1" applyBorder="1" applyAlignment="1">
      <alignment horizontal="center" vertical="center"/>
    </xf>
    <xf numFmtId="0" fontId="6" fillId="0" borderId="31" xfId="0" applyFont="1" applyBorder="1" applyAlignment="1">
      <alignment horizontal="right" vertical="center"/>
    </xf>
    <xf numFmtId="43" fontId="4" fillId="21" borderId="5" xfId="4" applyFont="1" applyFill="1" applyBorder="1" applyAlignment="1">
      <alignment horizontal="center" vertical="center"/>
    </xf>
    <xf numFmtId="43" fontId="4" fillId="21" borderId="5" xfId="4" applyFont="1" applyFill="1" applyBorder="1" applyAlignment="1">
      <alignment horizontal="right" vertical="center"/>
    </xf>
    <xf numFmtId="186" fontId="6" fillId="14" borderId="5" xfId="4" applyNumberFormat="1" applyFont="1" applyFill="1" applyBorder="1">
      <alignment vertical="center"/>
    </xf>
    <xf numFmtId="0" fontId="16" fillId="0" borderId="0" xfId="1" applyFont="1" applyFill="1">
      <alignment vertical="center"/>
    </xf>
    <xf numFmtId="0" fontId="17" fillId="0" borderId="0" xfId="1" applyFont="1" applyFill="1">
      <alignment vertical="center"/>
    </xf>
    <xf numFmtId="0" fontId="18" fillId="0" borderId="0" xfId="0" applyFont="1" applyFill="1">
      <alignment vertical="center"/>
    </xf>
    <xf numFmtId="0" fontId="0" fillId="0" borderId="0" xfId="0" applyFill="1">
      <alignment vertical="center"/>
    </xf>
    <xf numFmtId="0" fontId="20" fillId="0" borderId="5" xfId="0" applyFont="1" applyBorder="1" applyAlignment="1">
      <alignment horizontal="left" vertical="top" wrapText="1"/>
    </xf>
    <xf numFmtId="0" fontId="20" fillId="0" borderId="5" xfId="0" applyFont="1" applyFill="1" applyBorder="1" applyAlignment="1">
      <alignment horizontal="left" vertical="top" wrapText="1"/>
    </xf>
    <xf numFmtId="0" fontId="4" fillId="9"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5" xfId="0" applyFont="1" applyFill="1" applyBorder="1" applyAlignment="1">
      <alignment horizontal="left" vertical="center" wrapText="1"/>
    </xf>
    <xf numFmtId="0" fontId="20" fillId="0" borderId="5" xfId="0" applyFont="1" applyBorder="1" applyAlignment="1">
      <alignment horizontal="left" vertical="center" wrapText="1"/>
    </xf>
    <xf numFmtId="0" fontId="20" fillId="0" borderId="5" xfId="0" applyFont="1" applyBorder="1" applyAlignment="1">
      <alignment horizontal="center" vertical="center" wrapText="1"/>
    </xf>
    <xf numFmtId="0" fontId="7" fillId="2" borderId="0" xfId="0" applyFont="1" applyFill="1" applyBorder="1" applyAlignment="1">
      <alignment horizontal="center" vertical="center"/>
    </xf>
    <xf numFmtId="0" fontId="7" fillId="2" borderId="26" xfId="0" applyFont="1" applyFill="1" applyBorder="1" applyAlignment="1">
      <alignment horizontal="center" vertical="center"/>
    </xf>
    <xf numFmtId="0" fontId="4" fillId="0" borderId="22" xfId="0" applyFont="1" applyFill="1" applyBorder="1" applyAlignment="1">
      <alignment vertical="center"/>
    </xf>
    <xf numFmtId="9" fontId="4" fillId="3" borderId="23" xfId="0" applyNumberFormat="1" applyFont="1" applyFill="1" applyBorder="1" applyAlignment="1">
      <alignment horizontal="right" vertical="center"/>
    </xf>
    <xf numFmtId="43" fontId="4" fillId="0" borderId="22" xfId="4" applyFont="1" applyBorder="1">
      <alignment vertical="center"/>
    </xf>
    <xf numFmtId="0" fontId="5" fillId="0" borderId="5" xfId="0" applyFont="1" applyBorder="1" applyAlignment="1">
      <alignment vertical="center" wrapText="1"/>
    </xf>
    <xf numFmtId="0" fontId="7" fillId="2" borderId="29" xfId="0" applyFont="1" applyFill="1" applyBorder="1" applyAlignment="1">
      <alignment horizontal="center" vertical="center"/>
    </xf>
    <xf numFmtId="0" fontId="6" fillId="0" borderId="19" xfId="0" applyFont="1" applyBorder="1" applyAlignment="1">
      <alignment horizontal="left" vertical="center"/>
    </xf>
    <xf numFmtId="0" fontId="4" fillId="0" borderId="19" xfId="0" applyFont="1" applyBorder="1" applyAlignment="1">
      <alignment horizontal="left" vertical="center"/>
    </xf>
    <xf numFmtId="185" fontId="4" fillId="0" borderId="19" xfId="0" applyNumberFormat="1" applyFont="1" applyBorder="1" applyAlignment="1">
      <alignment horizontal="left" vertical="center"/>
    </xf>
    <xf numFmtId="0" fontId="6" fillId="0" borderId="35" xfId="0" applyFont="1" applyBorder="1" applyAlignment="1">
      <alignment horizontal="left" vertical="center"/>
    </xf>
    <xf numFmtId="0" fontId="6" fillId="0" borderId="31" xfId="0" applyFont="1" applyBorder="1" applyAlignment="1">
      <alignment horizontal="left"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top"/>
    </xf>
    <xf numFmtId="0" fontId="20" fillId="0" borderId="5" xfId="0" applyFont="1" applyBorder="1" applyAlignment="1">
      <alignment horizontal="center" vertical="top" wrapText="1"/>
    </xf>
    <xf numFmtId="180" fontId="46" fillId="21" borderId="5" xfId="0" applyNumberFormat="1" applyFont="1" applyFill="1" applyBorder="1" applyAlignment="1">
      <alignment horizontal="right" vertical="center"/>
    </xf>
    <xf numFmtId="43" fontId="5" fillId="21" borderId="31" xfId="0" applyNumberFormat="1" applyFont="1" applyFill="1" applyBorder="1">
      <alignment vertical="center"/>
    </xf>
    <xf numFmtId="43" fontId="25" fillId="21" borderId="5" xfId="4" applyFont="1" applyFill="1" applyBorder="1">
      <alignment vertical="center"/>
    </xf>
    <xf numFmtId="180" fontId="25" fillId="21" borderId="0" xfId="4" applyNumberFormat="1" applyFont="1" applyFill="1" applyBorder="1" applyAlignment="1">
      <alignment horizontal="right" vertical="center"/>
    </xf>
    <xf numFmtId="180" fontId="25" fillId="21" borderId="5" xfId="4" applyNumberFormat="1" applyFont="1" applyFill="1" applyBorder="1" applyAlignment="1">
      <alignment horizontal="center" vertical="center"/>
    </xf>
    <xf numFmtId="0" fontId="5" fillId="0" borderId="0" xfId="0" applyFont="1" applyFill="1" applyBorder="1">
      <alignment vertical="center"/>
    </xf>
    <xf numFmtId="0" fontId="4" fillId="9"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27" xfId="0" applyFont="1" applyBorder="1" applyAlignment="1">
      <alignment horizontal="left" vertical="center" wrapText="1"/>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9" borderId="5" xfId="0" applyFont="1" applyFill="1" applyBorder="1" applyAlignment="1">
      <alignment horizontal="center" vertical="center"/>
    </xf>
    <xf numFmtId="9" fontId="4" fillId="3" borderId="5" xfId="0" applyNumberFormat="1" applyFont="1" applyFill="1" applyBorder="1" applyAlignment="1">
      <alignment horizontal="right" vertical="center"/>
    </xf>
    <xf numFmtId="0" fontId="20" fillId="0" borderId="21" xfId="0" applyFont="1" applyBorder="1" applyAlignment="1">
      <alignment horizontal="left" vertical="center" wrapText="1"/>
    </xf>
    <xf numFmtId="0" fontId="20" fillId="0" borderId="5" xfId="0" applyFont="1" applyBorder="1" applyAlignment="1">
      <alignment horizontal="center" vertical="center" wrapText="1"/>
    </xf>
    <xf numFmtId="0" fontId="20" fillId="0" borderId="5" xfId="0" applyFont="1" applyBorder="1" applyAlignment="1">
      <alignment horizontal="center" vertical="center"/>
    </xf>
    <xf numFmtId="0" fontId="32" fillId="0" borderId="0" xfId="0" applyFont="1" applyBorder="1" applyAlignment="1">
      <alignment horizontal="left" vertical="center" wrapText="1"/>
    </xf>
    <xf numFmtId="0" fontId="33" fillId="0" borderId="0" xfId="0" applyFont="1" applyBorder="1" applyAlignment="1">
      <alignment horizontal="left" vertical="center" wrapText="1"/>
    </xf>
    <xf numFmtId="0" fontId="31" fillId="0" borderId="0" xfId="0" applyFont="1" applyBorder="1" applyAlignment="1">
      <alignment horizontal="left" vertical="center"/>
    </xf>
    <xf numFmtId="0" fontId="31" fillId="0" borderId="0" xfId="0" applyFont="1" applyBorder="1" applyAlignment="1">
      <alignment vertical="center" wrapText="1"/>
    </xf>
    <xf numFmtId="0" fontId="31" fillId="8" borderId="5" xfId="0" applyNumberFormat="1" applyFont="1" applyFill="1" applyBorder="1" applyAlignment="1">
      <alignment horizontal="center" vertical="center" wrapText="1"/>
    </xf>
    <xf numFmtId="41" fontId="4" fillId="0" borderId="5" xfId="0" applyNumberFormat="1" applyFont="1" applyFill="1" applyBorder="1" applyAlignment="1">
      <alignment horizontal="center" vertical="center"/>
    </xf>
    <xf numFmtId="0" fontId="31" fillId="23" borderId="5" xfId="0" applyNumberFormat="1" applyFont="1" applyFill="1" applyBorder="1" applyAlignment="1">
      <alignment horizontal="center" vertical="center" wrapText="1"/>
    </xf>
    <xf numFmtId="0" fontId="31" fillId="0" borderId="5" xfId="0" applyFont="1" applyBorder="1" applyAlignment="1">
      <alignment horizontal="center" vertical="center"/>
    </xf>
    <xf numFmtId="0" fontId="31" fillId="8" borderId="5" xfId="0" applyFont="1" applyFill="1" applyBorder="1" applyAlignment="1">
      <alignment horizontal="center" vertical="center"/>
    </xf>
    <xf numFmtId="0" fontId="31" fillId="23" borderId="5" xfId="0" applyFont="1" applyFill="1" applyBorder="1" applyAlignment="1">
      <alignment horizontal="center" vertical="center"/>
    </xf>
    <xf numFmtId="0" fontId="31" fillId="23" borderId="5" xfId="0" applyFont="1" applyFill="1" applyBorder="1" applyAlignment="1">
      <alignment horizontal="left" vertical="center" wrapText="1"/>
    </xf>
    <xf numFmtId="0" fontId="31" fillId="8" borderId="5" xfId="0" applyFont="1" applyFill="1" applyBorder="1" applyAlignment="1">
      <alignment horizontal="left" vertical="center" wrapText="1"/>
    </xf>
    <xf numFmtId="43" fontId="6" fillId="21" borderId="5" xfId="0" applyNumberFormat="1" applyFont="1" applyFill="1" applyBorder="1">
      <alignment vertical="center"/>
    </xf>
    <xf numFmtId="43" fontId="4" fillId="0" borderId="21" xfId="4" applyFont="1" applyBorder="1">
      <alignment vertical="center"/>
    </xf>
    <xf numFmtId="0" fontId="32" fillId="0" borderId="5" xfId="0" applyFont="1" applyBorder="1" applyAlignment="1">
      <alignment horizontal="center" vertical="center" wrapText="1"/>
    </xf>
    <xf numFmtId="43" fontId="4" fillId="21" borderId="5" xfId="4" applyFont="1" applyFill="1" applyBorder="1" applyAlignment="1">
      <alignment vertical="center"/>
    </xf>
    <xf numFmtId="0" fontId="2" fillId="0" borderId="0" xfId="0" applyFont="1" applyBorder="1" applyAlignment="1">
      <alignment vertical="center"/>
    </xf>
    <xf numFmtId="0" fontId="6" fillId="9" borderId="5" xfId="0" applyFont="1" applyFill="1" applyBorder="1" applyAlignment="1">
      <alignment horizontal="center" vertical="center" wrapText="1"/>
    </xf>
    <xf numFmtId="41" fontId="4" fillId="9" borderId="5" xfId="4" applyNumberFormat="1" applyFont="1" applyFill="1" applyBorder="1" applyAlignment="1">
      <alignment horizontal="center" vertical="center"/>
    </xf>
    <xf numFmtId="0" fontId="6" fillId="0" borderId="21" xfId="0" applyFont="1" applyBorder="1" applyAlignment="1">
      <alignment horizontal="center" vertical="center"/>
    </xf>
    <xf numFmtId="0" fontId="6" fillId="0" borderId="31" xfId="0" applyFont="1" applyBorder="1" applyAlignment="1">
      <alignment horizontal="center" vertical="center"/>
    </xf>
    <xf numFmtId="0" fontId="4" fillId="9" borderId="0" xfId="0" applyFont="1" applyFill="1" applyAlignment="1">
      <alignment horizontal="center" vertical="top"/>
    </xf>
    <xf numFmtId="0" fontId="7" fillId="2" borderId="0" xfId="0" applyFont="1" applyFill="1" applyBorder="1" applyAlignment="1">
      <alignment horizontal="center" vertical="center" wrapText="1"/>
    </xf>
    <xf numFmtId="0" fontId="48" fillId="2" borderId="19" xfId="0" applyFont="1" applyFill="1" applyBorder="1" applyAlignment="1">
      <alignment vertical="center"/>
    </xf>
    <xf numFmtId="43" fontId="5" fillId="24" borderId="5" xfId="4" applyFont="1" applyFill="1" applyBorder="1" applyAlignment="1">
      <alignment horizontal="center" vertical="center"/>
    </xf>
    <xf numFmtId="43" fontId="5" fillId="0" borderId="5" xfId="4" applyFont="1" applyFill="1" applyBorder="1" applyAlignment="1">
      <alignment horizontal="center" vertical="center"/>
    </xf>
    <xf numFmtId="9" fontId="5" fillId="0" borderId="5"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0" fontId="5" fillId="25" borderId="5" xfId="0" applyFont="1" applyFill="1" applyBorder="1" applyAlignment="1">
      <alignment horizontal="center" vertical="center"/>
    </xf>
    <xf numFmtId="0" fontId="5" fillId="0" borderId="5" xfId="0" applyFont="1" applyFill="1" applyBorder="1" applyAlignment="1">
      <alignment horizontal="center" vertical="center"/>
    </xf>
    <xf numFmtId="10" fontId="5" fillId="0" borderId="5" xfId="0" applyNumberFormat="1" applyFont="1" applyFill="1" applyBorder="1" applyAlignment="1">
      <alignment horizontal="center" vertical="center"/>
    </xf>
    <xf numFmtId="0" fontId="0" fillId="0" borderId="0" xfId="0" applyFill="1" applyAlignment="1">
      <alignment horizontal="center" vertical="center"/>
    </xf>
    <xf numFmtId="0" fontId="7" fillId="2" borderId="19" xfId="0" applyFont="1" applyFill="1" applyBorder="1" applyAlignment="1">
      <alignment horizontal="center" vertical="center"/>
    </xf>
    <xf numFmtId="183" fontId="4" fillId="0" borderId="5" xfId="4" applyNumberFormat="1" applyFont="1" applyBorder="1" applyAlignment="1">
      <alignment vertical="top"/>
    </xf>
    <xf numFmtId="192" fontId="4" fillId="0" borderId="5" xfId="4" applyNumberFormat="1" applyFont="1" applyBorder="1" applyAlignment="1">
      <alignment vertical="top"/>
    </xf>
    <xf numFmtId="0" fontId="2" fillId="0" borderId="5" xfId="0" applyFont="1" applyFill="1" applyBorder="1" applyAlignment="1">
      <alignment horizontal="center" vertical="center"/>
    </xf>
    <xf numFmtId="0" fontId="2" fillId="0" borderId="12" xfId="0" applyFont="1" applyFill="1" applyBorder="1" applyAlignment="1">
      <alignment horizontal="center" vertical="center"/>
    </xf>
    <xf numFmtId="0" fontId="4" fillId="9" borderId="5" xfId="0" applyFont="1" applyFill="1" applyBorder="1" applyAlignment="1">
      <alignment horizontal="center" vertical="center"/>
    </xf>
    <xf numFmtId="43" fontId="4" fillId="0" borderId="22" xfId="0" applyNumberFormat="1" applyFont="1" applyFill="1" applyBorder="1" applyAlignment="1">
      <alignment horizontal="center" vertical="center"/>
    </xf>
    <xf numFmtId="0" fontId="4" fillId="0" borderId="22" xfId="0" applyFont="1" applyBorder="1" applyAlignment="1">
      <alignment horizontal="center" vertical="center"/>
    </xf>
    <xf numFmtId="179" fontId="4" fillId="0" borderId="5" xfId="0" applyNumberFormat="1" applyFont="1" applyFill="1" applyBorder="1" applyAlignment="1">
      <alignment horizontal="center" vertical="center"/>
    </xf>
    <xf numFmtId="0" fontId="4" fillId="0" borderId="22" xfId="0" applyFont="1" applyFill="1" applyBorder="1" applyAlignment="1">
      <alignment horizontal="center" vertical="center"/>
    </xf>
    <xf numFmtId="0" fontId="20" fillId="0" borderId="22" xfId="0" applyFont="1" applyBorder="1" applyAlignment="1">
      <alignment horizontal="center" vertical="center" wrapText="1"/>
    </xf>
    <xf numFmtId="43" fontId="4" fillId="21" borderId="5" xfId="4" applyFont="1" applyFill="1" applyBorder="1" applyAlignment="1">
      <alignment vertical="top"/>
    </xf>
    <xf numFmtId="192" fontId="4" fillId="21" borderId="5" xfId="4" applyNumberFormat="1" applyFont="1" applyFill="1" applyBorder="1" applyAlignment="1">
      <alignment vertical="top"/>
    </xf>
    <xf numFmtId="183" fontId="4" fillId="21" borderId="5" xfId="4" applyNumberFormat="1" applyFont="1" applyFill="1" applyBorder="1" applyAlignment="1">
      <alignment vertical="top"/>
    </xf>
    <xf numFmtId="43" fontId="6" fillId="21" borderId="5" xfId="0" applyNumberFormat="1" applyFont="1" applyFill="1" applyBorder="1" applyAlignment="1">
      <alignment vertical="top"/>
    </xf>
    <xf numFmtId="43" fontId="6" fillId="21" borderId="5" xfId="4" applyFont="1" applyFill="1" applyBorder="1" applyAlignment="1">
      <alignment vertical="top"/>
    </xf>
    <xf numFmtId="192" fontId="6" fillId="21" borderId="5" xfId="4" applyNumberFormat="1" applyFont="1" applyFill="1" applyBorder="1" applyAlignment="1">
      <alignment vertical="top"/>
    </xf>
    <xf numFmtId="183" fontId="6" fillId="21" borderId="5" xfId="4" applyNumberFormat="1" applyFont="1" applyFill="1" applyBorder="1" applyAlignment="1">
      <alignment vertical="top"/>
    </xf>
    <xf numFmtId="43" fontId="25" fillId="21" borderId="5" xfId="4" applyFont="1" applyFill="1" applyBorder="1" applyAlignment="1">
      <alignment horizontal="center" vertical="center"/>
    </xf>
    <xf numFmtId="43" fontId="6" fillId="21" borderId="5" xfId="0" applyNumberFormat="1" applyFont="1" applyFill="1" applyBorder="1" applyAlignment="1">
      <alignment horizontal="right" vertical="center"/>
    </xf>
    <xf numFmtId="0" fontId="46" fillId="8" borderId="31" xfId="0" applyFont="1" applyFill="1" applyBorder="1" applyAlignment="1">
      <alignment vertical="center"/>
    </xf>
    <xf numFmtId="43" fontId="25" fillId="21" borderId="22" xfId="0" applyNumberFormat="1" applyFont="1" applyFill="1" applyBorder="1" applyAlignment="1">
      <alignment vertical="center"/>
    </xf>
    <xf numFmtId="43" fontId="25" fillId="21" borderId="5" xfId="0" applyNumberFormat="1" applyFont="1" applyFill="1" applyBorder="1" applyAlignment="1">
      <alignment vertical="center"/>
    </xf>
    <xf numFmtId="43" fontId="6" fillId="21" borderId="5" xfId="0" applyNumberFormat="1" applyFont="1" applyFill="1" applyBorder="1" applyAlignment="1">
      <alignment vertical="center"/>
    </xf>
    <xf numFmtId="43" fontId="6" fillId="21" borderId="5" xfId="4" applyFont="1" applyFill="1" applyBorder="1">
      <alignment vertical="center"/>
    </xf>
    <xf numFmtId="0" fontId="6" fillId="21" borderId="5" xfId="0" applyFont="1" applyFill="1" applyBorder="1" applyAlignment="1">
      <alignment horizontal="right" vertical="center"/>
    </xf>
    <xf numFmtId="0" fontId="4" fillId="0" borderId="0" xfId="0" applyFont="1" applyFill="1" applyBorder="1" applyAlignment="1">
      <alignment horizontal="center" vertical="center"/>
    </xf>
    <xf numFmtId="0" fontId="31" fillId="0" borderId="0" xfId="0" applyNumberFormat="1" applyFont="1" applyBorder="1" applyAlignment="1">
      <alignment horizontal="center" vertical="center" wrapText="1"/>
    </xf>
    <xf numFmtId="0" fontId="32" fillId="21" borderId="5" xfId="0" applyFont="1" applyFill="1" applyBorder="1" applyAlignment="1">
      <alignment horizontal="center" vertical="center" wrapText="1"/>
    </xf>
    <xf numFmtId="0" fontId="9" fillId="0" borderId="0" xfId="2">
      <alignment vertical="center"/>
    </xf>
    <xf numFmtId="43" fontId="35" fillId="21" borderId="5" xfId="0" applyNumberFormat="1" applyFont="1" applyFill="1" applyBorder="1" applyAlignment="1">
      <alignment vertical="center"/>
    </xf>
    <xf numFmtId="43" fontId="35" fillId="16" borderId="5" xfId="4" applyFont="1" applyFill="1" applyBorder="1" applyAlignment="1">
      <alignment vertical="center"/>
    </xf>
    <xf numFmtId="0" fontId="35" fillId="21" borderId="5"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4" fillId="0" borderId="0" xfId="0" applyFont="1" applyFill="1" applyBorder="1" applyAlignment="1">
      <alignment horizontal="center" vertical="center"/>
    </xf>
    <xf numFmtId="0" fontId="0" fillId="0" borderId="0" xfId="0" applyFill="1" applyBorder="1" applyAlignment="1">
      <alignment horizontal="center" vertical="center"/>
    </xf>
    <xf numFmtId="43" fontId="20" fillId="0" borderId="0" xfId="4" applyFont="1" applyBorder="1">
      <alignment vertical="center"/>
    </xf>
    <xf numFmtId="0" fontId="9" fillId="0" borderId="0" xfId="2" applyFill="1" applyAlignment="1">
      <alignment vertical="top"/>
    </xf>
    <xf numFmtId="43" fontId="5" fillId="24" borderId="12" xfId="4" applyFont="1" applyFill="1" applyBorder="1" applyAlignment="1">
      <alignment horizontal="center" vertical="center"/>
    </xf>
    <xf numFmtId="43" fontId="5" fillId="0" borderId="12" xfId="4" applyFont="1" applyFill="1" applyBorder="1" applyAlignment="1">
      <alignment horizontal="center" vertical="center"/>
    </xf>
    <xf numFmtId="9" fontId="5" fillId="0" borderId="12" xfId="0" applyNumberFormat="1" applyFont="1" applyFill="1" applyBorder="1" applyAlignment="1">
      <alignment horizontal="center" vertical="center"/>
    </xf>
    <xf numFmtId="49" fontId="5" fillId="0" borderId="12" xfId="0" applyNumberFormat="1" applyFont="1" applyFill="1" applyBorder="1" applyAlignment="1">
      <alignment horizontal="center" vertical="center"/>
    </xf>
    <xf numFmtId="0" fontId="7" fillId="28" borderId="46" xfId="0" applyFont="1" applyFill="1" applyBorder="1" applyAlignment="1">
      <alignment horizontal="center" vertical="center"/>
    </xf>
    <xf numFmtId="0" fontId="7" fillId="2" borderId="12" xfId="0" applyFont="1" applyFill="1" applyBorder="1">
      <alignment vertical="center"/>
    </xf>
    <xf numFmtId="0" fontId="7" fillId="2" borderId="5" xfId="0" applyFont="1" applyFill="1" applyBorder="1">
      <alignment vertical="center"/>
    </xf>
    <xf numFmtId="49" fontId="5" fillId="14" borderId="5" xfId="0" applyNumberFormat="1" applyFont="1" applyFill="1" applyBorder="1" applyAlignment="1">
      <alignment horizontal="center" vertical="center"/>
    </xf>
    <xf numFmtId="0" fontId="7" fillId="29" borderId="5" xfId="0" applyFont="1" applyFill="1" applyBorder="1">
      <alignment vertical="center"/>
    </xf>
    <xf numFmtId="0" fontId="9" fillId="0" borderId="0" xfId="2" applyFill="1">
      <alignment vertical="center"/>
    </xf>
    <xf numFmtId="0" fontId="9" fillId="0" borderId="0" xfId="2" applyFill="1" applyAlignment="1">
      <alignment vertical="center"/>
    </xf>
    <xf numFmtId="0" fontId="9" fillId="0" borderId="0" xfId="2" applyFill="1" applyAlignment="1">
      <alignment horizontal="left" vertical="center"/>
    </xf>
    <xf numFmtId="0" fontId="9" fillId="0" borderId="0" xfId="2" applyBorder="1" applyAlignment="1">
      <alignment vertical="center"/>
    </xf>
    <xf numFmtId="43" fontId="20" fillId="21" borderId="5" xfId="4" applyFont="1" applyFill="1" applyBorder="1">
      <alignment vertical="center"/>
    </xf>
    <xf numFmtId="0" fontId="21" fillId="0" borderId="7" xfId="0" applyFont="1" applyBorder="1" applyAlignment="1">
      <alignment vertical="center"/>
    </xf>
    <xf numFmtId="43" fontId="4" fillId="0" borderId="0" xfId="0" applyNumberFormat="1" applyFont="1" applyFill="1" applyBorder="1" applyAlignment="1">
      <alignment horizontal="center" vertical="center"/>
    </xf>
    <xf numFmtId="0" fontId="0" fillId="0" borderId="0" xfId="0" applyFill="1" applyBorder="1" applyAlignment="1">
      <alignment vertical="center"/>
    </xf>
    <xf numFmtId="182" fontId="0" fillId="0" borderId="5" xfId="0" applyNumberFormat="1" applyFill="1" applyBorder="1" applyAlignment="1">
      <alignment horizontal="center" vertical="center"/>
    </xf>
    <xf numFmtId="0" fontId="75" fillId="0" borderId="0" xfId="0" applyFont="1" applyFill="1" applyAlignment="1">
      <alignment horizontal="center" vertical="center"/>
    </xf>
    <xf numFmtId="0" fontId="1" fillId="14" borderId="0" xfId="1" applyFill="1">
      <alignment vertical="center"/>
    </xf>
    <xf numFmtId="193" fontId="4" fillId="16" borderId="2" xfId="1" applyNumberFormat="1" applyFont="1" applyFill="1" applyBorder="1" applyAlignment="1">
      <alignment horizontal="left" wrapText="1"/>
    </xf>
    <xf numFmtId="0" fontId="4" fillId="16" borderId="2" xfId="1" applyFont="1" applyFill="1" applyBorder="1" applyAlignment="1">
      <alignment vertical="top" wrapText="1"/>
    </xf>
    <xf numFmtId="0" fontId="4" fillId="3" borderId="1" xfId="1" applyFont="1" applyFill="1" applyBorder="1" applyAlignment="1">
      <alignment vertical="top" wrapText="1"/>
    </xf>
    <xf numFmtId="0" fontId="9" fillId="0" borderId="0" xfId="2" applyFill="1" applyAlignment="1">
      <alignment vertical="top" wrapText="1"/>
    </xf>
    <xf numFmtId="0" fontId="9" fillId="0" borderId="0" xfId="2" applyAlignment="1">
      <alignment horizontal="left" vertical="center"/>
    </xf>
    <xf numFmtId="43" fontId="0" fillId="30" borderId="22" xfId="0" applyNumberFormat="1" applyFill="1" applyBorder="1" applyAlignment="1">
      <alignment horizontal="center" vertical="center"/>
    </xf>
    <xf numFmtId="43" fontId="6" fillId="21" borderId="31" xfId="0" applyNumberFormat="1" applyFont="1" applyFill="1" applyBorder="1">
      <alignment vertical="center"/>
    </xf>
    <xf numFmtId="43" fontId="4" fillId="0" borderId="22" xfId="4" applyFont="1" applyFill="1" applyBorder="1" applyAlignment="1">
      <alignment vertical="top"/>
    </xf>
    <xf numFmtId="182" fontId="6" fillId="21" borderId="5" xfId="0" applyNumberFormat="1" applyFont="1" applyFill="1" applyBorder="1" applyAlignment="1">
      <alignment vertical="center"/>
    </xf>
    <xf numFmtId="43" fontId="6" fillId="21" borderId="21" xfId="0" applyNumberFormat="1" applyFont="1" applyFill="1" applyBorder="1" applyAlignment="1">
      <alignment vertical="center"/>
    </xf>
    <xf numFmtId="43" fontId="4" fillId="21" borderId="22" xfId="4" applyFont="1" applyFill="1" applyBorder="1" applyAlignment="1">
      <alignment horizontal="center" vertical="center"/>
    </xf>
    <xf numFmtId="43" fontId="4" fillId="0" borderId="12" xfId="4" applyFont="1" applyFill="1" applyBorder="1" applyAlignment="1">
      <alignment vertical="top"/>
    </xf>
    <xf numFmtId="0" fontId="44" fillId="0" borderId="5" xfId="0" applyFont="1" applyBorder="1" applyAlignment="1">
      <alignment horizontal="center" vertical="center" wrapText="1"/>
    </xf>
    <xf numFmtId="0" fontId="6" fillId="0" borderId="22" xfId="0" applyFont="1" applyBorder="1">
      <alignment vertical="center"/>
    </xf>
    <xf numFmtId="49" fontId="4" fillId="9" borderId="22" xfId="0" applyNumberFormat="1" applyFont="1" applyFill="1" applyBorder="1" applyAlignment="1">
      <alignment horizontal="center" vertical="center"/>
    </xf>
    <xf numFmtId="0" fontId="5" fillId="0" borderId="22" xfId="0" applyFont="1" applyBorder="1">
      <alignment vertical="center"/>
    </xf>
    <xf numFmtId="9" fontId="4" fillId="3" borderId="22" xfId="0" applyNumberFormat="1" applyFont="1" applyFill="1" applyBorder="1" applyAlignment="1">
      <alignment horizontal="right" vertical="center"/>
    </xf>
    <xf numFmtId="0" fontId="6" fillId="0" borderId="47" xfId="0" applyFont="1" applyBorder="1">
      <alignment vertical="center"/>
    </xf>
    <xf numFmtId="0" fontId="63" fillId="0" borderId="48" xfId="0" applyFont="1" applyBorder="1">
      <alignment vertical="center"/>
    </xf>
    <xf numFmtId="0" fontId="4" fillId="0" borderId="48" xfId="0" applyFont="1" applyBorder="1" applyAlignment="1">
      <alignment horizontal="center" vertical="center"/>
    </xf>
    <xf numFmtId="0" fontId="4" fillId="0" borderId="48" xfId="0" applyFont="1" applyBorder="1">
      <alignment vertical="center"/>
    </xf>
    <xf numFmtId="0" fontId="4" fillId="9" borderId="48" xfId="0" applyFont="1" applyFill="1" applyBorder="1" applyAlignment="1">
      <alignment horizontal="center" vertical="center"/>
    </xf>
    <xf numFmtId="0" fontId="5" fillId="0" borderId="48" xfId="0" applyFont="1" applyBorder="1">
      <alignment vertical="center"/>
    </xf>
    <xf numFmtId="0" fontId="4" fillId="0" borderId="49" xfId="0" applyFont="1" applyBorder="1">
      <alignment vertical="center"/>
    </xf>
    <xf numFmtId="0" fontId="4" fillId="21" borderId="48" xfId="0" applyFont="1" applyFill="1" applyBorder="1" applyAlignment="1">
      <alignment horizontal="center" vertical="center"/>
    </xf>
    <xf numFmtId="43" fontId="4" fillId="0" borderId="48" xfId="4" applyFont="1" applyFill="1" applyBorder="1" applyAlignment="1">
      <alignment vertical="top"/>
    </xf>
    <xf numFmtId="43" fontId="4" fillId="0" borderId="48" xfId="0" applyNumberFormat="1" applyFont="1" applyBorder="1" applyAlignment="1">
      <alignment horizontal="center" vertical="center"/>
    </xf>
    <xf numFmtId="43" fontId="4" fillId="21" borderId="48" xfId="0" applyNumberFormat="1" applyFont="1" applyFill="1" applyBorder="1" applyAlignment="1">
      <alignment horizontal="center" vertical="center"/>
    </xf>
    <xf numFmtId="43" fontId="4" fillId="21" borderId="50" xfId="0" applyNumberFormat="1" applyFont="1" applyFill="1" applyBorder="1" applyAlignment="1">
      <alignment horizontal="center" vertical="center"/>
    </xf>
    <xf numFmtId="0" fontId="4" fillId="0" borderId="51" xfId="0" applyFont="1" applyFill="1" applyBorder="1">
      <alignment vertical="center"/>
    </xf>
    <xf numFmtId="43" fontId="4" fillId="21" borderId="52" xfId="0" applyNumberFormat="1" applyFont="1" applyFill="1" applyBorder="1" applyAlignment="1">
      <alignment horizontal="center" vertical="center"/>
    </xf>
    <xf numFmtId="0" fontId="4" fillId="0" borderId="53" xfId="0" applyFont="1" applyFill="1" applyBorder="1">
      <alignment vertical="center"/>
    </xf>
    <xf numFmtId="0" fontId="4" fillId="0" borderId="54" xfId="0" applyFont="1" applyBorder="1">
      <alignment vertical="center"/>
    </xf>
    <xf numFmtId="0" fontId="4" fillId="0" borderId="54" xfId="0" applyFont="1" applyBorder="1" applyAlignment="1">
      <alignment horizontal="center" vertical="center"/>
    </xf>
    <xf numFmtId="41" fontId="4" fillId="9" borderId="55" xfId="4" applyNumberFormat="1" applyFont="1" applyFill="1" applyBorder="1" applyAlignment="1">
      <alignment horizontal="center" vertical="center"/>
    </xf>
    <xf numFmtId="43" fontId="4" fillId="21" borderId="55" xfId="4" applyFont="1" applyFill="1" applyBorder="1" applyAlignment="1">
      <alignment horizontal="center" vertical="center"/>
    </xf>
    <xf numFmtId="43" fontId="4" fillId="0" borderId="54" xfId="4" applyFont="1" applyBorder="1">
      <alignment vertical="center"/>
    </xf>
    <xf numFmtId="43" fontId="4" fillId="21" borderId="55" xfId="0" applyNumberFormat="1" applyFont="1" applyFill="1" applyBorder="1" applyAlignment="1">
      <alignment horizontal="center" vertical="center"/>
    </xf>
    <xf numFmtId="43" fontId="4" fillId="21" borderId="56" xfId="0" applyNumberFormat="1" applyFont="1" applyFill="1" applyBorder="1" applyAlignment="1">
      <alignment horizontal="center" vertical="center"/>
    </xf>
    <xf numFmtId="0" fontId="4" fillId="0" borderId="22" xfId="0" applyFont="1" applyFill="1" applyBorder="1" applyAlignment="1">
      <alignment horizontal="right" vertical="center"/>
    </xf>
    <xf numFmtId="43" fontId="4" fillId="0" borderId="23" xfId="4" applyFont="1" applyBorder="1">
      <alignment vertical="center"/>
    </xf>
    <xf numFmtId="0" fontId="6" fillId="8" borderId="47" xfId="0" applyFont="1" applyFill="1" applyBorder="1">
      <alignment vertical="center"/>
    </xf>
    <xf numFmtId="0" fontId="6" fillId="0" borderId="57" xfId="0" applyFont="1" applyBorder="1">
      <alignment vertical="center"/>
    </xf>
    <xf numFmtId="0" fontId="6" fillId="0" borderId="48" xfId="0" applyFont="1" applyBorder="1" applyAlignment="1">
      <alignment horizontal="center" vertical="center"/>
    </xf>
    <xf numFmtId="0" fontId="6" fillId="0" borderId="48" xfId="0" applyFont="1" applyBorder="1">
      <alignment vertical="center"/>
    </xf>
    <xf numFmtId="0" fontId="6" fillId="9" borderId="48" xfId="0" quotePrefix="1" applyFont="1" applyFill="1" applyBorder="1" applyAlignment="1">
      <alignment horizontal="center" vertical="center"/>
    </xf>
    <xf numFmtId="0" fontId="4" fillId="0" borderId="49" xfId="0" applyFont="1" applyFill="1" applyBorder="1" applyAlignment="1">
      <alignment horizontal="right" vertical="center"/>
    </xf>
    <xf numFmtId="43" fontId="46" fillId="21" borderId="48" xfId="4" applyFont="1" applyFill="1" applyBorder="1">
      <alignment vertical="center"/>
    </xf>
    <xf numFmtId="41" fontId="4" fillId="0" borderId="49" xfId="0" applyNumberFormat="1" applyFont="1" applyFill="1" applyBorder="1" applyAlignment="1">
      <alignment horizontal="center" vertical="center"/>
    </xf>
    <xf numFmtId="43" fontId="6" fillId="21" borderId="48" xfId="0" applyNumberFormat="1" applyFont="1" applyFill="1" applyBorder="1">
      <alignment vertical="center"/>
    </xf>
    <xf numFmtId="43" fontId="6" fillId="21" borderId="48" xfId="4" applyFont="1" applyFill="1" applyBorder="1">
      <alignment vertical="center"/>
    </xf>
    <xf numFmtId="0" fontId="6" fillId="0" borderId="58" xfId="0" applyFont="1" applyBorder="1">
      <alignment vertical="center"/>
    </xf>
    <xf numFmtId="0" fontId="4" fillId="8" borderId="59" xfId="0" applyFont="1" applyFill="1" applyBorder="1">
      <alignment vertical="center"/>
    </xf>
    <xf numFmtId="0" fontId="4" fillId="8" borderId="60" xfId="0" applyFont="1" applyFill="1" applyBorder="1">
      <alignment vertical="center"/>
    </xf>
    <xf numFmtId="0" fontId="4" fillId="0" borderId="61" xfId="0" applyFont="1" applyBorder="1">
      <alignment vertical="center"/>
    </xf>
    <xf numFmtId="0" fontId="4" fillId="8" borderId="62" xfId="0" applyFont="1" applyFill="1" applyBorder="1">
      <alignment vertical="center"/>
    </xf>
    <xf numFmtId="0" fontId="4" fillId="0" borderId="54" xfId="0" applyFont="1" applyBorder="1" applyAlignment="1">
      <alignment horizontal="right" vertical="center"/>
    </xf>
    <xf numFmtId="43" fontId="4" fillId="21" borderId="55" xfId="4" applyFont="1" applyFill="1" applyBorder="1">
      <alignment vertical="center"/>
    </xf>
    <xf numFmtId="43" fontId="4" fillId="0" borderId="54" xfId="4" applyFont="1" applyFill="1" applyBorder="1">
      <alignment vertical="center"/>
    </xf>
    <xf numFmtId="0" fontId="4" fillId="0" borderId="63" xfId="0" applyFont="1" applyBorder="1">
      <alignment vertical="center"/>
    </xf>
    <xf numFmtId="0" fontId="7" fillId="28" borderId="46" xfId="0" applyFont="1" applyFill="1" applyBorder="1" applyAlignment="1">
      <alignment horizontal="center" vertical="center"/>
    </xf>
    <xf numFmtId="0" fontId="69" fillId="2" borderId="13" xfId="0" applyFont="1" applyFill="1" applyBorder="1" applyAlignment="1">
      <alignment horizontal="center" vertical="center"/>
    </xf>
    <xf numFmtId="0" fontId="0" fillId="0" borderId="0" xfId="0" applyAlignment="1"/>
    <xf numFmtId="0" fontId="0" fillId="0" borderId="0" xfId="0" applyAlignment="1">
      <alignment horizontal="center"/>
    </xf>
    <xf numFmtId="0" fontId="0" fillId="0" borderId="0" xfId="0" applyBorder="1" applyAlignment="1">
      <alignment horizontal="center"/>
    </xf>
    <xf numFmtId="194" fontId="80" fillId="32" borderId="5" xfId="0" applyNumberFormat="1"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xf numFmtId="182" fontId="0" fillId="31" borderId="5" xfId="0" applyNumberFormat="1" applyFill="1" applyBorder="1" applyAlignment="1">
      <alignment horizontal="center" vertical="center"/>
    </xf>
    <xf numFmtId="0" fontId="83" fillId="33" borderId="5" xfId="0" applyFont="1" applyFill="1" applyBorder="1" applyAlignment="1"/>
    <xf numFmtId="0" fontId="82" fillId="33" borderId="5" xfId="0" applyFont="1" applyFill="1" applyBorder="1" applyAlignment="1">
      <alignment horizontal="center"/>
    </xf>
    <xf numFmtId="0" fontId="81" fillId="33" borderId="5" xfId="0" applyFont="1" applyFill="1" applyBorder="1" applyAlignment="1">
      <alignment horizontal="center"/>
    </xf>
    <xf numFmtId="0" fontId="84" fillId="33" borderId="5" xfId="0" applyFont="1" applyFill="1" applyBorder="1" applyAlignment="1">
      <alignment horizontal="center"/>
    </xf>
    <xf numFmtId="196" fontId="78" fillId="34" borderId="5" xfId="0" applyNumberFormat="1" applyFont="1" applyFill="1" applyBorder="1" applyAlignment="1">
      <alignment horizontal="center"/>
    </xf>
    <xf numFmtId="196" fontId="78" fillId="9" borderId="5" xfId="0" applyNumberFormat="1" applyFont="1" applyFill="1" applyBorder="1" applyAlignment="1">
      <alignment horizontal="center"/>
    </xf>
    <xf numFmtId="195" fontId="7" fillId="35" borderId="5" xfId="0" applyNumberFormat="1" applyFont="1" applyFill="1" applyBorder="1">
      <alignment vertical="center"/>
    </xf>
    <xf numFmtId="196" fontId="78" fillId="36" borderId="5" xfId="0" applyNumberFormat="1" applyFont="1" applyFill="1" applyBorder="1" applyAlignment="1">
      <alignment horizontal="center"/>
    </xf>
    <xf numFmtId="196" fontId="78" fillId="37" borderId="5" xfId="0" applyNumberFormat="1" applyFont="1" applyFill="1" applyBorder="1" applyAlignment="1">
      <alignment horizontal="center"/>
    </xf>
    <xf numFmtId="43" fontId="0" fillId="8" borderId="5" xfId="0" applyNumberFormat="1" applyFill="1" applyBorder="1">
      <alignment vertical="center"/>
    </xf>
    <xf numFmtId="0" fontId="0" fillId="8" borderId="5" xfId="0" applyFill="1" applyBorder="1" applyAlignment="1">
      <alignment horizontal="left" vertical="center"/>
    </xf>
    <xf numFmtId="198" fontId="0" fillId="0" borderId="0" xfId="0" applyNumberFormat="1" applyFill="1" applyAlignment="1">
      <alignment horizontal="center" vertical="center"/>
    </xf>
    <xf numFmtId="43" fontId="0" fillId="30" borderId="5" xfId="0" applyNumberFormat="1" applyFill="1" applyBorder="1" applyAlignment="1">
      <alignment horizontal="center" vertical="center"/>
    </xf>
    <xf numFmtId="0" fontId="0" fillId="0" borderId="22" xfId="0" applyFill="1" applyBorder="1">
      <alignment vertical="center"/>
    </xf>
    <xf numFmtId="0" fontId="71" fillId="2" borderId="5" xfId="0" applyFont="1" applyFill="1" applyBorder="1" applyAlignment="1">
      <alignment horizontal="center" vertical="center"/>
    </xf>
    <xf numFmtId="0" fontId="72" fillId="2" borderId="5" xfId="0" applyFont="1" applyFill="1" applyBorder="1" applyAlignment="1">
      <alignment horizontal="center" vertical="center"/>
    </xf>
    <xf numFmtId="192" fontId="4" fillId="0" borderId="5" xfId="4" applyNumberFormat="1" applyFont="1" applyBorder="1" applyAlignment="1">
      <alignment vertical="center"/>
    </xf>
    <xf numFmtId="183" fontId="4" fillId="0" borderId="5" xfId="4" applyNumberFormat="1" applyFont="1" applyBorder="1" applyAlignment="1">
      <alignment vertical="center"/>
    </xf>
    <xf numFmtId="9" fontId="4" fillId="20" borderId="5" xfId="0" applyNumberFormat="1" applyFont="1" applyFill="1" applyBorder="1" applyAlignment="1">
      <alignment horizontal="center" vertical="center"/>
    </xf>
    <xf numFmtId="43" fontId="6" fillId="21" borderId="5" xfId="4" applyFont="1" applyFill="1" applyBorder="1" applyAlignment="1">
      <alignment vertical="center"/>
    </xf>
    <xf numFmtId="192" fontId="6" fillId="21" borderId="5" xfId="4" applyNumberFormat="1" applyFont="1" applyFill="1" applyBorder="1" applyAlignment="1">
      <alignment vertical="center"/>
    </xf>
    <xf numFmtId="183" fontId="6" fillId="21" borderId="5" xfId="4" applyNumberFormat="1" applyFont="1" applyFill="1" applyBorder="1" applyAlignment="1">
      <alignment vertical="center"/>
    </xf>
    <xf numFmtId="192" fontId="4" fillId="21" borderId="5" xfId="4" applyNumberFormat="1" applyFont="1" applyFill="1" applyBorder="1" applyAlignment="1">
      <alignment vertical="center"/>
    </xf>
    <xf numFmtId="183" fontId="4" fillId="21" borderId="5" xfId="4" applyNumberFormat="1" applyFont="1" applyFill="1" applyBorder="1" applyAlignment="1">
      <alignment vertical="center"/>
    </xf>
    <xf numFmtId="0" fontId="36" fillId="0" borderId="5" xfId="0" applyFont="1" applyFill="1" applyBorder="1" applyAlignment="1">
      <alignment horizontal="left" vertical="center" wrapText="1"/>
    </xf>
    <xf numFmtId="0" fontId="34" fillId="0" borderId="27" xfId="0" applyFont="1" applyBorder="1" applyAlignment="1">
      <alignment wrapText="1"/>
    </xf>
    <xf numFmtId="0" fontId="34" fillId="0" borderId="7" xfId="0" applyFont="1" applyBorder="1" applyAlignment="1">
      <alignment wrapText="1"/>
    </xf>
    <xf numFmtId="43" fontId="31" fillId="0" borderId="0" xfId="0" applyNumberFormat="1" applyFont="1" applyBorder="1" applyAlignment="1">
      <alignment vertical="center"/>
    </xf>
    <xf numFmtId="0" fontId="4" fillId="0" borderId="5" xfId="0" applyFont="1" applyBorder="1" applyAlignment="1">
      <alignment horizontal="left" vertical="center"/>
    </xf>
    <xf numFmtId="0" fontId="6" fillId="5" borderId="5" xfId="0" applyFont="1" applyFill="1" applyBorder="1">
      <alignment vertical="center"/>
    </xf>
    <xf numFmtId="0" fontId="0" fillId="5" borderId="0" xfId="0" applyFill="1" applyAlignment="1">
      <alignment horizontal="center" vertical="center"/>
    </xf>
    <xf numFmtId="0" fontId="69" fillId="2" borderId="13" xfId="0" applyFont="1" applyFill="1" applyBorder="1" applyAlignment="1">
      <alignment horizontal="left" vertical="center"/>
    </xf>
    <xf numFmtId="182" fontId="4" fillId="6" borderId="5" xfId="0" applyNumberFormat="1" applyFont="1" applyFill="1" applyBorder="1" applyAlignment="1">
      <alignment horizontal="center" vertical="top"/>
    </xf>
    <xf numFmtId="0" fontId="7" fillId="2" borderId="0" xfId="0" applyFont="1" applyFill="1" applyAlignment="1">
      <alignment horizontal="center" vertical="center"/>
    </xf>
    <xf numFmtId="0" fontId="4" fillId="0" borderId="5" xfId="0" applyFont="1" applyFill="1" applyBorder="1" applyAlignment="1">
      <alignment horizontal="left" vertical="top"/>
    </xf>
    <xf numFmtId="0" fontId="4" fillId="0" borderId="5" xfId="0" applyFont="1" applyFill="1" applyBorder="1" applyAlignment="1">
      <alignment horizontal="center" vertical="center"/>
    </xf>
    <xf numFmtId="0" fontId="4" fillId="0" borderId="5" xfId="0" applyFont="1" applyFill="1" applyBorder="1" applyAlignment="1">
      <alignment horizontal="left" vertical="top"/>
    </xf>
    <xf numFmtId="0" fontId="21" fillId="0" borderId="7" xfId="6" applyFont="1" applyBorder="1" applyAlignment="1">
      <alignment vertical="center"/>
    </xf>
    <xf numFmtId="0" fontId="21" fillId="0" borderId="29" xfId="6" applyFont="1" applyBorder="1" applyAlignment="1">
      <alignment vertical="center"/>
    </xf>
    <xf numFmtId="0" fontId="85" fillId="0" borderId="7" xfId="6" applyFont="1" applyBorder="1" applyAlignment="1">
      <alignment vertical="center"/>
    </xf>
    <xf numFmtId="0" fontId="86" fillId="5" borderId="7" xfId="6" applyFont="1" applyFill="1" applyBorder="1" applyAlignment="1">
      <alignment vertical="center"/>
    </xf>
    <xf numFmtId="0" fontId="46" fillId="0" borderId="5" xfId="0" applyFont="1" applyFill="1" applyBorder="1" applyAlignment="1">
      <alignment horizontal="center" vertical="center"/>
    </xf>
    <xf numFmtId="3" fontId="4" fillId="0" borderId="5" xfId="4" applyNumberFormat="1" applyFont="1" applyFill="1" applyBorder="1" applyAlignment="1">
      <alignment horizontal="center" vertical="center"/>
    </xf>
    <xf numFmtId="3" fontId="4" fillId="0" borderId="5" xfId="0" applyNumberFormat="1" applyFont="1" applyFill="1" applyBorder="1" applyAlignment="1">
      <alignment horizontal="center" vertical="center"/>
    </xf>
    <xf numFmtId="182" fontId="0" fillId="9" borderId="5" xfId="0" applyNumberFormat="1" applyFill="1" applyBorder="1" applyAlignment="1">
      <alignment horizontal="center" vertical="center"/>
    </xf>
    <xf numFmtId="0" fontId="0" fillId="9" borderId="5" xfId="0" applyFill="1" applyBorder="1" applyAlignment="1">
      <alignment horizontal="center" vertical="center"/>
    </xf>
    <xf numFmtId="0" fontId="4" fillId="16" borderId="2" xfId="1" applyFont="1" applyFill="1" applyBorder="1" applyAlignment="1">
      <alignment vertical="center" wrapText="1"/>
    </xf>
    <xf numFmtId="0" fontId="4" fillId="16" borderId="2" xfId="1" applyFont="1" applyFill="1" applyBorder="1" applyAlignment="1">
      <alignment horizontal="left" vertical="top" wrapText="1"/>
    </xf>
    <xf numFmtId="0" fontId="55" fillId="16" borderId="2" xfId="1" applyFont="1" applyFill="1" applyBorder="1" applyAlignment="1">
      <alignment horizontal="left" vertical="top" wrapText="1"/>
    </xf>
    <xf numFmtId="49" fontId="4" fillId="16" borderId="2" xfId="1" applyNumberFormat="1" applyFont="1" applyFill="1" applyBorder="1" applyAlignment="1">
      <alignment horizontal="left" vertical="center" wrapText="1"/>
    </xf>
    <xf numFmtId="49" fontId="4" fillId="16" borderId="2" xfId="1" quotePrefix="1" applyNumberFormat="1" applyFont="1" applyFill="1" applyBorder="1" applyAlignment="1">
      <alignment horizontal="left" vertical="center" wrapText="1"/>
    </xf>
    <xf numFmtId="49" fontId="4" fillId="16" borderId="2" xfId="1" quotePrefix="1" applyNumberFormat="1" applyFont="1" applyFill="1" applyBorder="1" applyAlignment="1">
      <alignment vertical="center" wrapText="1"/>
    </xf>
    <xf numFmtId="49" fontId="4" fillId="16" borderId="2" xfId="1" applyNumberFormat="1" applyFont="1" applyFill="1" applyBorder="1" applyAlignment="1">
      <alignment vertical="center" wrapText="1"/>
    </xf>
    <xf numFmtId="0" fontId="4" fillId="16" borderId="2" xfId="1" quotePrefix="1" applyFont="1" applyFill="1" applyBorder="1" applyAlignment="1">
      <alignment vertical="center" wrapText="1"/>
    </xf>
    <xf numFmtId="0" fontId="4" fillId="0" borderId="5" xfId="0" applyFont="1" applyFill="1" applyBorder="1" applyAlignment="1">
      <alignment horizontal="center" vertical="top"/>
    </xf>
    <xf numFmtId="0" fontId="4" fillId="0" borderId="22" xfId="0" applyFont="1" applyFill="1" applyBorder="1" applyAlignment="1">
      <alignment horizontal="center" vertical="center"/>
    </xf>
    <xf numFmtId="0" fontId="6" fillId="5" borderId="5" xfId="0" applyFont="1" applyFill="1" applyBorder="1" applyAlignment="1">
      <alignment vertical="top" wrapText="1"/>
    </xf>
    <xf numFmtId="0" fontId="6" fillId="5" borderId="5" xfId="0" applyFont="1" applyFill="1" applyBorder="1" applyAlignment="1">
      <alignment vertical="center"/>
    </xf>
    <xf numFmtId="0" fontId="6" fillId="5" borderId="0" xfId="0" applyFont="1" applyFill="1" applyBorder="1" applyAlignment="1">
      <alignment vertical="center"/>
    </xf>
    <xf numFmtId="0" fontId="4" fillId="0" borderId="5" xfId="0" applyFont="1" applyFill="1" applyBorder="1" applyAlignment="1">
      <alignment horizontal="left" vertical="top" wrapText="1"/>
    </xf>
    <xf numFmtId="0" fontId="20" fillId="0" borderId="5" xfId="0" applyFont="1" applyBorder="1" applyAlignment="1">
      <alignment horizontal="left" vertical="top" wrapText="1"/>
    </xf>
    <xf numFmtId="0" fontId="20" fillId="0" borderId="22"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5" xfId="0" applyFont="1" applyFill="1" applyBorder="1" applyAlignment="1">
      <alignment horizontal="left" vertical="center" wrapText="1"/>
    </xf>
    <xf numFmtId="0" fontId="6" fillId="5" borderId="5" xfId="0" applyFont="1" applyFill="1" applyBorder="1" applyAlignment="1">
      <alignment horizontal="right" vertical="center"/>
    </xf>
    <xf numFmtId="0" fontId="4" fillId="21" borderId="12" xfId="0" applyFont="1" applyFill="1" applyBorder="1" applyAlignment="1">
      <alignment horizontal="center" vertical="center"/>
    </xf>
    <xf numFmtId="43" fontId="4" fillId="21" borderId="5" xfId="0" applyNumberFormat="1" applyFont="1" applyFill="1" applyBorder="1">
      <alignment vertical="center"/>
    </xf>
    <xf numFmtId="0" fontId="6" fillId="5" borderId="5" xfId="0" applyFont="1" applyFill="1" applyBorder="1" applyAlignment="1">
      <alignment horizontal="left" vertical="center"/>
    </xf>
    <xf numFmtId="0" fontId="25" fillId="5" borderId="5" xfId="0" applyFont="1" applyFill="1" applyBorder="1">
      <alignment vertical="center"/>
    </xf>
    <xf numFmtId="10" fontId="4" fillId="0" borderId="5" xfId="4" applyNumberFormat="1" applyFont="1" applyBorder="1" applyAlignment="1">
      <alignment horizontal="left" vertical="center"/>
    </xf>
    <xf numFmtId="43" fontId="4" fillId="14" borderId="5" xfId="4" applyFont="1" applyFill="1" applyBorder="1" applyAlignment="1">
      <alignment vertical="top"/>
    </xf>
    <xf numFmtId="199" fontId="4" fillId="0" borderId="5" xfId="4" applyNumberFormat="1" applyFont="1" applyBorder="1" applyAlignment="1">
      <alignment horizontal="left" vertical="center"/>
    </xf>
    <xf numFmtId="0" fontId="6" fillId="0" borderId="32" xfId="0" applyFont="1" applyFill="1" applyBorder="1" applyAlignment="1">
      <alignment vertical="center"/>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wrapText="1"/>
    </xf>
    <xf numFmtId="0" fontId="4" fillId="0" borderId="5" xfId="0" applyFont="1" applyFill="1" applyBorder="1" applyAlignment="1">
      <alignment horizontal="left" vertical="top"/>
    </xf>
    <xf numFmtId="43" fontId="46" fillId="14" borderId="5" xfId="0" applyNumberFormat="1" applyFont="1" applyFill="1" applyBorder="1" applyAlignment="1">
      <alignment vertical="center"/>
    </xf>
    <xf numFmtId="177" fontId="79" fillId="0" borderId="5" xfId="0" applyNumberFormat="1" applyFont="1" applyFill="1" applyBorder="1" applyAlignment="1">
      <alignment horizontal="center"/>
    </xf>
    <xf numFmtId="177" fontId="80" fillId="0" borderId="5" xfId="0" applyNumberFormat="1" applyFont="1" applyFill="1" applyBorder="1" applyAlignment="1">
      <alignment horizontal="right"/>
    </xf>
    <xf numFmtId="177" fontId="0" fillId="5" borderId="0" xfId="0" applyNumberFormat="1" applyFill="1" applyAlignment="1">
      <alignment horizontal="center" vertical="center"/>
    </xf>
    <xf numFmtId="0" fontId="4" fillId="0" borderId="5" xfId="0" applyNumberFormat="1" applyFont="1" applyFill="1" applyBorder="1" applyAlignment="1">
      <alignment vertical="center"/>
    </xf>
    <xf numFmtId="0" fontId="5" fillId="24" borderId="5" xfId="4" applyNumberFormat="1" applyFont="1" applyFill="1" applyBorder="1" applyAlignment="1">
      <alignment horizontal="center" vertical="center"/>
    </xf>
    <xf numFmtId="190" fontId="4" fillId="0" borderId="5" xfId="0" applyNumberFormat="1" applyFont="1" applyFill="1" applyBorder="1" applyAlignment="1">
      <alignment horizontal="center" vertical="top"/>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Border="1" applyAlignment="1">
      <alignment horizontal="center" vertical="center"/>
    </xf>
    <xf numFmtId="0" fontId="20" fillId="0" borderId="5" xfId="0" applyFont="1" applyBorder="1" applyAlignment="1">
      <alignment horizontal="left" vertical="top" wrapText="1"/>
    </xf>
    <xf numFmtId="0" fontId="4" fillId="0" borderId="5" xfId="0" applyFont="1" applyBorder="1" applyAlignment="1">
      <alignment horizontal="center" vertical="center"/>
    </xf>
    <xf numFmtId="0" fontId="69" fillId="2" borderId="22" xfId="0" applyFont="1" applyFill="1" applyBorder="1" applyAlignment="1">
      <alignment horizontal="left" vertical="center"/>
    </xf>
    <xf numFmtId="0" fontId="4" fillId="0" borderId="0" xfId="4" applyNumberFormat="1" applyFont="1" applyFill="1" applyBorder="1" applyAlignment="1">
      <alignment horizontal="center" vertical="center"/>
    </xf>
    <xf numFmtId="43" fontId="6" fillId="5" borderId="5" xfId="0" applyNumberFormat="1" applyFont="1" applyFill="1" applyBorder="1" applyAlignment="1">
      <alignment horizontal="center" vertical="center"/>
    </xf>
    <xf numFmtId="0" fontId="0" fillId="0" borderId="0" xfId="0" applyFill="1" applyBorder="1">
      <alignment vertical="center"/>
    </xf>
    <xf numFmtId="0" fontId="0" fillId="8" borderId="0" xfId="0" applyFill="1">
      <alignment vertical="center"/>
    </xf>
    <xf numFmtId="0" fontId="69" fillId="2" borderId="29" xfId="0" applyFont="1" applyFill="1" applyBorder="1" applyAlignment="1">
      <alignment horizontal="center" vertical="center"/>
    </xf>
    <xf numFmtId="0" fontId="0" fillId="0" borderId="0" xfId="0" applyBorder="1" applyAlignment="1">
      <alignment horizontal="center" vertical="center"/>
    </xf>
    <xf numFmtId="0" fontId="0" fillId="0" borderId="5" xfId="0" applyFill="1" applyBorder="1">
      <alignment vertical="center"/>
    </xf>
    <xf numFmtId="43" fontId="4" fillId="0" borderId="5" xfId="4" applyNumberFormat="1" applyFont="1" applyFill="1" applyBorder="1" applyAlignment="1">
      <alignment horizontal="right" vertical="center"/>
    </xf>
    <xf numFmtId="0" fontId="0" fillId="0" borderId="0" xfId="0" applyBorder="1" applyAlignment="1">
      <alignment vertical="center"/>
    </xf>
    <xf numFmtId="0" fontId="4" fillId="18" borderId="5" xfId="4" applyNumberFormat="1" applyFont="1" applyFill="1" applyBorder="1" applyAlignment="1">
      <alignment horizontal="center" vertical="center"/>
    </xf>
    <xf numFmtId="0" fontId="4" fillId="14" borderId="5" xfId="4" applyNumberFormat="1" applyFont="1" applyFill="1" applyBorder="1" applyAlignment="1">
      <alignment horizontal="center" vertical="center"/>
    </xf>
    <xf numFmtId="183" fontId="6" fillId="21" borderId="21" xfId="4" applyNumberFormat="1" applyFont="1" applyFill="1" applyBorder="1" applyAlignment="1">
      <alignment vertical="center"/>
    </xf>
    <xf numFmtId="0" fontId="4" fillId="8" borderId="22" xfId="0" applyFont="1" applyFill="1" applyBorder="1" applyAlignment="1">
      <alignment horizontal="left" vertical="top"/>
    </xf>
    <xf numFmtId="0" fontId="4" fillId="0" borderId="0" xfId="0" applyFont="1" applyFill="1" applyBorder="1" applyAlignment="1">
      <alignment horizontal="left" vertical="top"/>
    </xf>
    <xf numFmtId="183" fontId="6" fillId="21" borderId="21" xfId="4" applyNumberFormat="1" applyFont="1" applyFill="1" applyBorder="1" applyAlignment="1">
      <alignment vertical="top"/>
    </xf>
    <xf numFmtId="0" fontId="4" fillId="8" borderId="22" xfId="0" applyFont="1" applyFill="1" applyBorder="1">
      <alignment vertical="center"/>
    </xf>
    <xf numFmtId="0" fontId="4" fillId="0" borderId="0" xfId="0" applyFont="1" applyFill="1" applyBorder="1">
      <alignment vertical="center"/>
    </xf>
    <xf numFmtId="182" fontId="6" fillId="21" borderId="21" xfId="0" applyNumberFormat="1" applyFont="1" applyFill="1" applyBorder="1" applyAlignment="1">
      <alignment vertical="top"/>
    </xf>
    <xf numFmtId="0" fontId="25" fillId="38" borderId="5" xfId="0" applyFont="1" applyFill="1" applyBorder="1" applyAlignment="1">
      <alignment horizontal="center" vertical="center" wrapText="1"/>
    </xf>
    <xf numFmtId="0" fontId="4" fillId="38" borderId="5" xfId="4" applyNumberFormat="1" applyFont="1" applyFill="1" applyBorder="1" applyAlignment="1">
      <alignment horizontal="center" vertical="center"/>
    </xf>
    <xf numFmtId="0" fontId="4" fillId="36" borderId="5" xfId="4" applyNumberFormat="1" applyFont="1" applyFill="1" applyBorder="1" applyAlignment="1">
      <alignment horizontal="center" vertical="center"/>
    </xf>
    <xf numFmtId="0" fontId="25" fillId="38" borderId="5" xfId="0" applyFont="1" applyFill="1" applyBorder="1" applyAlignment="1">
      <alignment vertical="center" wrapText="1"/>
    </xf>
    <xf numFmtId="10" fontId="6" fillId="38" borderId="5" xfId="0" applyNumberFormat="1" applyFont="1" applyFill="1" applyBorder="1" applyAlignment="1">
      <alignment horizontal="center" vertical="center"/>
    </xf>
    <xf numFmtId="0" fontId="25" fillId="38" borderId="5" xfId="0" applyFont="1" applyFill="1" applyBorder="1">
      <alignment vertical="center"/>
    </xf>
    <xf numFmtId="0" fontId="4" fillId="39" borderId="5" xfId="4" applyNumberFormat="1" applyFont="1" applyFill="1" applyBorder="1" applyAlignment="1">
      <alignment horizontal="center" vertical="center"/>
    </xf>
    <xf numFmtId="0" fontId="4" fillId="39" borderId="5" xfId="0" applyNumberFormat="1" applyFont="1" applyFill="1" applyBorder="1" applyAlignment="1">
      <alignment horizontal="center" vertical="center"/>
    </xf>
    <xf numFmtId="0" fontId="25" fillId="18" borderId="5" xfId="0" applyFont="1" applyFill="1" applyBorder="1" applyAlignment="1">
      <alignment horizontal="center" vertical="center" wrapText="1"/>
    </xf>
    <xf numFmtId="0" fontId="25" fillId="14" borderId="5" xfId="0" applyFont="1" applyFill="1" applyBorder="1" applyAlignment="1">
      <alignment horizontal="center" vertical="center" wrapText="1"/>
    </xf>
    <xf numFmtId="0" fontId="25" fillId="18" borderId="5" xfId="0" applyFont="1" applyFill="1" applyBorder="1" applyAlignment="1">
      <alignment vertical="center" wrapText="1"/>
    </xf>
    <xf numFmtId="10" fontId="6" fillId="18" borderId="5" xfId="0" applyNumberFormat="1" applyFont="1" applyFill="1" applyBorder="1" applyAlignment="1">
      <alignment horizontal="center" vertical="center"/>
    </xf>
    <xf numFmtId="0" fontId="4" fillId="18" borderId="5" xfId="0" applyNumberFormat="1" applyFont="1" applyFill="1" applyBorder="1" applyAlignment="1">
      <alignment horizontal="center" vertical="center"/>
    </xf>
    <xf numFmtId="0" fontId="4" fillId="40" borderId="5" xfId="4" applyNumberFormat="1" applyFont="1" applyFill="1" applyBorder="1" applyAlignment="1">
      <alignment horizontal="center" vertical="center"/>
    </xf>
    <xf numFmtId="0" fontId="25" fillId="14" borderId="5" xfId="0" applyFont="1" applyFill="1" applyBorder="1" applyAlignment="1">
      <alignment vertical="center" wrapText="1"/>
    </xf>
    <xf numFmtId="10" fontId="6" fillId="14" borderId="5" xfId="0" applyNumberFormat="1" applyFont="1" applyFill="1" applyBorder="1" applyAlignment="1">
      <alignment horizontal="center" vertical="center"/>
    </xf>
    <xf numFmtId="3" fontId="4" fillId="14" borderId="5" xfId="4" applyNumberFormat="1" applyFont="1" applyFill="1" applyBorder="1" applyAlignment="1">
      <alignment horizontal="center" vertical="center"/>
    </xf>
    <xf numFmtId="177" fontId="4" fillId="14" borderId="5" xfId="4" applyNumberFormat="1" applyFont="1" applyFill="1" applyBorder="1" applyAlignment="1">
      <alignment horizontal="center" vertical="center"/>
    </xf>
    <xf numFmtId="0" fontId="4" fillId="42" borderId="5" xfId="4" applyNumberFormat="1" applyFont="1" applyFill="1" applyBorder="1" applyAlignment="1">
      <alignment horizontal="center" vertical="center"/>
    </xf>
    <xf numFmtId="0" fontId="25" fillId="43" borderId="5" xfId="0" applyFont="1" applyFill="1" applyBorder="1" applyAlignment="1">
      <alignment horizontal="center" vertical="center" wrapText="1"/>
    </xf>
    <xf numFmtId="0" fontId="4" fillId="43" borderId="5" xfId="4" applyNumberFormat="1" applyFont="1" applyFill="1" applyBorder="1" applyAlignment="1">
      <alignment horizontal="center" vertical="center"/>
    </xf>
    <xf numFmtId="0" fontId="4" fillId="43" borderId="26" xfId="4" applyNumberFormat="1" applyFont="1" applyFill="1" applyBorder="1" applyAlignment="1">
      <alignment horizontal="center" vertical="center"/>
    </xf>
    <xf numFmtId="10" fontId="6" fillId="43" borderId="22" xfId="0" applyNumberFormat="1" applyFont="1" applyFill="1" applyBorder="1" applyAlignment="1">
      <alignment horizontal="center" vertical="center"/>
    </xf>
    <xf numFmtId="10" fontId="6" fillId="0" borderId="5" xfId="0" applyNumberFormat="1" applyFont="1" applyFill="1" applyBorder="1" applyAlignment="1">
      <alignment horizontal="center" vertical="center"/>
    </xf>
    <xf numFmtId="0" fontId="25" fillId="36" borderId="5" xfId="0" applyNumberFormat="1" applyFont="1" applyFill="1" applyBorder="1" applyAlignment="1">
      <alignment horizontal="center" vertical="center"/>
    </xf>
    <xf numFmtId="0" fontId="8" fillId="8" borderId="31" xfId="0" applyFont="1" applyFill="1" applyBorder="1" applyAlignment="1">
      <alignment horizontal="center" vertical="center" wrapText="1"/>
    </xf>
    <xf numFmtId="200" fontId="6" fillId="8" borderId="5" xfId="4" applyNumberFormat="1" applyFont="1" applyFill="1" applyBorder="1" applyAlignment="1">
      <alignment horizontal="center" vertical="center"/>
    </xf>
    <xf numFmtId="10" fontId="6" fillId="8" borderId="5" xfId="0" applyNumberFormat="1" applyFont="1" applyFill="1" applyBorder="1" applyAlignment="1">
      <alignment horizontal="center" vertical="center"/>
    </xf>
    <xf numFmtId="0" fontId="6" fillId="8" borderId="5" xfId="0" applyNumberFormat="1" applyFont="1" applyFill="1" applyBorder="1" applyAlignment="1">
      <alignment horizontal="center" vertical="center"/>
    </xf>
    <xf numFmtId="43" fontId="4" fillId="8" borderId="5" xfId="4" applyFont="1" applyFill="1" applyBorder="1" applyAlignment="1">
      <alignment horizontal="center" vertical="center"/>
    </xf>
    <xf numFmtId="182" fontId="69" fillId="2" borderId="29" xfId="0" applyNumberFormat="1" applyFont="1" applyFill="1" applyBorder="1" applyAlignment="1">
      <alignment horizontal="center" vertical="center"/>
    </xf>
    <xf numFmtId="0" fontId="88" fillId="0" borderId="0" xfId="0" applyFont="1">
      <alignment vertical="center"/>
    </xf>
    <xf numFmtId="10" fontId="6" fillId="0" borderId="22" xfId="0" applyNumberFormat="1" applyFont="1" applyFill="1" applyBorder="1" applyAlignment="1">
      <alignment horizontal="center" vertical="center"/>
    </xf>
    <xf numFmtId="41" fontId="0" fillId="0" borderId="0" xfId="0" applyNumberFormat="1">
      <alignment vertical="center"/>
    </xf>
    <xf numFmtId="10" fontId="6" fillId="14" borderId="22" xfId="0" applyNumberFormat="1" applyFont="1" applyFill="1" applyBorder="1" applyAlignment="1">
      <alignment horizontal="center" vertical="center"/>
    </xf>
    <xf numFmtId="10" fontId="6" fillId="38" borderId="22" xfId="0" applyNumberFormat="1" applyFont="1" applyFill="1" applyBorder="1" applyAlignment="1">
      <alignment horizontal="center" vertical="center"/>
    </xf>
    <xf numFmtId="10" fontId="6" fillId="43" borderId="5" xfId="0" applyNumberFormat="1" applyFont="1" applyFill="1" applyBorder="1" applyAlignment="1">
      <alignment horizontal="center" vertical="center"/>
    </xf>
    <xf numFmtId="10" fontId="6" fillId="18" borderId="22" xfId="0" applyNumberFormat="1" applyFont="1" applyFill="1" applyBorder="1" applyAlignment="1">
      <alignment horizontal="center" vertical="center"/>
    </xf>
    <xf numFmtId="41" fontId="69" fillId="2" borderId="26" xfId="0" applyNumberFormat="1" applyFont="1" applyFill="1" applyBorder="1" applyAlignment="1">
      <alignment horizontal="center" vertical="center"/>
    </xf>
    <xf numFmtId="0" fontId="0" fillId="14" borderId="0" xfId="0" applyFill="1">
      <alignment vertical="center"/>
    </xf>
    <xf numFmtId="0" fontId="0" fillId="38" borderId="0" xfId="0" applyFill="1">
      <alignment vertical="center"/>
    </xf>
    <xf numFmtId="0" fontId="0" fillId="18" borderId="0" xfId="0" applyFill="1">
      <alignment vertical="center"/>
    </xf>
    <xf numFmtId="0" fontId="0" fillId="10" borderId="0" xfId="0" applyFill="1">
      <alignment vertical="center"/>
    </xf>
    <xf numFmtId="0" fontId="6" fillId="0" borderId="10" xfId="0" applyFont="1" applyFill="1" applyBorder="1">
      <alignment vertical="center"/>
    </xf>
    <xf numFmtId="10" fontId="6" fillId="0" borderId="10" xfId="0" applyNumberFormat="1" applyFont="1" applyFill="1" applyBorder="1" applyAlignment="1">
      <alignment horizontal="center" vertical="center"/>
    </xf>
    <xf numFmtId="0" fontId="6" fillId="0" borderId="10" xfId="0" applyFont="1" applyFill="1" applyBorder="1" applyAlignment="1">
      <alignment horizontal="center" vertical="center"/>
    </xf>
    <xf numFmtId="0" fontId="6" fillId="0" borderId="32" xfId="0" applyFont="1" applyFill="1" applyBorder="1">
      <alignment vertical="center"/>
    </xf>
    <xf numFmtId="10" fontId="6" fillId="0" borderId="32" xfId="0" applyNumberFormat="1" applyFont="1" applyFill="1" applyBorder="1" applyAlignment="1">
      <alignment horizontal="center" vertical="center"/>
    </xf>
    <xf numFmtId="0" fontId="6" fillId="0" borderId="32" xfId="0" applyFont="1" applyFill="1" applyBorder="1" applyAlignment="1">
      <alignment horizontal="center" vertical="center"/>
    </xf>
    <xf numFmtId="10" fontId="6" fillId="0" borderId="5" xfId="0" applyNumberFormat="1" applyFont="1" applyBorder="1" applyAlignment="1">
      <alignment horizontal="center" vertical="center"/>
    </xf>
    <xf numFmtId="0" fontId="89" fillId="0" borderId="5" xfId="0" applyFont="1" applyBorder="1" applyAlignment="1">
      <alignment horizontal="center" vertical="center" wrapText="1" readingOrder="1"/>
    </xf>
    <xf numFmtId="0" fontId="6" fillId="0" borderId="70" xfId="0" applyFont="1" applyFill="1" applyBorder="1" applyAlignment="1">
      <alignment horizontal="left" vertical="center" wrapText="1" readingOrder="1"/>
    </xf>
    <xf numFmtId="10" fontId="6" fillId="0" borderId="70" xfId="0" applyNumberFormat="1" applyFont="1" applyBorder="1" applyAlignment="1">
      <alignment horizontal="center" vertical="center"/>
    </xf>
    <xf numFmtId="0" fontId="89" fillId="0" borderId="70" xfId="0" applyFont="1" applyBorder="1" applyAlignment="1">
      <alignment horizontal="center" vertical="center" wrapText="1" readingOrder="1"/>
    </xf>
    <xf numFmtId="0" fontId="6" fillId="0" borderId="69" xfId="0" applyFont="1" applyBorder="1" applyAlignment="1">
      <alignment horizontal="center" vertical="center" wrapText="1"/>
    </xf>
    <xf numFmtId="0" fontId="6" fillId="0" borderId="10" xfId="0" applyFont="1" applyFill="1" applyBorder="1" applyAlignment="1">
      <alignment vertical="center"/>
    </xf>
    <xf numFmtId="10" fontId="6" fillId="0" borderId="32" xfId="0" applyNumberFormat="1" applyFont="1" applyBorder="1" applyAlignment="1">
      <alignment horizontal="center" vertical="center"/>
    </xf>
    <xf numFmtId="0" fontId="89" fillId="0" borderId="32" xfId="0" applyFont="1" applyBorder="1" applyAlignment="1">
      <alignment horizontal="center" vertical="center" wrapText="1" readingOrder="1"/>
    </xf>
    <xf numFmtId="0" fontId="6" fillId="0" borderId="10" xfId="0" applyFont="1" applyFill="1" applyBorder="1" applyAlignment="1">
      <alignment horizontal="left" vertical="center" wrapText="1" readingOrder="1"/>
    </xf>
    <xf numFmtId="10" fontId="6" fillId="0" borderId="10" xfId="0" applyNumberFormat="1" applyFont="1" applyBorder="1" applyAlignment="1">
      <alignment horizontal="center" vertical="center"/>
    </xf>
    <xf numFmtId="0" fontId="89" fillId="0" borderId="10" xfId="0" applyFont="1" applyBorder="1" applyAlignment="1">
      <alignment horizontal="center" vertical="center" wrapText="1" readingOrder="1"/>
    </xf>
    <xf numFmtId="0" fontId="7" fillId="2" borderId="44" xfId="0" applyFont="1" applyFill="1" applyBorder="1" applyAlignment="1">
      <alignment horizontal="center" vertical="center" wrapText="1"/>
    </xf>
    <xf numFmtId="0" fontId="0" fillId="0" borderId="22" xfId="0" applyFill="1" applyBorder="1" applyAlignment="1">
      <alignment vertical="center"/>
    </xf>
    <xf numFmtId="43" fontId="4" fillId="0" borderId="22" xfId="4" applyNumberFormat="1" applyFont="1" applyFill="1" applyBorder="1" applyAlignment="1">
      <alignment vertical="center"/>
    </xf>
    <xf numFmtId="0" fontId="0" fillId="14" borderId="5" xfId="0" applyFill="1" applyBorder="1" applyAlignment="1">
      <alignment horizontal="center" vertical="center"/>
    </xf>
    <xf numFmtId="0" fontId="0" fillId="14" borderId="5" xfId="0" applyFill="1" applyBorder="1">
      <alignment vertical="center"/>
    </xf>
    <xf numFmtId="0" fontId="0" fillId="41" borderId="0" xfId="0" applyFill="1">
      <alignment vertical="center"/>
    </xf>
    <xf numFmtId="0" fontId="0" fillId="18" borderId="0" xfId="0" applyFill="1" applyAlignment="1">
      <alignment horizontal="center" vertical="center"/>
    </xf>
    <xf numFmtId="0" fontId="0" fillId="43" borderId="0" xfId="0" applyFill="1">
      <alignment vertical="center"/>
    </xf>
    <xf numFmtId="0" fontId="0" fillId="43" borderId="5" xfId="0" applyFill="1" applyBorder="1">
      <alignment vertical="center"/>
    </xf>
    <xf numFmtId="0" fontId="0" fillId="43" borderId="5" xfId="0" applyFill="1" applyBorder="1" applyAlignment="1">
      <alignment horizontal="center" vertical="center"/>
    </xf>
    <xf numFmtId="201" fontId="68" fillId="0" borderId="10" xfId="0" applyNumberFormat="1" applyFont="1" applyFill="1" applyBorder="1" applyAlignment="1">
      <alignment horizontal="center" vertical="center"/>
    </xf>
    <xf numFmtId="201" fontId="68" fillId="0" borderId="5" xfId="0" applyNumberFormat="1" applyFont="1" applyFill="1" applyBorder="1" applyAlignment="1">
      <alignment horizontal="center" vertical="center"/>
    </xf>
    <xf numFmtId="201" fontId="68" fillId="0" borderId="32" xfId="0" applyNumberFormat="1" applyFont="1" applyFill="1" applyBorder="1" applyAlignment="1">
      <alignment horizontal="center" vertical="center"/>
    </xf>
    <xf numFmtId="201" fontId="68" fillId="0" borderId="70" xfId="0" applyNumberFormat="1" applyFont="1" applyFill="1" applyBorder="1" applyAlignment="1">
      <alignment horizontal="center" vertical="center"/>
    </xf>
    <xf numFmtId="201" fontId="68" fillId="44" borderId="5" xfId="0" applyNumberFormat="1" applyFont="1" applyFill="1" applyBorder="1" applyAlignment="1">
      <alignment horizontal="center" vertical="center"/>
    </xf>
    <xf numFmtId="0" fontId="28" fillId="18" borderId="10" xfId="0" applyNumberFormat="1" applyFont="1" applyFill="1" applyBorder="1" applyAlignment="1">
      <alignment horizontal="center" vertical="center"/>
    </xf>
    <xf numFmtId="0" fontId="28" fillId="18" borderId="5" xfId="0" applyNumberFormat="1" applyFont="1" applyFill="1" applyBorder="1" applyAlignment="1">
      <alignment horizontal="center" vertical="center"/>
    </xf>
    <xf numFmtId="0" fontId="90" fillId="41" borderId="10" xfId="0" applyNumberFormat="1" applyFont="1" applyFill="1" applyBorder="1" applyAlignment="1">
      <alignment horizontal="center" vertical="center"/>
    </xf>
    <xf numFmtId="0" fontId="90" fillId="41" borderId="5" xfId="0" applyNumberFormat="1" applyFont="1" applyFill="1" applyBorder="1" applyAlignment="1">
      <alignment horizontal="center" vertical="center"/>
    </xf>
    <xf numFmtId="0" fontId="0" fillId="8" borderId="5" xfId="0" applyNumberFormat="1" applyFont="1" applyFill="1" applyBorder="1" applyAlignment="1">
      <alignment horizontal="center" vertical="center"/>
    </xf>
    <xf numFmtId="0" fontId="0" fillId="41" borderId="5" xfId="0" applyNumberFormat="1" applyFont="1" applyFill="1" applyBorder="1" applyAlignment="1">
      <alignment horizontal="center" vertical="center"/>
    </xf>
    <xf numFmtId="0" fontId="0" fillId="41" borderId="32" xfId="0" applyNumberFormat="1" applyFont="1" applyFill="1" applyBorder="1" applyAlignment="1">
      <alignment horizontal="center" vertical="center"/>
    </xf>
    <xf numFmtId="0" fontId="0" fillId="14" borderId="10" xfId="0" applyNumberFormat="1" applyFont="1" applyFill="1" applyBorder="1" applyAlignment="1">
      <alignment horizontal="center" vertical="center"/>
    </xf>
    <xf numFmtId="0" fontId="0" fillId="14" borderId="5" xfId="0" applyNumberFormat="1" applyFont="1" applyFill="1" applyBorder="1" applyAlignment="1">
      <alignment horizontal="center" vertical="center"/>
    </xf>
    <xf numFmtId="0" fontId="0" fillId="8" borderId="32" xfId="0" applyNumberFormat="1" applyFont="1" applyFill="1" applyBorder="1" applyAlignment="1">
      <alignment horizontal="center" vertical="center"/>
    </xf>
    <xf numFmtId="0" fontId="0" fillId="8" borderId="5" xfId="0" applyFont="1" applyFill="1" applyBorder="1" applyAlignment="1">
      <alignment horizontal="center" vertical="center"/>
    </xf>
    <xf numFmtId="0" fontId="6" fillId="0" borderId="10" xfId="0" applyFont="1" applyFill="1" applyBorder="1" applyAlignment="1">
      <alignment horizontal="left" vertical="center"/>
    </xf>
    <xf numFmtId="0" fontId="0" fillId="8" borderId="10" xfId="0" applyFont="1" applyFill="1" applyBorder="1" applyAlignment="1">
      <alignment horizontal="center" vertical="center"/>
    </xf>
    <xf numFmtId="10" fontId="0" fillId="0" borderId="0" xfId="0" applyNumberFormat="1">
      <alignment vertical="center"/>
    </xf>
    <xf numFmtId="41" fontId="69" fillId="0" borderId="0" xfId="0" applyNumberFormat="1" applyFont="1" applyFill="1" applyBorder="1" applyAlignment="1">
      <alignment horizontal="center" vertical="center"/>
    </xf>
    <xf numFmtId="41" fontId="69" fillId="2" borderId="5" xfId="0" applyNumberFormat="1" applyFont="1" applyFill="1" applyBorder="1" applyAlignment="1">
      <alignment horizontal="center" vertical="center"/>
    </xf>
    <xf numFmtId="0" fontId="69" fillId="2" borderId="5" xfId="0" applyNumberFormat="1" applyFont="1" applyFill="1" applyBorder="1" applyAlignment="1">
      <alignment horizontal="center" vertical="center"/>
    </xf>
    <xf numFmtId="180" fontId="69" fillId="2" borderId="5" xfId="0" applyNumberFormat="1" applyFont="1" applyFill="1" applyBorder="1" applyAlignment="1">
      <alignment horizontal="center" vertical="center"/>
    </xf>
    <xf numFmtId="0" fontId="7" fillId="15" borderId="14" xfId="0" applyFont="1" applyFill="1" applyBorder="1" applyAlignment="1">
      <alignment vertical="center"/>
    </xf>
    <xf numFmtId="0" fontId="69" fillId="15" borderId="74" xfId="0" applyFont="1" applyFill="1" applyBorder="1" applyAlignment="1">
      <alignment vertical="center"/>
    </xf>
    <xf numFmtId="10" fontId="0" fillId="0" borderId="5" xfId="0" applyNumberFormat="1" applyBorder="1">
      <alignment vertical="center"/>
    </xf>
    <xf numFmtId="10" fontId="0" fillId="0" borderId="5" xfId="0" applyNumberFormat="1" applyBorder="1" applyAlignment="1">
      <alignment horizontal="center" vertical="center"/>
    </xf>
    <xf numFmtId="0" fontId="0" fillId="0" borderId="5" xfId="0" applyBorder="1" applyAlignment="1">
      <alignment horizontal="center" vertical="center"/>
    </xf>
    <xf numFmtId="0" fontId="6" fillId="0" borderId="5" xfId="0" applyFont="1" applyFill="1" applyBorder="1" applyAlignment="1">
      <alignment vertical="center" wrapText="1"/>
    </xf>
    <xf numFmtId="0" fontId="0" fillId="0" borderId="12" xfId="0" applyBorder="1">
      <alignment vertical="center"/>
    </xf>
    <xf numFmtId="0" fontId="89" fillId="0" borderId="10" xfId="0" applyFont="1" applyFill="1" applyBorder="1" applyAlignment="1">
      <alignment horizontal="center" vertical="center" wrapText="1" readingOrder="1"/>
    </xf>
    <xf numFmtId="0" fontId="89" fillId="0" borderId="32" xfId="0" applyFont="1" applyFill="1" applyBorder="1" applyAlignment="1">
      <alignment horizontal="center" vertical="center" wrapText="1" readingOrder="1"/>
    </xf>
    <xf numFmtId="0" fontId="0" fillId="0" borderId="10" xfId="0" applyBorder="1">
      <alignment vertical="center"/>
    </xf>
    <xf numFmtId="0" fontId="6" fillId="0" borderId="32" xfId="0" applyFont="1" applyFill="1" applyBorder="1" applyAlignment="1">
      <alignment vertical="center" wrapText="1"/>
    </xf>
    <xf numFmtId="0" fontId="6" fillId="0" borderId="5" xfId="0" applyFont="1" applyFill="1" applyBorder="1" applyAlignment="1">
      <alignment horizontal="left" vertical="top" wrapText="1"/>
    </xf>
    <xf numFmtId="0" fontId="6" fillId="0" borderId="10" xfId="0" applyFont="1" applyFill="1" applyBorder="1" applyAlignment="1">
      <alignment horizontal="left" vertical="center" wrapText="1"/>
    </xf>
    <xf numFmtId="0" fontId="6" fillId="0" borderId="10" xfId="0" applyFont="1" applyFill="1" applyBorder="1" applyAlignment="1">
      <alignment vertical="center" wrapText="1"/>
    </xf>
    <xf numFmtId="0" fontId="6" fillId="0" borderId="0" xfId="0" applyFont="1" applyFill="1" applyBorder="1" applyAlignment="1">
      <alignment vertical="center" wrapText="1" readingOrder="1"/>
    </xf>
    <xf numFmtId="0" fontId="6" fillId="0" borderId="69" xfId="0" applyFont="1" applyFill="1" applyBorder="1" applyAlignment="1">
      <alignment vertical="center" wrapText="1" readingOrder="1"/>
    </xf>
    <xf numFmtId="0" fontId="25" fillId="0" borderId="70" xfId="0" applyFont="1" applyFill="1" applyBorder="1">
      <alignment vertical="center"/>
    </xf>
    <xf numFmtId="10" fontId="6" fillId="0" borderId="70" xfId="0" applyNumberFormat="1" applyFont="1" applyFill="1" applyBorder="1" applyAlignment="1">
      <alignment horizontal="center" vertical="center"/>
    </xf>
    <xf numFmtId="0" fontId="89" fillId="0" borderId="70" xfId="0" applyFont="1" applyFill="1" applyBorder="1" applyAlignment="1">
      <alignment horizontal="center" vertical="center" wrapText="1" readingOrder="1"/>
    </xf>
    <xf numFmtId="0" fontId="0" fillId="8" borderId="5" xfId="0" applyNumberFormat="1" applyFill="1" applyBorder="1" applyAlignment="1">
      <alignment horizontal="center" vertical="center"/>
    </xf>
    <xf numFmtId="0" fontId="0" fillId="45" borderId="5" xfId="0" applyNumberFormat="1" applyFill="1" applyBorder="1" applyAlignment="1">
      <alignment horizontal="center" vertical="center"/>
    </xf>
    <xf numFmtId="0" fontId="0" fillId="14" borderId="5" xfId="0" applyNumberFormat="1" applyFill="1" applyBorder="1" applyAlignment="1">
      <alignment horizontal="center" vertical="center"/>
    </xf>
    <xf numFmtId="0" fontId="0" fillId="18" borderId="5" xfId="0" applyNumberFormat="1" applyFill="1" applyBorder="1" applyAlignment="1">
      <alignment horizontal="center" vertical="center"/>
    </xf>
    <xf numFmtId="0" fontId="0" fillId="38" borderId="2" xfId="0" applyNumberFormat="1" applyFill="1" applyBorder="1" applyAlignment="1">
      <alignment horizontal="center" vertical="center"/>
    </xf>
    <xf numFmtId="0" fontId="0" fillId="8" borderId="5" xfId="0" applyFill="1" applyBorder="1" applyAlignment="1">
      <alignment horizontal="center" vertical="center"/>
    </xf>
    <xf numFmtId="0" fontId="0" fillId="18" borderId="5" xfId="0" applyFill="1" applyBorder="1" applyAlignment="1">
      <alignment horizontal="center" vertical="center"/>
    </xf>
    <xf numFmtId="0" fontId="0" fillId="38" borderId="2" xfId="0" applyFill="1" applyBorder="1" applyAlignment="1">
      <alignment horizontal="center" vertical="center"/>
    </xf>
    <xf numFmtId="0" fontId="0" fillId="45" borderId="5" xfId="0" applyFill="1" applyBorder="1" applyAlignment="1">
      <alignment horizontal="center" vertical="center"/>
    </xf>
    <xf numFmtId="182" fontId="0" fillId="8" borderId="10" xfId="0" applyNumberFormat="1" applyFill="1" applyBorder="1" applyAlignment="1">
      <alignment horizontal="center" vertical="center"/>
    </xf>
    <xf numFmtId="182" fontId="0" fillId="45" borderId="10" xfId="0" applyNumberFormat="1" applyFill="1" applyBorder="1" applyAlignment="1">
      <alignment horizontal="center" vertical="center"/>
    </xf>
    <xf numFmtId="182" fontId="0" fillId="14" borderId="10" xfId="0" applyNumberFormat="1" applyFill="1" applyBorder="1" applyAlignment="1">
      <alignment horizontal="center" vertical="center"/>
    </xf>
    <xf numFmtId="182" fontId="0" fillId="18" borderId="10" xfId="0" applyNumberFormat="1" applyFill="1" applyBorder="1" applyAlignment="1">
      <alignment horizontal="center" vertical="center"/>
    </xf>
    <xf numFmtId="0" fontId="0" fillId="0" borderId="2" xfId="0" applyBorder="1" applyAlignment="1">
      <alignment horizontal="center" vertical="center"/>
    </xf>
    <xf numFmtId="10" fontId="0" fillId="8" borderId="5" xfId="0" applyNumberFormat="1" applyFill="1" applyBorder="1" applyAlignment="1">
      <alignment horizontal="center" vertical="center"/>
    </xf>
    <xf numFmtId="10" fontId="0" fillId="14" borderId="5" xfId="0" applyNumberFormat="1" applyFill="1" applyBorder="1" applyAlignment="1">
      <alignment horizontal="center" vertical="center"/>
    </xf>
    <xf numFmtId="10" fontId="0" fillId="18" borderId="5" xfId="0" applyNumberFormat="1" applyFill="1" applyBorder="1" applyAlignment="1">
      <alignment horizontal="center" vertical="center"/>
    </xf>
    <xf numFmtId="10" fontId="0" fillId="38" borderId="2" xfId="0" applyNumberFormat="1" applyFill="1" applyBorder="1" applyAlignment="1">
      <alignment horizontal="center" vertical="center"/>
    </xf>
    <xf numFmtId="185" fontId="0" fillId="8" borderId="10" xfId="0" applyNumberFormat="1" applyFill="1" applyBorder="1" applyAlignment="1">
      <alignment horizontal="center" vertical="center"/>
    </xf>
    <xf numFmtId="185" fontId="0" fillId="45" borderId="10" xfId="0" applyNumberFormat="1" applyFill="1" applyBorder="1" applyAlignment="1">
      <alignment horizontal="center" vertical="center"/>
    </xf>
    <xf numFmtId="185" fontId="0" fillId="14" borderId="10" xfId="0" applyNumberFormat="1" applyFill="1" applyBorder="1" applyAlignment="1">
      <alignment horizontal="center" vertical="center"/>
    </xf>
    <xf numFmtId="185" fontId="0" fillId="18" borderId="10" xfId="0" applyNumberFormat="1" applyFill="1" applyBorder="1" applyAlignment="1">
      <alignment horizontal="center" vertical="center"/>
    </xf>
    <xf numFmtId="185" fontId="0" fillId="8" borderId="5" xfId="0" applyNumberFormat="1" applyFill="1" applyBorder="1" applyAlignment="1">
      <alignment horizontal="center" vertical="center"/>
    </xf>
    <xf numFmtId="185" fontId="0" fillId="45" borderId="5" xfId="0" applyNumberFormat="1" applyFill="1" applyBorder="1" applyAlignment="1">
      <alignment horizontal="center" vertical="center"/>
    </xf>
    <xf numFmtId="185" fontId="0" fillId="14" borderId="5" xfId="0" applyNumberFormat="1" applyFill="1" applyBorder="1" applyAlignment="1">
      <alignment horizontal="center" vertical="center"/>
    </xf>
    <xf numFmtId="185" fontId="0" fillId="18" borderId="5" xfId="0" applyNumberFormat="1" applyFill="1" applyBorder="1" applyAlignment="1">
      <alignment horizontal="center" vertical="center"/>
    </xf>
    <xf numFmtId="185" fontId="0" fillId="38" borderId="2" xfId="0" applyNumberFormat="1" applyFill="1" applyBorder="1" applyAlignment="1">
      <alignment horizontal="center" vertical="center"/>
    </xf>
    <xf numFmtId="0" fontId="89" fillId="0" borderId="10" xfId="0" applyFont="1" applyFill="1" applyBorder="1" applyAlignment="1">
      <alignment horizontal="left" vertical="center" wrapText="1" readingOrder="1"/>
    </xf>
    <xf numFmtId="0" fontId="90" fillId="0" borderId="5" xfId="0" applyFont="1" applyBorder="1">
      <alignment vertical="center"/>
    </xf>
    <xf numFmtId="0" fontId="90" fillId="0" borderId="5" xfId="0" applyFont="1" applyFill="1" applyBorder="1">
      <alignment vertical="center"/>
    </xf>
    <xf numFmtId="0" fontId="90" fillId="0" borderId="10" xfId="0" applyFont="1" applyBorder="1">
      <alignment vertical="center"/>
    </xf>
    <xf numFmtId="0" fontId="90" fillId="0" borderId="70" xfId="0" applyFont="1" applyBorder="1">
      <alignment vertical="center"/>
    </xf>
    <xf numFmtId="0" fontId="90" fillId="45" borderId="5" xfId="0" applyFont="1" applyFill="1" applyBorder="1" applyAlignment="1">
      <alignment horizontal="center" vertical="center"/>
    </xf>
    <xf numFmtId="0" fontId="90" fillId="14" borderId="5" xfId="0" applyFont="1" applyFill="1" applyBorder="1" applyAlignment="1">
      <alignment horizontal="center" vertical="center"/>
    </xf>
    <xf numFmtId="0" fontId="90" fillId="18" borderId="5" xfId="0" applyFont="1" applyFill="1" applyBorder="1" applyAlignment="1">
      <alignment horizontal="center" vertical="center"/>
    </xf>
    <xf numFmtId="0" fontId="90" fillId="38" borderId="2" xfId="0" applyFont="1" applyFill="1" applyBorder="1" applyAlignment="1">
      <alignment horizontal="center" vertical="center"/>
    </xf>
    <xf numFmtId="177" fontId="0" fillId="0" borderId="5" xfId="0" applyNumberFormat="1" applyFill="1" applyBorder="1">
      <alignment vertical="center"/>
    </xf>
    <xf numFmtId="177" fontId="0" fillId="8" borderId="5" xfId="0" applyNumberFormat="1" applyFill="1" applyBorder="1" applyAlignment="1">
      <alignment horizontal="center" vertical="center"/>
    </xf>
    <xf numFmtId="177" fontId="0" fillId="14" borderId="5" xfId="0" applyNumberFormat="1" applyFill="1" applyBorder="1" applyAlignment="1">
      <alignment horizontal="center" vertical="center"/>
    </xf>
    <xf numFmtId="177" fontId="0" fillId="18" borderId="5" xfId="0" applyNumberFormat="1" applyFill="1" applyBorder="1" applyAlignment="1">
      <alignment horizontal="center" vertical="center"/>
    </xf>
    <xf numFmtId="177" fontId="0" fillId="38" borderId="2" xfId="0" applyNumberFormat="1" applyFill="1" applyBorder="1" applyAlignment="1">
      <alignment horizontal="center" vertical="center"/>
    </xf>
    <xf numFmtId="0" fontId="0" fillId="0" borderId="5" xfId="0" applyNumberFormat="1" applyBorder="1">
      <alignment vertical="center"/>
    </xf>
    <xf numFmtId="0" fontId="90" fillId="43" borderId="10" xfId="0" applyNumberFormat="1" applyFont="1" applyFill="1" applyBorder="1" applyAlignment="1">
      <alignment horizontal="center" vertical="center"/>
    </xf>
    <xf numFmtId="0" fontId="90" fillId="8" borderId="5" xfId="0" applyNumberFormat="1" applyFont="1" applyFill="1" applyBorder="1" applyAlignment="1">
      <alignment horizontal="center" vertical="center"/>
    </xf>
    <xf numFmtId="0" fontId="90" fillId="45" borderId="5" xfId="0" applyNumberFormat="1" applyFont="1" applyFill="1" applyBorder="1" applyAlignment="1">
      <alignment horizontal="center" vertical="center"/>
    </xf>
    <xf numFmtId="0" fontId="90" fillId="14" borderId="5" xfId="0" applyNumberFormat="1" applyFont="1" applyFill="1" applyBorder="1" applyAlignment="1">
      <alignment horizontal="center" vertical="center"/>
    </xf>
    <xf numFmtId="0" fontId="90" fillId="18" borderId="5" xfId="0" applyNumberFormat="1" applyFont="1" applyFill="1" applyBorder="1" applyAlignment="1">
      <alignment horizontal="center" vertical="center"/>
    </xf>
    <xf numFmtId="0" fontId="90" fillId="38" borderId="2" xfId="0" applyNumberFormat="1" applyFont="1" applyFill="1" applyBorder="1" applyAlignment="1">
      <alignment horizontal="center" vertical="center"/>
    </xf>
    <xf numFmtId="0" fontId="90" fillId="0" borderId="2" xfId="0" applyNumberFormat="1" applyFont="1" applyFill="1" applyBorder="1" applyAlignment="1">
      <alignment horizontal="center" vertical="center"/>
    </xf>
    <xf numFmtId="0" fontId="90" fillId="0" borderId="5" xfId="0" applyNumberFormat="1" applyFont="1" applyBorder="1" applyAlignment="1">
      <alignment horizontal="center" vertical="center"/>
    </xf>
    <xf numFmtId="0" fontId="90" fillId="0" borderId="5" xfId="0" applyNumberFormat="1" applyFont="1" applyFill="1" applyBorder="1" applyAlignment="1">
      <alignment horizontal="center" vertical="center"/>
    </xf>
    <xf numFmtId="0" fontId="90" fillId="0" borderId="2" xfId="0" applyNumberFormat="1" applyFont="1" applyBorder="1" applyAlignment="1">
      <alignment horizontal="center" vertical="center"/>
    </xf>
    <xf numFmtId="182" fontId="90" fillId="8" borderId="5" xfId="0" applyNumberFormat="1" applyFont="1" applyFill="1" applyBorder="1" applyAlignment="1">
      <alignment horizontal="center" vertical="center"/>
    </xf>
    <xf numFmtId="0" fontId="90" fillId="43" borderId="5" xfId="0" applyFont="1" applyFill="1" applyBorder="1" applyAlignment="1">
      <alignment horizontal="center" vertical="center"/>
    </xf>
    <xf numFmtId="0" fontId="90" fillId="8" borderId="5" xfId="0" applyFont="1" applyFill="1" applyBorder="1" applyAlignment="1">
      <alignment horizontal="center" vertical="center"/>
    </xf>
    <xf numFmtId="0" fontId="90" fillId="0" borderId="5" xfId="0" applyFont="1" applyBorder="1" applyAlignment="1">
      <alignment horizontal="center" vertical="center"/>
    </xf>
    <xf numFmtId="0" fontId="90" fillId="8" borderId="32" xfId="0" applyFont="1" applyFill="1" applyBorder="1" applyAlignment="1">
      <alignment horizontal="center" vertical="center"/>
    </xf>
    <xf numFmtId="0" fontId="90" fillId="46" borderId="5" xfId="0" applyFont="1" applyFill="1" applyBorder="1" applyAlignment="1">
      <alignment horizontal="center" vertical="center"/>
    </xf>
    <xf numFmtId="0" fontId="90" fillId="47" borderId="5" xfId="0" applyFont="1" applyFill="1" applyBorder="1" applyAlignment="1">
      <alignment horizontal="center" vertical="center"/>
    </xf>
    <xf numFmtId="0" fontId="90" fillId="48" borderId="5" xfId="0" applyFont="1" applyFill="1" applyBorder="1" applyAlignment="1">
      <alignment horizontal="center" vertical="center"/>
    </xf>
    <xf numFmtId="0" fontId="90" fillId="42" borderId="5" xfId="0" applyFont="1" applyFill="1" applyBorder="1" applyAlignment="1">
      <alignment horizontal="center" vertical="center"/>
    </xf>
    <xf numFmtId="0" fontId="90" fillId="40" borderId="5" xfId="0" applyFont="1" applyFill="1" applyBorder="1" applyAlignment="1">
      <alignment horizontal="center" vertical="center"/>
    </xf>
    <xf numFmtId="0" fontId="90" fillId="39" borderId="2" xfId="0" applyFont="1" applyFill="1" applyBorder="1" applyAlignment="1">
      <alignment horizontal="center" vertical="center"/>
    </xf>
    <xf numFmtId="0" fontId="6" fillId="0" borderId="22" xfId="0" applyFont="1" applyFill="1" applyBorder="1" applyAlignment="1">
      <alignment vertical="center"/>
    </xf>
    <xf numFmtId="185" fontId="0" fillId="38" borderId="65" xfId="0" applyNumberFormat="1" applyFill="1" applyBorder="1" applyAlignment="1">
      <alignment horizontal="center" vertical="center"/>
    </xf>
    <xf numFmtId="0" fontId="90" fillId="0" borderId="32" xfId="0" applyFont="1" applyBorder="1">
      <alignment vertical="center"/>
    </xf>
    <xf numFmtId="182" fontId="90" fillId="43" borderId="10" xfId="0" applyNumberFormat="1" applyFont="1" applyFill="1" applyBorder="1" applyAlignment="1">
      <alignment horizontal="center" vertical="center"/>
    </xf>
    <xf numFmtId="185" fontId="90" fillId="43" borderId="5" xfId="0" applyNumberFormat="1" applyFont="1" applyFill="1" applyBorder="1" applyAlignment="1">
      <alignment horizontal="center" vertical="center"/>
    </xf>
    <xf numFmtId="0" fontId="90" fillId="46" borderId="5" xfId="0" applyNumberFormat="1" applyFont="1" applyFill="1" applyBorder="1" applyAlignment="1">
      <alignment horizontal="center" vertical="center"/>
    </xf>
    <xf numFmtId="0" fontId="90" fillId="0" borderId="2" xfId="0" applyFont="1" applyBorder="1" applyAlignment="1">
      <alignment horizontal="center" vertical="center"/>
    </xf>
    <xf numFmtId="0" fontId="90" fillId="45" borderId="70" xfId="0" applyFont="1" applyFill="1" applyBorder="1" applyAlignment="1">
      <alignment horizontal="center" vertical="center"/>
    </xf>
    <xf numFmtId="0" fontId="90" fillId="14" borderId="70" xfId="0" applyFont="1" applyFill="1" applyBorder="1" applyAlignment="1">
      <alignment horizontal="center" vertical="center"/>
    </xf>
    <xf numFmtId="177" fontId="0" fillId="0" borderId="0" xfId="0" applyNumberFormat="1">
      <alignment vertical="center"/>
    </xf>
    <xf numFmtId="0" fontId="0" fillId="45" borderId="0" xfId="0" applyFill="1">
      <alignment vertical="center"/>
    </xf>
    <xf numFmtId="0" fontId="0" fillId="10" borderId="77" xfId="0" applyNumberFormat="1" applyFont="1" applyFill="1" applyBorder="1" applyAlignment="1">
      <alignment horizontal="center" vertical="center"/>
    </xf>
    <xf numFmtId="0" fontId="0" fillId="10" borderId="78" xfId="0" applyNumberFormat="1" applyFont="1" applyFill="1" applyBorder="1" applyAlignment="1">
      <alignment horizontal="center" vertical="center"/>
    </xf>
    <xf numFmtId="0" fontId="0" fillId="10" borderId="76" xfId="0" applyNumberFormat="1" applyFont="1" applyFill="1" applyBorder="1" applyAlignment="1">
      <alignment horizontal="center" vertical="center"/>
    </xf>
    <xf numFmtId="0" fontId="0" fillId="10" borderId="21" xfId="0" applyNumberFormat="1" applyFont="1" applyFill="1" applyBorder="1" applyAlignment="1">
      <alignment horizontal="center" vertical="center"/>
    </xf>
    <xf numFmtId="201" fontId="68" fillId="0" borderId="76" xfId="0" applyNumberFormat="1" applyFont="1" applyFill="1" applyBorder="1" applyAlignment="1">
      <alignment horizontal="center" vertical="center"/>
    </xf>
    <xf numFmtId="201" fontId="68" fillId="0" borderId="21" xfId="0" applyNumberFormat="1" applyFont="1" applyFill="1" applyBorder="1" applyAlignment="1">
      <alignment horizontal="center" vertical="center"/>
    </xf>
    <xf numFmtId="201" fontId="68" fillId="0" borderId="77" xfId="0" applyNumberFormat="1" applyFont="1" applyFill="1" applyBorder="1" applyAlignment="1">
      <alignment horizontal="center" vertical="center"/>
    </xf>
    <xf numFmtId="201" fontId="68" fillId="44" borderId="21" xfId="0" applyNumberFormat="1" applyFont="1" applyFill="1" applyBorder="1" applyAlignment="1">
      <alignment horizontal="center" vertical="center"/>
    </xf>
    <xf numFmtId="0" fontId="4" fillId="0" borderId="5" xfId="4" applyNumberFormat="1" applyFont="1" applyFill="1" applyBorder="1" applyAlignment="1">
      <alignment horizontal="center" vertical="center"/>
    </xf>
    <xf numFmtId="0" fontId="90" fillId="8" borderId="10" xfId="0" applyFont="1" applyFill="1" applyBorder="1" applyAlignment="1">
      <alignment horizontal="center" vertical="center"/>
    </xf>
    <xf numFmtId="0" fontId="90" fillId="45" borderId="10" xfId="0" applyNumberFormat="1" applyFont="1" applyFill="1" applyBorder="1" applyAlignment="1">
      <alignment horizontal="center" vertical="center"/>
    </xf>
    <xf numFmtId="0" fontId="90" fillId="14" borderId="10" xfId="0" applyFont="1" applyFill="1" applyBorder="1" applyAlignment="1">
      <alignment horizontal="center" vertical="center"/>
    </xf>
    <xf numFmtId="0" fontId="90" fillId="18" borderId="10" xfId="0" applyFont="1" applyFill="1" applyBorder="1" applyAlignment="1">
      <alignment horizontal="center" vertical="center"/>
    </xf>
    <xf numFmtId="0" fontId="90" fillId="38" borderId="65" xfId="0" applyFont="1" applyFill="1" applyBorder="1" applyAlignment="1">
      <alignment horizontal="center" vertical="center"/>
    </xf>
    <xf numFmtId="177" fontId="75" fillId="0" borderId="12" xfId="0" applyNumberFormat="1" applyFont="1" applyBorder="1">
      <alignment vertical="center"/>
    </xf>
    <xf numFmtId="0" fontId="0" fillId="0" borderId="5" xfId="0" applyBorder="1" applyAlignment="1">
      <alignment horizontal="left" vertical="center"/>
    </xf>
    <xf numFmtId="182" fontId="0" fillId="0" borderId="5" xfId="0" applyNumberFormat="1" applyBorder="1" applyAlignment="1">
      <alignment horizontal="center" vertical="center"/>
    </xf>
    <xf numFmtId="188" fontId="0" fillId="0" borderId="0" xfId="0" applyNumberFormat="1">
      <alignment vertical="center"/>
    </xf>
    <xf numFmtId="43" fontId="0" fillId="0" borderId="0" xfId="4" applyFont="1">
      <alignment vertical="center"/>
    </xf>
    <xf numFmtId="0" fontId="11" fillId="0" borderId="0" xfId="0" applyFont="1" applyFill="1" applyBorder="1" applyAlignment="1">
      <alignment horizontal="center" vertical="center" wrapText="1"/>
    </xf>
    <xf numFmtId="182" fontId="0" fillId="38" borderId="65" xfId="0" applyNumberFormat="1" applyFill="1" applyBorder="1" applyAlignment="1">
      <alignment horizontal="center" vertical="center"/>
    </xf>
    <xf numFmtId="0" fontId="0" fillId="0" borderId="0" xfId="0" pivotButton="1">
      <alignment vertical="center"/>
    </xf>
    <xf numFmtId="182" fontId="0" fillId="0" borderId="5" xfId="0" applyNumberFormat="1" applyBorder="1">
      <alignment vertical="center"/>
    </xf>
    <xf numFmtId="0" fontId="91" fillId="0" borderId="0" xfId="6" applyFont="1" applyFill="1" applyAlignment="1">
      <alignment horizontal="center" vertical="center"/>
    </xf>
    <xf numFmtId="182" fontId="90" fillId="0" borderId="5" xfId="0" applyNumberFormat="1" applyFont="1" applyBorder="1" applyAlignment="1">
      <alignment horizontal="center" vertical="center"/>
    </xf>
    <xf numFmtId="182" fontId="90" fillId="14" borderId="5" xfId="0" applyNumberFormat="1" applyFont="1" applyFill="1" applyBorder="1" applyAlignment="1">
      <alignment horizontal="center" vertical="center"/>
    </xf>
    <xf numFmtId="182" fontId="90" fillId="18" borderId="5" xfId="0" applyNumberFormat="1" applyFont="1" applyFill="1" applyBorder="1" applyAlignment="1">
      <alignment horizontal="center" vertical="center"/>
    </xf>
    <xf numFmtId="182" fontId="90" fillId="38" borderId="2" xfId="0" applyNumberFormat="1" applyFont="1" applyFill="1" applyBorder="1" applyAlignment="1">
      <alignment horizontal="center" vertical="center"/>
    </xf>
    <xf numFmtId="0" fontId="90" fillId="0" borderId="10" xfId="0" applyFont="1" applyBorder="1" applyAlignment="1">
      <alignment horizontal="center" vertical="center"/>
    </xf>
    <xf numFmtId="0" fontId="90" fillId="0" borderId="65" xfId="0" applyFont="1" applyBorder="1" applyAlignment="1">
      <alignment horizontal="center" vertical="center"/>
    </xf>
    <xf numFmtId="0" fontId="90" fillId="0" borderId="70" xfId="0" applyFont="1" applyBorder="1" applyAlignment="1">
      <alignment horizontal="center" vertical="center"/>
    </xf>
    <xf numFmtId="0" fontId="90" fillId="0" borderId="71" xfId="0" applyFont="1" applyBorder="1" applyAlignment="1">
      <alignment horizontal="center" vertical="center"/>
    </xf>
    <xf numFmtId="177" fontId="69" fillId="2" borderId="5" xfId="0" applyNumberFormat="1" applyFont="1" applyFill="1" applyBorder="1" applyAlignment="1">
      <alignment horizontal="center" vertical="center"/>
    </xf>
    <xf numFmtId="177" fontId="69" fillId="2" borderId="21" xfId="0" applyNumberFormat="1" applyFont="1" applyFill="1" applyBorder="1" applyAlignment="1">
      <alignment horizontal="center" vertical="center"/>
    </xf>
    <xf numFmtId="0" fontId="0" fillId="0" borderId="31" xfId="0" applyBorder="1" applyAlignment="1">
      <alignment horizontal="center" vertical="center"/>
    </xf>
    <xf numFmtId="41" fontId="69" fillId="2" borderId="22" xfId="0" applyNumberFormat="1" applyFont="1" applyFill="1" applyBorder="1" applyAlignment="1">
      <alignment horizontal="center" vertical="center"/>
    </xf>
    <xf numFmtId="177" fontId="69" fillId="2" borderId="22" xfId="0" applyNumberFormat="1" applyFont="1" applyFill="1" applyBorder="1" applyAlignment="1">
      <alignment horizontal="center" vertical="center"/>
    </xf>
    <xf numFmtId="177" fontId="69" fillId="0" borderId="0" xfId="0" applyNumberFormat="1" applyFont="1" applyFill="1" applyBorder="1" applyAlignment="1">
      <alignment horizontal="center" vertical="center"/>
    </xf>
    <xf numFmtId="0" fontId="4" fillId="0" borderId="5" xfId="0" applyFont="1" applyFill="1" applyBorder="1" applyAlignment="1">
      <alignment horizontal="left" vertical="top" wrapText="1"/>
    </xf>
    <xf numFmtId="0" fontId="90" fillId="43" borderId="5" xfId="0" applyNumberFormat="1" applyFont="1" applyFill="1" applyBorder="1" applyAlignment="1">
      <alignment horizontal="center" vertical="center"/>
    </xf>
    <xf numFmtId="0" fontId="6" fillId="0" borderId="5" xfId="0" applyFont="1" applyFill="1" applyBorder="1" applyAlignment="1">
      <alignment horizontal="left" vertical="center" wrapText="1" readingOrder="1"/>
    </xf>
    <xf numFmtId="0" fontId="6" fillId="0" borderId="5" xfId="0" applyFont="1" applyFill="1" applyBorder="1" applyAlignment="1">
      <alignment horizontal="left" vertical="center" wrapText="1"/>
    </xf>
    <xf numFmtId="0" fontId="89" fillId="0" borderId="5" xfId="0" applyFont="1" applyFill="1" applyBorder="1" applyAlignment="1">
      <alignment horizontal="center" vertical="center" wrapText="1" readingOrder="1"/>
    </xf>
    <xf numFmtId="0" fontId="6" fillId="0" borderId="5" xfId="0" applyFont="1" applyFill="1" applyBorder="1" applyAlignment="1">
      <alignment horizontal="left" vertical="center"/>
    </xf>
    <xf numFmtId="10" fontId="6" fillId="0" borderId="22" xfId="0" applyNumberFormat="1" applyFont="1" applyFill="1" applyBorder="1" applyAlignment="1">
      <alignment horizontal="center" vertical="center"/>
    </xf>
    <xf numFmtId="10" fontId="6" fillId="0" borderId="12" xfId="0" applyNumberFormat="1" applyFont="1" applyFill="1" applyBorder="1" applyAlignment="1">
      <alignment horizontal="center" vertical="center"/>
    </xf>
    <xf numFmtId="0" fontId="6" fillId="0" borderId="22" xfId="0" applyFont="1" applyFill="1" applyBorder="1" applyAlignment="1">
      <alignment horizontal="center" vertical="center"/>
    </xf>
    <xf numFmtId="201" fontId="68" fillId="0" borderId="23" xfId="0" applyNumberFormat="1" applyFont="1" applyFill="1" applyBorder="1" applyAlignment="1">
      <alignment horizontal="center" vertical="center"/>
    </xf>
    <xf numFmtId="201" fontId="68" fillId="0" borderId="27" xfId="0" applyNumberFormat="1" applyFont="1" applyFill="1" applyBorder="1" applyAlignment="1">
      <alignment horizontal="center" vertical="center"/>
    </xf>
    <xf numFmtId="201" fontId="68" fillId="0" borderId="22" xfId="0" applyNumberFormat="1" applyFont="1" applyFill="1" applyBorder="1" applyAlignment="1">
      <alignment horizontal="center" vertical="center"/>
    </xf>
    <xf numFmtId="201" fontId="68" fillId="0" borderId="12" xfId="0" applyNumberFormat="1" applyFont="1" applyFill="1" applyBorder="1" applyAlignment="1">
      <alignment horizontal="center" vertical="center"/>
    </xf>
    <xf numFmtId="0" fontId="0" fillId="8" borderId="22" xfId="0" applyNumberFormat="1" applyFont="1" applyFill="1" applyBorder="1" applyAlignment="1">
      <alignment horizontal="center" vertical="center"/>
    </xf>
    <xf numFmtId="0" fontId="0" fillId="8" borderId="12" xfId="0" applyNumberFormat="1" applyFont="1" applyFill="1" applyBorder="1" applyAlignment="1">
      <alignment horizontal="center" vertical="center"/>
    </xf>
    <xf numFmtId="10" fontId="6" fillId="0" borderId="26" xfId="0" applyNumberFormat="1" applyFont="1" applyFill="1" applyBorder="1" applyAlignment="1">
      <alignment horizontal="center" vertical="center"/>
    </xf>
    <xf numFmtId="0" fontId="4" fillId="0" borderId="12" xfId="4" applyNumberFormat="1" applyFont="1" applyFill="1" applyBorder="1" applyAlignment="1">
      <alignment horizontal="center" vertical="center"/>
    </xf>
    <xf numFmtId="0" fontId="4" fillId="0" borderId="65" xfId="4" applyNumberFormat="1" applyFont="1" applyFill="1" applyBorder="1" applyAlignment="1">
      <alignment horizontal="center" vertical="center"/>
    </xf>
    <xf numFmtId="0" fontId="4" fillId="0" borderId="2" xfId="4" applyNumberFormat="1" applyFont="1" applyFill="1" applyBorder="1" applyAlignment="1">
      <alignment horizontal="center" vertical="center"/>
    </xf>
    <xf numFmtId="0" fontId="4" fillId="0" borderId="4" xfId="4" applyNumberFormat="1" applyFont="1" applyFill="1" applyBorder="1" applyAlignment="1">
      <alignment horizontal="center" vertical="center"/>
    </xf>
    <xf numFmtId="0" fontId="4" fillId="0" borderId="71" xfId="4" applyNumberFormat="1" applyFont="1" applyFill="1" applyBorder="1" applyAlignment="1">
      <alignment horizontal="center" vertical="center"/>
    </xf>
    <xf numFmtId="0" fontId="6" fillId="0" borderId="12" xfId="0" applyFont="1" applyFill="1" applyBorder="1" applyAlignment="1">
      <alignment vertical="center"/>
    </xf>
    <xf numFmtId="0" fontId="6" fillId="0" borderId="26" xfId="0" applyFont="1" applyFill="1" applyBorder="1" applyAlignment="1">
      <alignment horizontal="center" vertical="center"/>
    </xf>
    <xf numFmtId="0" fontId="0" fillId="14" borderId="12" xfId="0" applyNumberFormat="1" applyFont="1" applyFill="1" applyBorder="1" applyAlignment="1">
      <alignment horizontal="center" vertical="center"/>
    </xf>
    <xf numFmtId="0" fontId="28" fillId="18" borderId="32" xfId="0" applyNumberFormat="1" applyFont="1" applyFill="1" applyBorder="1" applyAlignment="1">
      <alignment horizontal="center" vertical="center"/>
    </xf>
    <xf numFmtId="0" fontId="4" fillId="0" borderId="22" xfId="4" applyNumberFormat="1" applyFont="1" applyFill="1" applyBorder="1" applyAlignment="1">
      <alignment horizontal="center" vertical="center"/>
    </xf>
    <xf numFmtId="0" fontId="6" fillId="0" borderId="70" xfId="0" applyFont="1" applyFill="1" applyBorder="1" applyAlignment="1">
      <alignment horizontal="center" vertical="center"/>
    </xf>
    <xf numFmtId="0" fontId="4" fillId="0" borderId="10" xfId="4" applyNumberFormat="1" applyFont="1" applyFill="1" applyBorder="1" applyAlignment="1">
      <alignment horizontal="center" vertical="center"/>
    </xf>
    <xf numFmtId="0" fontId="0" fillId="43" borderId="32" xfId="0" applyNumberFormat="1" applyFill="1" applyBorder="1" applyAlignment="1">
      <alignment horizontal="center" vertical="center"/>
    </xf>
    <xf numFmtId="0" fontId="0" fillId="0" borderId="32" xfId="0" applyNumberFormat="1" applyBorder="1" applyAlignment="1">
      <alignment horizontal="center" vertical="center"/>
    </xf>
    <xf numFmtId="0" fontId="0" fillId="0" borderId="4" xfId="0" applyNumberFormat="1" applyBorder="1" applyAlignment="1">
      <alignment horizontal="center" vertical="center"/>
    </xf>
    <xf numFmtId="0" fontId="4" fillId="0" borderId="32" xfId="4" applyNumberFormat="1" applyFont="1" applyFill="1" applyBorder="1" applyAlignment="1">
      <alignment horizontal="center" vertical="center"/>
    </xf>
    <xf numFmtId="0" fontId="90" fillId="43" borderId="32" xfId="0" applyFont="1" applyFill="1" applyBorder="1" applyAlignment="1">
      <alignment horizontal="center" vertical="center"/>
    </xf>
    <xf numFmtId="0" fontId="90" fillId="43" borderId="32" xfId="0" applyNumberFormat="1" applyFont="1" applyFill="1" applyBorder="1" applyAlignment="1">
      <alignment horizontal="center" vertical="center"/>
    </xf>
    <xf numFmtId="0" fontId="90" fillId="0" borderId="32" xfId="0" applyFont="1" applyBorder="1" applyAlignment="1">
      <alignment horizontal="center" vertical="center"/>
    </xf>
    <xf numFmtId="0" fontId="90" fillId="0" borderId="4" xfId="0" applyFont="1" applyBorder="1" applyAlignment="1">
      <alignment horizontal="center" vertical="center"/>
    </xf>
    <xf numFmtId="0" fontId="4" fillId="0" borderId="70" xfId="4" applyNumberFormat="1" applyFont="1" applyFill="1" applyBorder="1" applyAlignment="1">
      <alignment horizontal="center" vertical="center"/>
    </xf>
    <xf numFmtId="0" fontId="7" fillId="2" borderId="66" xfId="0" applyFont="1" applyFill="1" applyBorder="1" applyAlignment="1">
      <alignment horizontal="center" vertical="center"/>
    </xf>
    <xf numFmtId="0" fontId="7" fillId="2" borderId="68" xfId="0" applyFont="1" applyFill="1" applyBorder="1" applyAlignment="1">
      <alignment horizontal="center" vertical="center"/>
    </xf>
    <xf numFmtId="0" fontId="5" fillId="0" borderId="9" xfId="0" applyFont="1" applyBorder="1" applyAlignment="1">
      <alignment horizontal="center" vertical="center"/>
    </xf>
    <xf numFmtId="0" fontId="10" fillId="0" borderId="65" xfId="2" applyFont="1" applyBorder="1">
      <alignment vertical="center"/>
    </xf>
    <xf numFmtId="0" fontId="6" fillId="0" borderId="5" xfId="0" applyFont="1" applyFill="1" applyBorder="1" applyAlignment="1">
      <alignment horizontal="left" vertical="center"/>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xf>
    <xf numFmtId="0" fontId="4" fillId="0" borderId="5" xfId="0" applyFont="1" applyFill="1" applyBorder="1" applyAlignment="1">
      <alignment horizontal="center" vertical="center"/>
    </xf>
    <xf numFmtId="0" fontId="4" fillId="0" borderId="5" xfId="0" applyFont="1" applyFill="1" applyBorder="1" applyAlignment="1">
      <alignment horizontal="right" vertical="center"/>
    </xf>
    <xf numFmtId="43" fontId="4" fillId="14" borderId="5" xfId="4" applyNumberFormat="1" applyFont="1" applyFill="1" applyBorder="1" applyAlignment="1">
      <alignment vertical="top"/>
    </xf>
    <xf numFmtId="0" fontId="4" fillId="0" borderId="5" xfId="0" applyFont="1" applyFill="1" applyBorder="1" applyAlignment="1">
      <alignment horizontal="left" vertical="top"/>
    </xf>
    <xf numFmtId="0" fontId="4" fillId="0" borderId="5" xfId="0" applyFont="1" applyFill="1" applyBorder="1" applyAlignment="1">
      <alignment horizontal="center" vertical="center"/>
    </xf>
    <xf numFmtId="0" fontId="20" fillId="0" borderId="5" xfId="0" applyFont="1" applyFill="1" applyBorder="1" applyAlignment="1">
      <alignment horizontal="left" vertical="center" wrapText="1"/>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xf>
    <xf numFmtId="0" fontId="4" fillId="5" borderId="5" xfId="0" applyFont="1" applyFill="1" applyBorder="1" applyAlignment="1">
      <alignment horizontal="left" vertical="top"/>
    </xf>
    <xf numFmtId="0" fontId="92" fillId="10" borderId="5" xfId="0" applyFont="1" applyFill="1" applyBorder="1" applyAlignment="1">
      <alignment horizontal="center" vertical="center"/>
    </xf>
    <xf numFmtId="0" fontId="4" fillId="0" borderId="5" xfId="0" applyFont="1" applyFill="1" applyBorder="1" applyAlignment="1">
      <alignment horizontal="center" vertical="top"/>
    </xf>
    <xf numFmtId="0" fontId="4" fillId="0" borderId="5" xfId="0" applyFont="1" applyFill="1" applyBorder="1" applyAlignment="1">
      <alignment horizontal="left" vertical="top"/>
    </xf>
    <xf numFmtId="0" fontId="4" fillId="0" borderId="5" xfId="0" applyFont="1" applyFill="1" applyBorder="1" applyAlignment="1">
      <alignment horizontal="right" vertical="center"/>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xf>
    <xf numFmtId="43" fontId="52" fillId="0" borderId="5" xfId="4" applyNumberFormat="1" applyFont="1" applyFill="1" applyBorder="1" applyAlignment="1">
      <alignment vertical="top"/>
    </xf>
    <xf numFmtId="43" fontId="52" fillId="0" borderId="5" xfId="4" applyNumberFormat="1" applyFont="1" applyFill="1" applyBorder="1" applyAlignment="1">
      <alignment horizontal="center" vertical="top"/>
    </xf>
    <xf numFmtId="43" fontId="52" fillId="0" borderId="5" xfId="4" applyFont="1" applyBorder="1" applyAlignment="1">
      <alignment vertical="center"/>
    </xf>
    <xf numFmtId="43" fontId="52" fillId="0" borderId="5" xfId="4" applyFont="1" applyBorder="1" applyAlignment="1">
      <alignment horizontal="center" vertical="center"/>
    </xf>
    <xf numFmtId="0" fontId="4" fillId="0" borderId="5" xfId="0" applyFont="1" applyFill="1" applyBorder="1" applyAlignment="1">
      <alignment horizontal="left" vertical="top" wrapText="1"/>
    </xf>
    <xf numFmtId="0" fontId="4" fillId="0" borderId="5" xfId="0" applyFont="1" applyFill="1" applyBorder="1" applyAlignment="1">
      <alignment horizontal="right" vertical="center"/>
    </xf>
    <xf numFmtId="0" fontId="22" fillId="7" borderId="5" xfId="6" applyFont="1" applyFill="1" applyBorder="1" applyAlignment="1">
      <alignment horizontal="center" vertical="center" wrapText="1"/>
    </xf>
    <xf numFmtId="43" fontId="52" fillId="0" borderId="5" xfId="4" applyFont="1" applyFill="1" applyBorder="1" applyAlignment="1">
      <alignment horizontal="center" vertical="center"/>
    </xf>
    <xf numFmtId="182" fontId="0" fillId="0" borderId="12" xfId="0" applyNumberFormat="1" applyFill="1" applyBorder="1" applyAlignment="1">
      <alignment horizontal="center" vertical="center"/>
    </xf>
    <xf numFmtId="182" fontId="0" fillId="9" borderId="12" xfId="0" applyNumberFormat="1" applyFill="1" applyBorder="1" applyAlignment="1">
      <alignment horizontal="center" vertical="center"/>
    </xf>
    <xf numFmtId="0" fontId="0" fillId="9" borderId="12" xfId="0" applyFill="1" applyBorder="1" applyAlignment="1">
      <alignment horizontal="center" vertical="center"/>
    </xf>
    <xf numFmtId="43" fontId="52" fillId="0" borderId="5" xfId="4" applyFont="1" applyFill="1" applyBorder="1" applyAlignment="1">
      <alignment vertical="center"/>
    </xf>
    <xf numFmtId="43" fontId="5" fillId="24" borderId="5" xfId="4" applyFont="1" applyFill="1" applyBorder="1" applyAlignment="1">
      <alignment horizontal="center" vertical="center" wrapText="1"/>
    </xf>
    <xf numFmtId="197" fontId="76" fillId="0" borderId="5" xfId="0" applyNumberFormat="1" applyFont="1" applyFill="1" applyBorder="1" applyAlignment="1">
      <alignment vertical="center"/>
    </xf>
    <xf numFmtId="182" fontId="43" fillId="0" borderId="5" xfId="0" applyNumberFormat="1" applyFont="1" applyFill="1" applyBorder="1" applyAlignment="1">
      <alignment horizontal="center" vertical="center" wrapText="1"/>
    </xf>
    <xf numFmtId="43" fontId="46" fillId="0" borderId="5" xfId="4" applyNumberFormat="1" applyFont="1" applyFill="1" applyBorder="1" applyAlignment="1">
      <alignment horizontal="center" vertical="top"/>
    </xf>
    <xf numFmtId="0" fontId="4" fillId="0" borderId="5" xfId="0" applyNumberFormat="1" applyFont="1" applyBorder="1" applyAlignment="1">
      <alignment horizontal="left" vertical="top"/>
    </xf>
    <xf numFmtId="43" fontId="90" fillId="8" borderId="5" xfId="0" applyNumberFormat="1" applyFont="1" applyFill="1" applyBorder="1" applyAlignment="1">
      <alignment horizontal="center" vertical="center"/>
    </xf>
    <xf numFmtId="0" fontId="20" fillId="0" borderId="5" xfId="0" applyFont="1" applyBorder="1" applyAlignment="1">
      <alignment horizontal="left" vertical="top" wrapText="1"/>
    </xf>
    <xf numFmtId="0" fontId="4" fillId="0" borderId="5" xfId="0" applyFont="1" applyFill="1" applyBorder="1" applyAlignment="1">
      <alignment horizontal="right" vertical="center"/>
    </xf>
    <xf numFmtId="0" fontId="20" fillId="0" borderId="5" xfId="0" applyFont="1" applyFill="1" applyBorder="1" applyAlignment="1">
      <alignment horizontal="left" vertical="center" wrapText="1"/>
    </xf>
    <xf numFmtId="0" fontId="89" fillId="0" borderId="5" xfId="0" applyFont="1" applyFill="1" applyBorder="1" applyAlignment="1">
      <alignment horizontal="center" vertical="center" wrapText="1" readingOrder="1"/>
    </xf>
    <xf numFmtId="0" fontId="90" fillId="43" borderId="5" xfId="0" applyNumberFormat="1" applyFont="1" applyFill="1" applyBorder="1" applyAlignment="1">
      <alignment horizontal="center" vertical="center"/>
    </xf>
    <xf numFmtId="10" fontId="0" fillId="43" borderId="5" xfId="0" applyNumberFormat="1" applyFill="1" applyBorder="1" applyAlignment="1">
      <alignment horizontal="center" vertical="center"/>
    </xf>
    <xf numFmtId="0" fontId="25" fillId="14" borderId="22" xfId="0" applyFont="1" applyFill="1" applyBorder="1" applyAlignment="1">
      <alignment vertical="center" wrapText="1"/>
    </xf>
    <xf numFmtId="0" fontId="25" fillId="14" borderId="12" xfId="0" applyFont="1" applyFill="1" applyBorder="1" applyAlignment="1">
      <alignment vertical="center" wrapText="1"/>
    </xf>
    <xf numFmtId="0" fontId="0" fillId="14" borderId="22" xfId="0" applyFill="1" applyBorder="1" applyAlignment="1">
      <alignment horizontal="center" vertical="center"/>
    </xf>
    <xf numFmtId="0" fontId="0" fillId="14" borderId="22" xfId="0" applyFill="1" applyBorder="1">
      <alignment vertical="center"/>
    </xf>
    <xf numFmtId="0" fontId="0" fillId="38" borderId="5" xfId="0" applyFill="1" applyBorder="1">
      <alignment vertical="center"/>
    </xf>
    <xf numFmtId="0" fontId="25" fillId="38" borderId="5" xfId="0" applyFont="1" applyFill="1" applyBorder="1" applyAlignment="1">
      <alignment vertical="center"/>
    </xf>
    <xf numFmtId="0" fontId="4" fillId="49" borderId="5" xfId="4" applyNumberFormat="1" applyFont="1" applyFill="1" applyBorder="1" applyAlignment="1">
      <alignment horizontal="center" vertical="center"/>
    </xf>
    <xf numFmtId="0" fontId="4" fillId="50" borderId="5" xfId="4" applyNumberFormat="1" applyFont="1" applyFill="1" applyBorder="1" applyAlignment="1">
      <alignment horizontal="center" vertical="center"/>
    </xf>
    <xf numFmtId="0" fontId="4" fillId="51" borderId="5" xfId="4" applyNumberFormat="1" applyFont="1" applyFill="1" applyBorder="1" applyAlignment="1">
      <alignment horizontal="center" vertical="center"/>
    </xf>
    <xf numFmtId="10" fontId="0" fillId="45" borderId="5" xfId="0" applyNumberFormat="1" applyFill="1" applyBorder="1" applyAlignment="1">
      <alignment horizontal="center" vertical="center"/>
    </xf>
    <xf numFmtId="0" fontId="93" fillId="52" borderId="0" xfId="6" applyFont="1" applyFill="1" applyBorder="1" applyAlignment="1">
      <alignment horizontal="center" vertical="center"/>
    </xf>
    <xf numFmtId="0" fontId="93" fillId="52" borderId="80" xfId="6" applyFont="1" applyFill="1" applyBorder="1" applyAlignment="1">
      <alignment horizontal="center" vertical="center"/>
    </xf>
    <xf numFmtId="0" fontId="0" fillId="8" borderId="22" xfId="0" applyNumberFormat="1" applyFont="1" applyFill="1" applyBorder="1" applyAlignment="1">
      <alignment horizontal="center" vertical="center"/>
    </xf>
    <xf numFmtId="43" fontId="0" fillId="0" borderId="73" xfId="0" applyNumberFormat="1" applyBorder="1" applyAlignment="1">
      <alignment horizontal="center" vertical="center"/>
    </xf>
    <xf numFmtId="41" fontId="0" fillId="10" borderId="21" xfId="0" applyNumberFormat="1" applyFont="1" applyFill="1" applyBorder="1" applyAlignment="1">
      <alignment horizontal="center" vertical="center"/>
    </xf>
    <xf numFmtId="0" fontId="6" fillId="43" borderId="22" xfId="0" applyFont="1" applyFill="1" applyBorder="1" applyAlignment="1">
      <alignment vertical="center" wrapText="1"/>
    </xf>
    <xf numFmtId="0" fontId="6" fillId="43" borderId="5" xfId="0" applyFont="1" applyFill="1" applyBorder="1" applyAlignment="1">
      <alignment vertical="center" wrapText="1"/>
    </xf>
    <xf numFmtId="177" fontId="0" fillId="0" borderId="65" xfId="4" applyNumberFormat="1" applyFont="1" applyFill="1" applyBorder="1">
      <alignment vertical="center"/>
    </xf>
    <xf numFmtId="10" fontId="93" fillId="52" borderId="0" xfId="6" applyNumberFormat="1" applyFont="1" applyFill="1" applyBorder="1" applyAlignment="1">
      <alignment horizontal="center" vertical="center"/>
    </xf>
    <xf numFmtId="10" fontId="0" fillId="0" borderId="0" xfId="0" applyNumberFormat="1" applyAlignment="1">
      <alignment horizontal="center" vertical="center"/>
    </xf>
    <xf numFmtId="0" fontId="95" fillId="0" borderId="5" xfId="6" applyFont="1" applyFill="1" applyBorder="1" applyAlignment="1">
      <alignment horizontal="center" vertical="center"/>
    </xf>
    <xf numFmtId="0" fontId="13" fillId="0" borderId="5" xfId="0" applyFont="1" applyBorder="1" applyAlignment="1">
      <alignment horizontal="center" vertical="center"/>
    </xf>
    <xf numFmtId="10" fontId="13" fillId="0" borderId="5" xfId="0" applyNumberFormat="1" applyFont="1" applyBorder="1" applyAlignment="1">
      <alignment horizontal="center" vertical="center"/>
    </xf>
    <xf numFmtId="0" fontId="13" fillId="0" borderId="5" xfId="0" applyFont="1" applyBorder="1">
      <alignment vertical="center"/>
    </xf>
    <xf numFmtId="0" fontId="11" fillId="0" borderId="5" xfId="0" applyFont="1" applyFill="1" applyBorder="1" applyAlignment="1">
      <alignment horizontal="center" vertical="center" wrapText="1"/>
    </xf>
    <xf numFmtId="177" fontId="0" fillId="0" borderId="5" xfId="4" applyNumberFormat="1" applyFont="1" applyFill="1" applyBorder="1">
      <alignment vertical="center"/>
    </xf>
    <xf numFmtId="10" fontId="0" fillId="0" borderId="5" xfId="0" applyNumberFormat="1" applyFill="1" applyBorder="1">
      <alignment vertical="center"/>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10" fontId="0" fillId="0" borderId="10" xfId="0" applyNumberFormat="1" applyFill="1" applyBorder="1">
      <alignment vertical="center"/>
    </xf>
    <xf numFmtId="0" fontId="11" fillId="0" borderId="1" xfId="0" applyFont="1" applyFill="1" applyBorder="1" applyAlignment="1">
      <alignment horizontal="center" vertical="center" wrapText="1"/>
    </xf>
    <xf numFmtId="177" fontId="0" fillId="0" borderId="2" xfId="4" applyNumberFormat="1" applyFont="1" applyFill="1" applyBorder="1">
      <alignment vertical="center"/>
    </xf>
    <xf numFmtId="0" fontId="11" fillId="0" borderId="3" xfId="0" applyFont="1" applyFill="1" applyBorder="1" applyAlignment="1">
      <alignment horizontal="center" vertical="center" wrapText="1"/>
    </xf>
    <xf numFmtId="0" fontId="11" fillId="0" borderId="32" xfId="0" applyFont="1" applyFill="1" applyBorder="1" applyAlignment="1">
      <alignment horizontal="center" vertical="center" wrapText="1"/>
    </xf>
    <xf numFmtId="10" fontId="0" fillId="0" borderId="32" xfId="0" applyNumberFormat="1" applyFill="1" applyBorder="1">
      <alignment vertical="center"/>
    </xf>
    <xf numFmtId="177" fontId="0" fillId="0" borderId="4" xfId="4" applyNumberFormat="1" applyFont="1" applyFill="1" applyBorder="1">
      <alignment vertical="center"/>
    </xf>
    <xf numFmtId="10" fontId="0" fillId="0" borderId="2" xfId="0" applyNumberFormat="1" applyFill="1" applyBorder="1">
      <alignment vertical="center"/>
    </xf>
    <xf numFmtId="0" fontId="11" fillId="0" borderId="12"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6" fillId="0" borderId="65" xfId="0" applyFont="1" applyFill="1" applyBorder="1" applyAlignment="1">
      <alignment horizontal="center" vertical="center"/>
    </xf>
    <xf numFmtId="188" fontId="0" fillId="0" borderId="38" xfId="0" applyNumberFormat="1" applyFill="1" applyBorder="1" applyAlignment="1">
      <alignment horizontal="center" vertical="center"/>
    </xf>
    <xf numFmtId="180" fontId="0" fillId="0" borderId="38" xfId="4"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11" fillId="0" borderId="17"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6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93" fillId="52" borderId="80" xfId="6" applyFont="1" applyFill="1" applyBorder="1" applyAlignment="1">
      <alignment horizontal="center" vertical="center" wrapText="1"/>
    </xf>
    <xf numFmtId="0" fontId="6" fillId="9" borderId="32" xfId="0" applyFont="1" applyFill="1" applyBorder="1" applyAlignment="1">
      <alignment horizontal="left" vertical="center" wrapText="1"/>
    </xf>
    <xf numFmtId="0" fontId="6" fillId="8" borderId="22" xfId="0" applyFont="1" applyFill="1" applyBorder="1" applyAlignment="1">
      <alignment vertical="center" wrapText="1" readingOrder="1"/>
    </xf>
    <xf numFmtId="0" fontId="4" fillId="54" borderId="5" xfId="4" applyNumberFormat="1" applyFont="1" applyFill="1" applyBorder="1" applyAlignment="1">
      <alignment horizontal="center" vertical="center"/>
    </xf>
    <xf numFmtId="0" fontId="4" fillId="54" borderId="2" xfId="4" applyNumberFormat="1" applyFont="1" applyFill="1" applyBorder="1" applyAlignment="1">
      <alignment horizontal="center" vertical="center"/>
    </xf>
    <xf numFmtId="0" fontId="6" fillId="9" borderId="32" xfId="0" applyFont="1" applyFill="1" applyBorder="1">
      <alignment vertical="center"/>
    </xf>
    <xf numFmtId="0" fontId="6" fillId="9" borderId="32" xfId="0" applyFont="1" applyFill="1" applyBorder="1" applyAlignment="1">
      <alignment vertical="center" wrapText="1"/>
    </xf>
    <xf numFmtId="0" fontId="4" fillId="0" borderId="5" xfId="4" applyNumberFormat="1" applyFont="1" applyFill="1" applyBorder="1" applyAlignment="1">
      <alignment vertical="center"/>
    </xf>
    <xf numFmtId="0" fontId="6" fillId="8" borderId="22" xfId="0" applyFont="1" applyFill="1" applyBorder="1" applyAlignment="1">
      <alignment vertical="center" wrapText="1"/>
    </xf>
    <xf numFmtId="0" fontId="6" fillId="8" borderId="5" xfId="0" applyFont="1" applyFill="1" applyBorder="1" applyAlignment="1">
      <alignment horizontal="left" vertical="center" wrapText="1"/>
    </xf>
    <xf numFmtId="0" fontId="6" fillId="8" borderId="26" xfId="0" applyFont="1" applyFill="1" applyBorder="1" applyAlignment="1">
      <alignment vertical="center" wrapText="1"/>
    </xf>
    <xf numFmtId="0" fontId="6" fillId="8" borderId="12" xfId="0" applyFont="1" applyFill="1" applyBorder="1" applyAlignment="1">
      <alignment vertical="center" wrapText="1"/>
    </xf>
    <xf numFmtId="0" fontId="57" fillId="45" borderId="5" xfId="0" applyNumberFormat="1" applyFont="1" applyFill="1" applyBorder="1" applyAlignment="1">
      <alignment horizontal="center" vertical="center" wrapText="1" readingOrder="1"/>
    </xf>
    <xf numFmtId="0" fontId="4" fillId="0" borderId="5" xfId="0" applyFont="1" applyFill="1" applyBorder="1" applyAlignment="1">
      <alignment horizontal="center" vertical="top"/>
    </xf>
    <xf numFmtId="0" fontId="4" fillId="6" borderId="5" xfId="0" applyFont="1" applyFill="1" applyBorder="1" applyAlignment="1">
      <alignment horizontal="center" vertical="center" wrapText="1"/>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xf>
    <xf numFmtId="0" fontId="4" fillId="0" borderId="5"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5" xfId="0" applyFont="1" applyFill="1" applyBorder="1" applyAlignment="1">
      <alignment horizontal="right" vertical="center"/>
    </xf>
    <xf numFmtId="0" fontId="96" fillId="55" borderId="12" xfId="0" applyFont="1" applyFill="1" applyBorder="1" applyAlignment="1">
      <alignment horizontal="center" vertical="center"/>
    </xf>
    <xf numFmtId="0" fontId="0" fillId="0" borderId="0" xfId="0" applyAlignment="1">
      <alignment horizontal="right" vertical="center"/>
    </xf>
    <xf numFmtId="2" fontId="0" fillId="0" borderId="0" xfId="0" applyNumberFormat="1" applyAlignment="1">
      <alignment horizontal="right" vertical="center"/>
    </xf>
    <xf numFmtId="0" fontId="7" fillId="55" borderId="5" xfId="0" applyFont="1" applyFill="1" applyBorder="1" applyAlignment="1">
      <alignment horizontal="center" vertical="center" wrapText="1"/>
    </xf>
    <xf numFmtId="0" fontId="4" fillId="0" borderId="5" xfId="0" applyFont="1" applyFill="1" applyBorder="1" applyAlignment="1">
      <alignment horizontal="center" vertical="center"/>
    </xf>
    <xf numFmtId="182" fontId="4" fillId="0" borderId="5" xfId="0" applyNumberFormat="1" applyFont="1" applyFill="1" applyBorder="1" applyAlignment="1">
      <alignment horizontal="center" vertical="center"/>
    </xf>
    <xf numFmtId="182" fontId="4" fillId="6" borderId="5" xfId="0" applyNumberFormat="1" applyFont="1" applyFill="1" applyBorder="1" applyAlignment="1">
      <alignment horizontal="center" vertical="center"/>
    </xf>
    <xf numFmtId="0" fontId="4" fillId="0" borderId="5" xfId="0" applyFont="1" applyFill="1" applyBorder="1" applyAlignment="1">
      <alignment horizontal="right" vertical="center"/>
    </xf>
    <xf numFmtId="0" fontId="4" fillId="6" borderId="5" xfId="0" applyFont="1" applyFill="1" applyBorder="1" applyAlignment="1">
      <alignment horizontal="center" vertical="center"/>
    </xf>
    <xf numFmtId="0" fontId="97" fillId="56" borderId="0" xfId="6" applyNumberFormat="1" applyFont="1" applyFill="1" applyBorder="1" applyAlignment="1">
      <alignment horizontal="center" vertical="center"/>
    </xf>
    <xf numFmtId="0" fontId="13" fillId="0" borderId="5" xfId="0" applyNumberFormat="1" applyFont="1" applyBorder="1" applyAlignment="1">
      <alignment horizontal="center" vertical="center"/>
    </xf>
    <xf numFmtId="0" fontId="0" fillId="0" borderId="0" xfId="0" applyNumberFormat="1" applyAlignment="1">
      <alignment horizontal="center" vertical="center"/>
    </xf>
    <xf numFmtId="0" fontId="4" fillId="0" borderId="5" xfId="0" applyFont="1" applyFill="1" applyBorder="1" applyAlignment="1">
      <alignment horizontal="center" vertical="center"/>
    </xf>
    <xf numFmtId="0" fontId="96" fillId="57" borderId="35" xfId="0" applyFont="1" applyFill="1" applyBorder="1" applyAlignment="1">
      <alignment horizontal="center" vertical="center"/>
    </xf>
    <xf numFmtId="0" fontId="4" fillId="0" borderId="5" xfId="0" applyFont="1" applyFill="1" applyBorder="1" applyAlignment="1">
      <alignment horizontal="center" vertical="top"/>
    </xf>
    <xf numFmtId="0" fontId="4" fillId="0" borderId="5" xfId="0" applyFont="1" applyFill="1" applyBorder="1" applyAlignment="1">
      <alignment horizontal="center" vertical="center" wrapText="1"/>
    </xf>
    <xf numFmtId="0" fontId="4" fillId="0" borderId="5" xfId="0" applyFont="1" applyFill="1" applyBorder="1" applyAlignment="1">
      <alignment horizontal="center" vertical="center"/>
    </xf>
    <xf numFmtId="182" fontId="4" fillId="0" borderId="5" xfId="0" applyNumberFormat="1" applyFont="1" applyFill="1" applyBorder="1" applyAlignment="1">
      <alignment horizontal="center" vertical="center"/>
    </xf>
    <xf numFmtId="182" fontId="4" fillId="6" borderId="5" xfId="0" applyNumberFormat="1" applyFont="1" applyFill="1" applyBorder="1" applyAlignment="1">
      <alignment horizontal="center" vertical="center"/>
    </xf>
    <xf numFmtId="0" fontId="4" fillId="0" borderId="5" xfId="0" applyFont="1" applyFill="1" applyBorder="1" applyAlignment="1">
      <alignment horizontal="right" vertical="center"/>
    </xf>
    <xf numFmtId="0" fontId="4" fillId="9" borderId="5" xfId="0" applyFont="1" applyFill="1" applyBorder="1" applyAlignment="1">
      <alignment horizontal="center" vertical="top"/>
    </xf>
    <xf numFmtId="0" fontId="4" fillId="9" borderId="5" xfId="0" applyFont="1" applyFill="1" applyBorder="1" applyAlignment="1">
      <alignment horizontal="center" vertical="top"/>
    </xf>
    <xf numFmtId="0" fontId="4" fillId="9" borderId="5" xfId="0" applyFont="1" applyFill="1" applyBorder="1" applyAlignment="1">
      <alignment horizontal="left" vertical="center"/>
    </xf>
    <xf numFmtId="0" fontId="4" fillId="9" borderId="5" xfId="0" applyFont="1" applyFill="1" applyBorder="1" applyAlignment="1">
      <alignment horizontal="left" vertical="top" wrapText="1"/>
    </xf>
    <xf numFmtId="0" fontId="46" fillId="9" borderId="5" xfId="0" applyFont="1" applyFill="1" applyBorder="1" applyAlignment="1">
      <alignment vertical="top"/>
    </xf>
    <xf numFmtId="0" fontId="65" fillId="9" borderId="5" xfId="0" applyFont="1" applyFill="1" applyBorder="1" applyAlignment="1">
      <alignment horizontal="center" vertical="top"/>
    </xf>
    <xf numFmtId="0" fontId="4" fillId="9" borderId="5" xfId="0" applyFont="1" applyFill="1" applyBorder="1" applyAlignment="1">
      <alignment horizontal="left" vertical="top"/>
    </xf>
    <xf numFmtId="3" fontId="4" fillId="9" borderId="5" xfId="0" applyNumberFormat="1" applyFont="1" applyFill="1" applyBorder="1" applyAlignment="1">
      <alignment horizontal="left" vertical="top"/>
    </xf>
    <xf numFmtId="43" fontId="4" fillId="9" borderId="5" xfId="4" applyNumberFormat="1" applyFont="1" applyFill="1" applyBorder="1" applyAlignment="1">
      <alignment horizontal="center" vertical="top"/>
    </xf>
    <xf numFmtId="43" fontId="4" fillId="9" borderId="5" xfId="4" applyNumberFormat="1" applyFont="1" applyFill="1" applyBorder="1" applyAlignment="1">
      <alignment vertical="top"/>
    </xf>
    <xf numFmtId="43" fontId="4" fillId="9" borderId="5" xfId="4" applyFont="1" applyFill="1" applyBorder="1" applyAlignment="1">
      <alignment vertical="top"/>
    </xf>
    <xf numFmtId="192" fontId="4" fillId="9" borderId="5" xfId="4" applyNumberFormat="1" applyFont="1" applyFill="1" applyBorder="1" applyAlignment="1">
      <alignment vertical="top"/>
    </xf>
    <xf numFmtId="183" fontId="4" fillId="9" borderId="5" xfId="4" applyNumberFormat="1" applyFont="1" applyFill="1" applyBorder="1" applyAlignment="1">
      <alignment vertical="top"/>
    </xf>
    <xf numFmtId="9" fontId="4" fillId="58" borderId="5" xfId="0" applyNumberFormat="1" applyFont="1" applyFill="1" applyBorder="1" applyAlignment="1">
      <alignment vertical="top"/>
    </xf>
    <xf numFmtId="3" fontId="4" fillId="9" borderId="5" xfId="0" applyNumberFormat="1" applyFont="1" applyFill="1" applyBorder="1" applyAlignment="1">
      <alignment horizontal="center" vertical="top"/>
    </xf>
    <xf numFmtId="9" fontId="4" fillId="9" borderId="5" xfId="0" applyNumberFormat="1" applyFont="1" applyFill="1" applyBorder="1" applyAlignment="1">
      <alignment horizontal="right" vertical="top"/>
    </xf>
    <xf numFmtId="0" fontId="4" fillId="9" borderId="5" xfId="0" applyFont="1" applyFill="1" applyBorder="1" applyAlignment="1">
      <alignment horizontal="right" vertical="top"/>
    </xf>
    <xf numFmtId="10" fontId="4" fillId="9" borderId="5" xfId="0" applyNumberFormat="1" applyFont="1" applyFill="1" applyBorder="1" applyAlignment="1">
      <alignment horizontal="right" vertical="top"/>
    </xf>
    <xf numFmtId="0" fontId="50" fillId="59" borderId="5" xfId="0" applyFont="1" applyFill="1" applyBorder="1" applyAlignment="1">
      <alignment horizontal="center" vertical="top"/>
    </xf>
    <xf numFmtId="0" fontId="4" fillId="9" borderId="26" xfId="0" applyFont="1" applyFill="1" applyBorder="1" applyAlignment="1">
      <alignment horizontal="center" vertical="center"/>
    </xf>
    <xf numFmtId="0" fontId="4" fillId="9" borderId="12" xfId="0" applyFont="1" applyFill="1" applyBorder="1" applyAlignment="1">
      <alignment horizontal="center" vertical="center"/>
    </xf>
    <xf numFmtId="0" fontId="4" fillId="0" borderId="22" xfId="0" applyFont="1" applyFill="1" applyBorder="1" applyAlignment="1">
      <alignment horizontal="center" vertical="center"/>
    </xf>
    <xf numFmtId="3" fontId="4" fillId="9" borderId="5" xfId="4" applyNumberFormat="1" applyFont="1" applyFill="1" applyBorder="1" applyAlignment="1">
      <alignment horizontal="left" vertical="top"/>
    </xf>
    <xf numFmtId="3" fontId="4" fillId="9" borderId="5" xfId="4" applyNumberFormat="1" applyFont="1" applyFill="1" applyBorder="1" applyAlignment="1">
      <alignment horizontal="center" vertical="top"/>
    </xf>
    <xf numFmtId="0" fontId="5" fillId="9" borderId="5" xfId="0" applyFont="1" applyFill="1" applyBorder="1" applyAlignment="1">
      <alignment horizontal="center" vertical="top"/>
    </xf>
    <xf numFmtId="0" fontId="4" fillId="9" borderId="5" xfId="0" applyFont="1" applyFill="1" applyBorder="1" applyAlignment="1">
      <alignment horizontal="center" vertical="top"/>
    </xf>
    <xf numFmtId="43" fontId="4" fillId="9" borderId="5" xfId="4" applyFont="1" applyFill="1" applyBorder="1" applyAlignment="1">
      <alignment vertical="top"/>
    </xf>
    <xf numFmtId="0" fontId="4" fillId="9" borderId="5" xfId="0" applyFont="1" applyFill="1" applyBorder="1" applyAlignment="1">
      <alignment horizontal="left" vertical="center"/>
    </xf>
    <xf numFmtId="0" fontId="4" fillId="9" borderId="5" xfId="0" applyFont="1" applyFill="1" applyBorder="1" applyAlignment="1">
      <alignment horizontal="left" vertical="top" wrapText="1"/>
    </xf>
    <xf numFmtId="0" fontId="46" fillId="9" borderId="5" xfId="0" applyFont="1" applyFill="1" applyBorder="1" applyAlignment="1">
      <alignment vertical="top"/>
    </xf>
    <xf numFmtId="0" fontId="4" fillId="9" borderId="5" xfId="0" applyFont="1" applyFill="1" applyBorder="1" applyAlignment="1">
      <alignment horizontal="right" vertical="top"/>
    </xf>
    <xf numFmtId="0" fontId="5" fillId="9" borderId="5" xfId="0" applyFont="1" applyFill="1" applyBorder="1" applyAlignment="1">
      <alignment horizontal="left" vertical="top"/>
    </xf>
    <xf numFmtId="3" fontId="4" fillId="9" borderId="5" xfId="0" applyNumberFormat="1" applyFont="1" applyFill="1" applyBorder="1" applyAlignment="1">
      <alignment horizontal="left" vertical="top"/>
    </xf>
    <xf numFmtId="43" fontId="4" fillId="9" borderId="5" xfId="4" applyNumberFormat="1" applyFont="1" applyFill="1" applyBorder="1" applyAlignment="1">
      <alignment horizontal="center" vertical="top"/>
    </xf>
    <xf numFmtId="43" fontId="4" fillId="9" borderId="5" xfId="4" applyNumberFormat="1" applyFont="1" applyFill="1" applyBorder="1" applyAlignment="1">
      <alignment vertical="top"/>
    </xf>
    <xf numFmtId="192" fontId="4" fillId="9" borderId="5" xfId="4" applyNumberFormat="1" applyFont="1" applyFill="1" applyBorder="1" applyAlignment="1">
      <alignment vertical="top"/>
    </xf>
    <xf numFmtId="183" fontId="4" fillId="9" borderId="5" xfId="4" applyNumberFormat="1" applyFont="1" applyFill="1" applyBorder="1" applyAlignment="1">
      <alignment vertical="top"/>
    </xf>
    <xf numFmtId="9" fontId="4" fillId="58" borderId="5" xfId="0" applyNumberFormat="1" applyFont="1" applyFill="1" applyBorder="1" applyAlignment="1">
      <alignment vertical="top"/>
    </xf>
    <xf numFmtId="0" fontId="4" fillId="9" borderId="5" xfId="0" applyFont="1" applyFill="1" applyBorder="1" applyAlignment="1">
      <alignment horizontal="left" vertical="top"/>
    </xf>
    <xf numFmtId="9" fontId="4" fillId="9" borderId="5" xfId="0" applyNumberFormat="1" applyFont="1" applyFill="1" applyBorder="1" applyAlignment="1">
      <alignment horizontal="right" vertical="top"/>
    </xf>
    <xf numFmtId="0" fontId="6" fillId="3" borderId="5" xfId="0" applyFont="1" applyFill="1" applyBorder="1" applyAlignment="1">
      <alignment horizontal="left" vertical="center"/>
    </xf>
    <xf numFmtId="0" fontId="6" fillId="3" borderId="5" xfId="0" applyFont="1" applyFill="1" applyBorder="1" applyAlignment="1">
      <alignment vertical="top" wrapText="1"/>
    </xf>
    <xf numFmtId="0" fontId="46" fillId="3" borderId="5" xfId="0" applyFont="1" applyFill="1" applyBorder="1" applyAlignment="1">
      <alignment horizontal="right" vertical="top"/>
    </xf>
    <xf numFmtId="0" fontId="4" fillId="3" borderId="5" xfId="0" applyFont="1" applyFill="1" applyBorder="1" applyAlignment="1">
      <alignment horizontal="right" vertical="top"/>
    </xf>
    <xf numFmtId="0" fontId="4" fillId="3" borderId="5" xfId="0" applyFont="1" applyFill="1" applyBorder="1" applyAlignment="1">
      <alignment horizontal="center" vertical="top"/>
    </xf>
    <xf numFmtId="0" fontId="4" fillId="3" borderId="5" xfId="0" applyFont="1" applyFill="1" applyBorder="1" applyAlignment="1">
      <alignment horizontal="left" vertical="top"/>
    </xf>
    <xf numFmtId="10" fontId="4" fillId="3" borderId="5" xfId="0" applyNumberFormat="1" applyFont="1" applyFill="1" applyBorder="1" applyAlignment="1">
      <alignment horizontal="left" vertical="top"/>
    </xf>
    <xf numFmtId="43" fontId="4" fillId="3" borderId="5" xfId="4" applyNumberFormat="1" applyFont="1" applyFill="1" applyBorder="1" applyAlignment="1">
      <alignment horizontal="center" vertical="top"/>
    </xf>
    <xf numFmtId="43" fontId="4" fillId="3" borderId="5" xfId="4" applyNumberFormat="1" applyFont="1" applyFill="1" applyBorder="1" applyAlignment="1">
      <alignment vertical="top"/>
    </xf>
    <xf numFmtId="43" fontId="4" fillId="3" borderId="5" xfId="4" applyFont="1" applyFill="1" applyBorder="1" applyAlignment="1">
      <alignment vertical="top"/>
    </xf>
    <xf numFmtId="192" fontId="4" fillId="3" borderId="5" xfId="4" applyNumberFormat="1" applyFont="1" applyFill="1" applyBorder="1" applyAlignment="1">
      <alignment vertical="top"/>
    </xf>
    <xf numFmtId="183" fontId="4" fillId="3" borderId="5" xfId="4" applyNumberFormat="1" applyFont="1" applyFill="1" applyBorder="1" applyAlignment="1">
      <alignment vertical="top"/>
    </xf>
    <xf numFmtId="9" fontId="4" fillId="60" borderId="5" xfId="0" applyNumberFormat="1" applyFont="1" applyFill="1" applyBorder="1" applyAlignment="1">
      <alignment vertical="top"/>
    </xf>
    <xf numFmtId="187" fontId="4" fillId="3" borderId="5" xfId="0" applyNumberFormat="1" applyFont="1" applyFill="1" applyBorder="1" applyAlignment="1">
      <alignment horizontal="center" vertical="top"/>
    </xf>
    <xf numFmtId="9" fontId="4" fillId="3" borderId="5" xfId="0" applyNumberFormat="1" applyFont="1" applyFill="1" applyBorder="1" applyAlignment="1">
      <alignment horizontal="right"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 fillId="9" borderId="5" xfId="0"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 fillId="9" borderId="5" xfId="0"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 fillId="9" borderId="5" xfId="0"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 fillId="9" borderId="5" xfId="0"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 fillId="9" borderId="5" xfId="0"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 fillId="9" borderId="5" xfId="0"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 fillId="9" borderId="5" xfId="0"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 fillId="9" borderId="5" xfId="0"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 fillId="9" borderId="5" xfId="0"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46" fillId="9" borderId="5" xfId="0" applyFont="1" applyFill="1" applyBorder="1" applyAlignment="1">
      <alignment horizontal="center" vertical="top"/>
    </xf>
    <xf numFmtId="187" fontId="46" fillId="0" borderId="5" xfId="0" applyNumberFormat="1" applyFont="1" applyFill="1" applyBorder="1" applyAlignment="1">
      <alignment horizontal="center" vertical="top"/>
    </xf>
    <xf numFmtId="0" fontId="5" fillId="0" borderId="0" xfId="0" applyFont="1">
      <alignment vertical="center"/>
    </xf>
    <xf numFmtId="0" fontId="4" fillId="0" borderId="0" xfId="0" applyFont="1">
      <alignment vertical="center"/>
    </xf>
    <xf numFmtId="0" fontId="4" fillId="0" borderId="5" xfId="0" applyFont="1" applyBorder="1">
      <alignment vertical="center"/>
    </xf>
    <xf numFmtId="0" fontId="4" fillId="0" borderId="0" xfId="0" applyFont="1" applyFill="1" applyAlignment="1">
      <alignment horizontal="right" vertical="center"/>
    </xf>
    <xf numFmtId="0" fontId="5" fillId="0" borderId="0" xfId="0" applyFont="1" applyFill="1" applyAlignment="1">
      <alignment horizontal="right" vertical="center"/>
    </xf>
    <xf numFmtId="0" fontId="4" fillId="0" borderId="5" xfId="0" applyFont="1" applyFill="1" applyBorder="1" applyAlignment="1">
      <alignment horizontal="center" vertical="center"/>
    </xf>
    <xf numFmtId="0" fontId="4" fillId="0" borderId="5" xfId="0" applyFont="1" applyFill="1" applyBorder="1" applyAlignment="1">
      <alignment horizontal="right" vertical="center"/>
    </xf>
    <xf numFmtId="0" fontId="4" fillId="0" borderId="5" xfId="0" applyFont="1" applyFill="1" applyBorder="1" applyAlignment="1">
      <alignment vertical="center"/>
    </xf>
    <xf numFmtId="43" fontId="4" fillId="0" borderId="5" xfId="0" applyNumberFormat="1" applyFont="1" applyFill="1" applyBorder="1" applyAlignment="1">
      <alignment horizontal="right" vertical="center"/>
    </xf>
    <xf numFmtId="10" fontId="4" fillId="0" borderId="5" xfId="0" applyNumberFormat="1" applyFont="1" applyFill="1" applyBorder="1" applyAlignment="1">
      <alignment horizontal="right" vertical="center"/>
    </xf>
    <xf numFmtId="179" fontId="4" fillId="0" borderId="5" xfId="0" applyNumberFormat="1" applyFont="1" applyFill="1" applyBorder="1">
      <alignment vertical="center"/>
    </xf>
    <xf numFmtId="0" fontId="6" fillId="0" borderId="0" xfId="0" applyFont="1" applyAlignment="1">
      <alignment vertical="center"/>
    </xf>
    <xf numFmtId="43" fontId="6" fillId="0" borderId="5" xfId="0" applyNumberFormat="1" applyFont="1" applyFill="1" applyBorder="1" applyAlignment="1">
      <alignment horizontal="right" vertical="center"/>
    </xf>
    <xf numFmtId="43" fontId="6" fillId="0" borderId="0" xfId="0" applyNumberFormat="1" applyFont="1" applyFill="1" applyBorder="1" applyAlignment="1">
      <alignment horizontal="right" vertical="center"/>
    </xf>
    <xf numFmtId="43" fontId="4" fillId="0" borderId="5" xfId="4" applyFont="1" applyFill="1" applyBorder="1">
      <alignment vertical="center"/>
    </xf>
    <xf numFmtId="0" fontId="63" fillId="0" borderId="0" xfId="0" applyFont="1" applyFill="1" applyAlignment="1">
      <alignment horizontal="right" vertical="center"/>
    </xf>
    <xf numFmtId="0" fontId="46" fillId="0" borderId="5" xfId="0" applyFont="1" applyFill="1" applyBorder="1" applyAlignment="1">
      <alignment horizontal="right" vertical="center"/>
    </xf>
    <xf numFmtId="43" fontId="4" fillId="0" borderId="5" xfId="4" applyFont="1" applyFill="1" applyBorder="1" applyAlignment="1">
      <alignment vertical="top"/>
    </xf>
    <xf numFmtId="43" fontId="4" fillId="0" borderId="5" xfId="0" applyNumberFormat="1" applyFont="1" applyFill="1" applyBorder="1" applyAlignment="1">
      <alignment vertical="center"/>
    </xf>
    <xf numFmtId="9" fontId="4" fillId="3" borderId="5" xfId="0" applyNumberFormat="1" applyFont="1" applyFill="1" applyBorder="1" applyAlignment="1">
      <alignment horizontal="right" vertical="center"/>
    </xf>
    <xf numFmtId="43" fontId="6" fillId="0" borderId="31" xfId="0" applyNumberFormat="1" applyFont="1" applyFill="1" applyBorder="1" applyAlignment="1">
      <alignment horizontal="right" vertical="center"/>
    </xf>
    <xf numFmtId="0" fontId="4" fillId="0" borderId="22" xfId="0" applyFont="1" applyBorder="1" applyAlignment="1">
      <alignment vertical="center"/>
    </xf>
    <xf numFmtId="0" fontId="4" fillId="0" borderId="12" xfId="0" applyFont="1" applyBorder="1" applyAlignment="1">
      <alignment vertical="center"/>
    </xf>
    <xf numFmtId="43" fontId="4" fillId="0" borderId="5" xfId="4" applyFont="1" applyFill="1" applyBorder="1" applyAlignment="1">
      <alignment vertical="top"/>
    </xf>
    <xf numFmtId="9" fontId="4" fillId="3" borderId="5" xfId="0" applyNumberFormat="1" applyFont="1" applyFill="1" applyBorder="1" applyAlignment="1">
      <alignment horizontal="right" vertical="center"/>
    </xf>
    <xf numFmtId="0" fontId="5" fillId="0" borderId="0" xfId="0" applyFont="1">
      <alignment vertical="center"/>
    </xf>
    <xf numFmtId="0" fontId="4" fillId="0" borderId="0" xfId="0" applyFont="1">
      <alignment vertical="center"/>
    </xf>
    <xf numFmtId="0" fontId="4" fillId="0" borderId="5" xfId="0" applyFont="1" applyBorder="1">
      <alignment vertical="center"/>
    </xf>
    <xf numFmtId="0" fontId="4" fillId="0" borderId="5" xfId="0" applyFont="1" applyBorder="1" applyAlignment="1">
      <alignment vertical="center"/>
    </xf>
    <xf numFmtId="0" fontId="4" fillId="0" borderId="5" xfId="0" applyFont="1" applyBorder="1" applyAlignment="1">
      <alignment horizontal="center" vertical="center"/>
    </xf>
    <xf numFmtId="0" fontId="4" fillId="0" borderId="5" xfId="0" applyFont="1" applyFill="1" applyBorder="1" applyAlignment="1">
      <alignment horizontal="center" vertical="center"/>
    </xf>
    <xf numFmtId="10" fontId="4" fillId="0" borderId="5" xfId="0" applyNumberFormat="1" applyFont="1" applyFill="1" applyBorder="1" applyAlignment="1">
      <alignment horizontal="right" vertical="center"/>
    </xf>
    <xf numFmtId="0" fontId="6" fillId="0" borderId="5" xfId="0" applyFont="1" applyBorder="1" applyAlignment="1">
      <alignment vertical="center"/>
    </xf>
    <xf numFmtId="0" fontId="6" fillId="0" borderId="0" xfId="0" applyFont="1" applyAlignment="1">
      <alignment vertical="center"/>
    </xf>
    <xf numFmtId="0" fontId="6" fillId="0" borderId="0" xfId="0" applyFont="1" applyBorder="1" applyAlignment="1">
      <alignment vertical="center"/>
    </xf>
    <xf numFmtId="0" fontId="64" fillId="0" borderId="0" xfId="0" applyFont="1">
      <alignment vertical="center"/>
    </xf>
    <xf numFmtId="0" fontId="6" fillId="0" borderId="31" xfId="0" applyFont="1" applyBorder="1" applyAlignment="1">
      <alignment vertical="center"/>
    </xf>
    <xf numFmtId="0" fontId="4" fillId="9" borderId="5" xfId="0" applyFont="1" applyFill="1" applyBorder="1" applyAlignment="1">
      <alignment horizontal="center" vertical="center"/>
    </xf>
    <xf numFmtId="0" fontId="4" fillId="9" borderId="5" xfId="0" applyFont="1" applyFill="1" applyBorder="1" applyAlignment="1">
      <alignment horizontal="right" vertical="center"/>
    </xf>
    <xf numFmtId="0" fontId="6" fillId="9" borderId="5" xfId="0" applyFont="1" applyFill="1" applyBorder="1" applyAlignment="1">
      <alignment horizontal="left" vertical="center" indent="1"/>
    </xf>
    <xf numFmtId="0" fontId="46" fillId="9" borderId="5" xfId="0" applyFont="1" applyFill="1" applyBorder="1">
      <alignment vertical="center"/>
    </xf>
    <xf numFmtId="0" fontId="20" fillId="9" borderId="5" xfId="0" applyFont="1" applyFill="1" applyBorder="1" applyAlignment="1">
      <alignment horizontal="center" vertical="center" wrapText="1"/>
    </xf>
    <xf numFmtId="0" fontId="4" fillId="9" borderId="5" xfId="0" applyFont="1" applyFill="1" applyBorder="1">
      <alignment vertical="center"/>
    </xf>
    <xf numFmtId="179" fontId="4" fillId="9" borderId="5" xfId="0" applyNumberFormat="1" applyFont="1" applyFill="1" applyBorder="1">
      <alignment vertical="center"/>
    </xf>
    <xf numFmtId="0" fontId="4" fillId="0" borderId="5" xfId="0" applyFont="1" applyBorder="1">
      <alignment vertical="center"/>
    </xf>
    <xf numFmtId="0" fontId="4" fillId="0" borderId="5" xfId="0" applyFont="1" applyBorder="1" applyAlignment="1">
      <alignment vertical="center"/>
    </xf>
    <xf numFmtId="0" fontId="4" fillId="0" borderId="5" xfId="0" applyFont="1" applyFill="1" applyBorder="1" applyAlignment="1">
      <alignment vertical="center"/>
    </xf>
    <xf numFmtId="43" fontId="4" fillId="0" borderId="5" xfId="0" applyNumberFormat="1" applyFont="1" applyFill="1" applyBorder="1" applyAlignment="1">
      <alignment horizontal="right" vertical="center"/>
    </xf>
    <xf numFmtId="0" fontId="6" fillId="0" borderId="5" xfId="0" applyFont="1" applyFill="1" applyBorder="1" applyAlignment="1">
      <alignment vertical="center"/>
    </xf>
    <xf numFmtId="0" fontId="20" fillId="0" borderId="5" xfId="0" applyFont="1" applyFill="1" applyBorder="1" applyAlignment="1">
      <alignment horizontal="center" vertical="center" wrapText="1"/>
    </xf>
    <xf numFmtId="0" fontId="4" fillId="9" borderId="5" xfId="0" applyFont="1" applyFill="1" applyBorder="1" applyAlignment="1">
      <alignment horizontal="center" vertical="center"/>
    </xf>
    <xf numFmtId="0" fontId="46" fillId="0" borderId="5" xfId="0" applyFont="1" applyBorder="1" applyAlignment="1">
      <alignment vertical="center"/>
    </xf>
    <xf numFmtId="0" fontId="4" fillId="9" borderId="5" xfId="0" applyFont="1" applyFill="1" applyBorder="1" applyAlignment="1">
      <alignment horizontal="right" vertical="center"/>
    </xf>
    <xf numFmtId="0" fontId="6" fillId="9" borderId="5" xfId="0" applyFont="1" applyFill="1" applyBorder="1" applyAlignment="1">
      <alignment vertical="center"/>
    </xf>
    <xf numFmtId="0" fontId="46" fillId="0" borderId="5" xfId="0" applyFont="1" applyFill="1" applyBorder="1" applyAlignment="1">
      <alignment vertical="center"/>
    </xf>
    <xf numFmtId="0" fontId="4" fillId="0" borderId="5" xfId="0" applyFont="1" applyFill="1" applyBorder="1" applyAlignment="1">
      <alignment horizontal="center"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0" fontId="4" fillId="0" borderId="5" xfId="0" applyFont="1" applyFill="1" applyBorder="1" applyAlignment="1">
      <alignment horizontal="center"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0" fontId="4" fillId="0" borderId="5" xfId="0" applyFont="1" applyFill="1" applyBorder="1" applyAlignment="1">
      <alignment horizontal="center"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0" fontId="4" fillId="0" borderId="5" xfId="0" applyFont="1" applyFill="1" applyBorder="1" applyAlignment="1">
      <alignment horizontal="center" vertical="center"/>
    </xf>
    <xf numFmtId="9" fontId="4" fillId="0" borderId="5" xfId="0" applyNumberFormat="1" applyFont="1" applyFill="1" applyBorder="1" applyAlignment="1">
      <alignment horizontal="right"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9" fontId="4" fillId="20" borderId="5" xfId="0" applyNumberFormat="1" applyFont="1" applyFill="1" applyBorder="1" applyAlignment="1">
      <alignment vertical="top"/>
    </xf>
    <xf numFmtId="0" fontId="4" fillId="0" borderId="5" xfId="0" applyFont="1" applyFill="1" applyBorder="1" applyAlignment="1">
      <alignment horizontal="center" vertical="center"/>
    </xf>
    <xf numFmtId="0" fontId="4" fillId="0" borderId="5" xfId="0" applyFont="1" applyFill="1" applyBorder="1" applyAlignment="1">
      <alignment horizontal="left"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0" fontId="4" fillId="0" borderId="5" xfId="0" applyFont="1" applyFill="1" applyBorder="1" applyAlignment="1">
      <alignment horizontal="center"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43" fontId="4" fillId="9" borderId="5" xfId="4" applyFont="1" applyFill="1" applyBorder="1">
      <alignment vertical="center"/>
    </xf>
    <xf numFmtId="0" fontId="4" fillId="0" borderId="22" xfId="0" applyFont="1" applyFill="1" applyBorder="1" applyAlignment="1">
      <alignment vertical="center" wrapText="1"/>
    </xf>
    <xf numFmtId="0" fontId="4" fillId="9" borderId="26" xfId="0" applyFont="1" applyFill="1" applyBorder="1" applyAlignment="1">
      <alignment vertical="center" wrapText="1"/>
    </xf>
    <xf numFmtId="0" fontId="4" fillId="9" borderId="12" xfId="0" applyFont="1" applyFill="1" applyBorder="1" applyAlignment="1">
      <alignment vertical="center" wrapText="1"/>
    </xf>
    <xf numFmtId="0" fontId="4" fillId="0" borderId="5" xfId="0" applyFont="1" applyFill="1" applyBorder="1" applyAlignment="1">
      <alignment horizontal="center"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0" fontId="4" fillId="0" borderId="5" xfId="0" applyFont="1" applyFill="1" applyBorder="1" applyAlignment="1">
      <alignment horizontal="center"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0" fontId="4" fillId="0" borderId="0" xfId="0" applyFont="1">
      <alignment vertical="center"/>
    </xf>
    <xf numFmtId="0" fontId="4" fillId="0" borderId="5" xfId="0" applyFont="1" applyFill="1" applyBorder="1" applyAlignment="1">
      <alignment horizontal="center" vertical="center"/>
    </xf>
    <xf numFmtId="9" fontId="4" fillId="0" borderId="5" xfId="0" applyNumberFormat="1" applyFont="1" applyFill="1" applyBorder="1" applyAlignment="1">
      <alignment horizontal="right" vertical="center"/>
    </xf>
    <xf numFmtId="0" fontId="4" fillId="9" borderId="5" xfId="0" applyFont="1" applyFill="1" applyBorder="1" applyAlignment="1">
      <alignment horizontal="center" vertical="center"/>
    </xf>
    <xf numFmtId="0" fontId="4" fillId="0" borderId="5" xfId="0" applyFont="1" applyFill="1" applyBorder="1" applyAlignment="1">
      <alignment horizontal="left"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0" fontId="4" fillId="0" borderId="0" xfId="0" applyFont="1" applyFill="1" applyAlignment="1">
      <alignment vertical="top"/>
    </xf>
    <xf numFmtId="9" fontId="4" fillId="0" borderId="5" xfId="0" applyNumberFormat="1" applyFont="1" applyFill="1" applyBorder="1" applyAlignment="1">
      <alignment horizontal="right" vertical="top"/>
    </xf>
    <xf numFmtId="0" fontId="4" fillId="9" borderId="5" xfId="0" applyFont="1" applyFill="1" applyBorder="1" applyAlignment="1">
      <alignment horizontal="center" vertical="top"/>
    </xf>
    <xf numFmtId="0" fontId="4" fillId="0" borderId="5" xfId="0" applyFont="1" applyFill="1" applyBorder="1" applyAlignment="1">
      <alignment horizontal="center" vertical="top"/>
    </xf>
    <xf numFmtId="0" fontId="4" fillId="0" borderId="5" xfId="0" applyFont="1" applyFill="1" applyBorder="1" applyAlignment="1">
      <alignment vertical="center" wrapText="1"/>
    </xf>
    <xf numFmtId="186" fontId="5" fillId="14" borderId="5" xfId="4" applyNumberFormat="1" applyFont="1" applyFill="1" applyBorder="1" applyAlignment="1">
      <alignment vertical="top"/>
    </xf>
    <xf numFmtId="9" fontId="4" fillId="20" borderId="5" xfId="0" applyNumberFormat="1" applyFont="1" applyFill="1" applyBorder="1" applyAlignment="1">
      <alignment vertical="top"/>
    </xf>
    <xf numFmtId="186" fontId="4" fillId="14" borderId="5" xfId="4" applyNumberFormat="1" applyFont="1" applyFill="1" applyBorder="1" applyAlignment="1">
      <alignment vertical="top"/>
    </xf>
    <xf numFmtId="186" fontId="4" fillId="0" borderId="5" xfId="4" applyNumberFormat="1" applyFont="1" applyBorder="1" applyAlignment="1">
      <alignment vertical="top"/>
    </xf>
    <xf numFmtId="4" fontId="4" fillId="0" borderId="5" xfId="0" applyNumberFormat="1" applyFont="1" applyFill="1" applyBorder="1" applyAlignment="1">
      <alignment horizontal="left" vertical="center"/>
    </xf>
    <xf numFmtId="0" fontId="4" fillId="0" borderId="5" xfId="0" applyFont="1" applyFill="1" applyBorder="1" applyAlignment="1">
      <alignment horizontal="center" vertical="center" wrapText="1"/>
    </xf>
    <xf numFmtId="0" fontId="4" fillId="9" borderId="5" xfId="0" applyFont="1" applyFill="1" applyBorder="1" applyAlignment="1">
      <alignment horizontal="right" vertical="center"/>
    </xf>
    <xf numFmtId="0" fontId="46" fillId="9" borderId="5" xfId="0" applyFont="1" applyFill="1" applyBorder="1">
      <alignment vertical="center"/>
    </xf>
    <xf numFmtId="0" fontId="20" fillId="9" borderId="5" xfId="0" applyFont="1" applyFill="1" applyBorder="1" applyAlignment="1">
      <alignment horizontal="center" vertical="center" wrapText="1"/>
    </xf>
    <xf numFmtId="0" fontId="4" fillId="9" borderId="5" xfId="0" applyFont="1" applyFill="1" applyBorder="1">
      <alignment vertical="center"/>
    </xf>
    <xf numFmtId="43" fontId="4" fillId="9" borderId="5" xfId="4" applyFont="1" applyFill="1" applyBorder="1" applyAlignment="1">
      <alignment vertical="top"/>
    </xf>
    <xf numFmtId="0" fontId="4" fillId="9" borderId="5" xfId="0" applyFont="1" applyFill="1" applyBorder="1" applyAlignment="1">
      <alignment horizontal="left" vertical="center"/>
    </xf>
    <xf numFmtId="0" fontId="4" fillId="9" borderId="5" xfId="0" applyFont="1" applyFill="1" applyBorder="1" applyAlignment="1">
      <alignment horizontal="left" vertical="top" wrapText="1"/>
    </xf>
    <xf numFmtId="0" fontId="46" fillId="9" borderId="5" xfId="0" applyFont="1" applyFill="1" applyBorder="1" applyAlignment="1">
      <alignment vertical="top"/>
    </xf>
    <xf numFmtId="0" fontId="4" fillId="9" borderId="5" xfId="0" applyFont="1" applyFill="1" applyBorder="1" applyAlignment="1">
      <alignment horizontal="right" vertical="top"/>
    </xf>
    <xf numFmtId="0" fontId="5" fillId="9" borderId="5" xfId="0" applyFont="1" applyFill="1" applyBorder="1" applyAlignment="1">
      <alignment horizontal="left" vertical="top"/>
    </xf>
    <xf numFmtId="3" fontId="4" fillId="9" borderId="5" xfId="0" applyNumberFormat="1" applyFont="1" applyFill="1" applyBorder="1" applyAlignment="1">
      <alignment horizontal="left" vertical="top"/>
    </xf>
    <xf numFmtId="43" fontId="4" fillId="9" borderId="5" xfId="4" applyNumberFormat="1" applyFont="1" applyFill="1" applyBorder="1" applyAlignment="1">
      <alignment horizontal="center" vertical="top"/>
    </xf>
    <xf numFmtId="43" fontId="4" fillId="9" borderId="5" xfId="4" applyNumberFormat="1" applyFont="1" applyFill="1" applyBorder="1" applyAlignment="1">
      <alignment vertical="top"/>
    </xf>
    <xf numFmtId="192" fontId="4" fillId="9" borderId="5" xfId="4" applyNumberFormat="1" applyFont="1" applyFill="1" applyBorder="1" applyAlignment="1">
      <alignment vertical="top"/>
    </xf>
    <xf numFmtId="183" fontId="4" fillId="9" borderId="5" xfId="4" applyNumberFormat="1" applyFont="1" applyFill="1" applyBorder="1" applyAlignment="1">
      <alignment vertical="top"/>
    </xf>
    <xf numFmtId="9" fontId="4" fillId="58" borderId="5" xfId="0" applyNumberFormat="1" applyFont="1" applyFill="1" applyBorder="1" applyAlignment="1">
      <alignment vertical="top"/>
    </xf>
    <xf numFmtId="0" fontId="4" fillId="9" borderId="5" xfId="0" applyFont="1" applyFill="1" applyBorder="1" applyAlignment="1">
      <alignment horizontal="left" vertical="top"/>
    </xf>
    <xf numFmtId="9" fontId="4" fillId="9" borderId="5" xfId="0" applyNumberFormat="1" applyFont="1" applyFill="1" applyBorder="1" applyAlignment="1">
      <alignment horizontal="right" vertical="top"/>
    </xf>
    <xf numFmtId="0" fontId="6" fillId="9" borderId="5" xfId="0" applyFont="1" applyFill="1" applyBorder="1" applyAlignment="1">
      <alignment horizontal="left" vertical="center"/>
    </xf>
    <xf numFmtId="0" fontId="6" fillId="9" borderId="5" xfId="0" applyFont="1" applyFill="1" applyBorder="1">
      <alignment vertical="center"/>
    </xf>
    <xf numFmtId="0" fontId="20" fillId="9" borderId="5" xfId="0" applyFont="1" applyFill="1" applyBorder="1" applyAlignment="1">
      <alignment horizontal="left" vertical="center" wrapText="1"/>
    </xf>
    <xf numFmtId="0" fontId="20" fillId="9" borderId="21" xfId="0" applyFont="1" applyFill="1" applyBorder="1" applyAlignment="1">
      <alignment horizontal="left" vertical="center" wrapText="1"/>
    </xf>
    <xf numFmtId="0" fontId="4" fillId="9" borderId="5" xfId="0" applyFont="1" applyFill="1" applyBorder="1" applyAlignment="1">
      <alignment horizontal="right" vertical="center" wrapText="1"/>
    </xf>
    <xf numFmtId="0" fontId="4" fillId="9" borderId="5" xfId="0" applyFont="1" applyFill="1" applyBorder="1" applyAlignment="1">
      <alignment vertical="center" wrapText="1"/>
    </xf>
    <xf numFmtId="0" fontId="4" fillId="9" borderId="5" xfId="0" applyFont="1" applyFill="1" applyBorder="1" applyAlignment="1">
      <alignment horizontal="center" vertical="center" wrapText="1"/>
    </xf>
    <xf numFmtId="0" fontId="4" fillId="9" borderId="5" xfId="0" applyFont="1" applyFill="1" applyBorder="1" applyAlignment="1">
      <alignment horizontal="left" vertical="center" indent="1"/>
    </xf>
    <xf numFmtId="0" fontId="68" fillId="9" borderId="5" xfId="0" applyFont="1" applyFill="1" applyBorder="1">
      <alignment vertical="center"/>
    </xf>
    <xf numFmtId="43" fontId="4" fillId="9" borderId="5" xfId="4" applyFont="1" applyFill="1" applyBorder="1" applyAlignment="1">
      <alignment horizontal="left" vertical="center"/>
    </xf>
    <xf numFmtId="43" fontId="4" fillId="9" borderId="5" xfId="4" applyFont="1" applyFill="1" applyBorder="1" applyAlignment="1">
      <alignment horizontal="center" vertical="center"/>
    </xf>
    <xf numFmtId="43" fontId="4" fillId="9" borderId="5" xfId="0" applyNumberFormat="1" applyFont="1" applyFill="1" applyBorder="1" applyAlignment="1">
      <alignment horizontal="center" vertical="center"/>
    </xf>
    <xf numFmtId="9" fontId="4" fillId="9" borderId="5" xfId="0" applyNumberFormat="1" applyFont="1" applyFill="1" applyBorder="1" applyAlignment="1">
      <alignment horizontal="right" vertical="center"/>
    </xf>
    <xf numFmtId="0" fontId="0" fillId="9" borderId="5" xfId="0" applyFill="1" applyBorder="1" applyAlignment="1">
      <alignment vertical="center"/>
    </xf>
    <xf numFmtId="183" fontId="4" fillId="9" borderId="26" xfId="4" applyNumberFormat="1" applyFont="1" applyFill="1" applyBorder="1" applyAlignment="1">
      <alignment horizontal="center" vertical="top"/>
    </xf>
    <xf numFmtId="183" fontId="4" fillId="9" borderId="12" xfId="4" applyNumberFormat="1" applyFont="1" applyFill="1" applyBorder="1" applyAlignment="1">
      <alignment horizontal="center" vertical="top"/>
    </xf>
    <xf numFmtId="183" fontId="4" fillId="0" borderId="22" xfId="4" applyNumberFormat="1" applyFont="1" applyFill="1" applyBorder="1" applyAlignment="1">
      <alignment horizontal="center" vertical="top"/>
    </xf>
    <xf numFmtId="9" fontId="4" fillId="0" borderId="5" xfId="0" applyNumberFormat="1" applyFont="1" applyFill="1" applyBorder="1" applyAlignment="1">
      <alignment vertical="top"/>
    </xf>
    <xf numFmtId="3" fontId="4" fillId="9" borderId="5" xfId="0" applyNumberFormat="1" applyFont="1" applyFill="1" applyBorder="1" applyAlignment="1">
      <alignment horizontal="left" vertical="center"/>
    </xf>
    <xf numFmtId="3" fontId="4" fillId="9" borderId="5" xfId="4" applyNumberFormat="1" applyFont="1" applyFill="1" applyBorder="1" applyAlignment="1">
      <alignment horizontal="left" vertical="center"/>
    </xf>
    <xf numFmtId="0" fontId="4" fillId="6" borderId="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67" fillId="5" borderId="5" xfId="0" applyFont="1" applyFill="1" applyBorder="1" applyAlignment="1">
      <alignment horizontal="left" vertical="center"/>
    </xf>
    <xf numFmtId="3" fontId="4" fillId="5" borderId="5" xfId="0" applyNumberFormat="1" applyFont="1" applyFill="1" applyBorder="1" applyAlignment="1">
      <alignment horizontal="left" vertical="top"/>
    </xf>
    <xf numFmtId="0" fontId="4" fillId="0" borderId="5" xfId="4" applyNumberFormat="1" applyFont="1" applyFill="1" applyBorder="1" applyAlignment="1">
      <alignment horizontal="right" vertical="center"/>
    </xf>
    <xf numFmtId="0" fontId="4" fillId="0" borderId="5" xfId="0" applyFont="1" applyBorder="1" applyAlignment="1">
      <alignment horizontal="center" vertical="top"/>
    </xf>
    <xf numFmtId="0" fontId="4" fillId="0" borderId="5" xfId="0" applyFont="1" applyFill="1" applyBorder="1" applyAlignment="1">
      <alignment horizontal="right" vertical="center"/>
    </xf>
    <xf numFmtId="3" fontId="4" fillId="0" borderId="5" xfId="0" applyNumberFormat="1" applyFont="1" applyBorder="1" applyAlignment="1">
      <alignment horizontal="center" vertical="top"/>
    </xf>
    <xf numFmtId="0" fontId="4" fillId="0" borderId="5" xfId="0" applyFont="1" applyFill="1" applyBorder="1" applyAlignment="1">
      <alignment horizontal="center" vertical="center"/>
    </xf>
    <xf numFmtId="0" fontId="4" fillId="0" borderId="5" xfId="0" applyFont="1" applyBorder="1" applyAlignment="1">
      <alignment horizontal="center" vertical="center"/>
    </xf>
    <xf numFmtId="0" fontId="0" fillId="0" borderId="7" xfId="0" applyBorder="1" applyAlignment="1">
      <alignment vertical="center" wrapText="1"/>
    </xf>
    <xf numFmtId="0" fontId="4" fillId="8" borderId="77" xfId="4" applyNumberFormat="1" applyFont="1" applyFill="1" applyBorder="1" applyAlignment="1">
      <alignment horizontal="center" vertical="center"/>
    </xf>
    <xf numFmtId="0" fontId="4" fillId="8" borderId="81" xfId="4" applyNumberFormat="1" applyFont="1" applyFill="1" applyBorder="1" applyAlignment="1">
      <alignment horizontal="center" vertical="center"/>
    </xf>
    <xf numFmtId="0" fontId="4" fillId="0" borderId="21" xfId="4" applyNumberFormat="1" applyFont="1" applyFill="1" applyBorder="1" applyAlignment="1">
      <alignment horizontal="center" vertical="center"/>
    </xf>
    <xf numFmtId="0" fontId="4" fillId="0" borderId="79" xfId="4" applyNumberFormat="1" applyFont="1" applyFill="1" applyBorder="1" applyAlignment="1">
      <alignment horizontal="center" vertical="center"/>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89" fillId="0" borderId="5" xfId="0" applyFont="1" applyFill="1" applyBorder="1" applyAlignment="1">
      <alignment horizontal="center" vertical="center" wrapText="1" readingOrder="1"/>
    </xf>
    <xf numFmtId="0" fontId="6" fillId="0" borderId="9" xfId="0" applyFont="1" applyFill="1" applyBorder="1" applyAlignment="1">
      <alignment horizontal="center" vertical="center" wrapText="1" readingOrder="1"/>
    </xf>
    <xf numFmtId="0" fontId="6" fillId="0" borderId="1" xfId="0" applyFont="1" applyFill="1" applyBorder="1" applyAlignment="1">
      <alignment horizontal="center" vertical="center" wrapText="1" readingOrder="1"/>
    </xf>
    <xf numFmtId="0" fontId="6" fillId="0" borderId="3" xfId="0" applyFont="1" applyFill="1" applyBorder="1" applyAlignment="1">
      <alignment horizontal="center" vertical="center" wrapText="1" readingOrder="1"/>
    </xf>
    <xf numFmtId="0" fontId="6" fillId="0" borderId="5" xfId="0" applyFont="1" applyFill="1" applyBorder="1" applyAlignment="1">
      <alignment horizontal="left" vertical="center" wrapText="1"/>
    </xf>
    <xf numFmtId="0" fontId="6" fillId="0" borderId="5" xfId="0" applyFont="1" applyFill="1" applyBorder="1" applyAlignment="1">
      <alignment horizontal="left" vertical="center"/>
    </xf>
    <xf numFmtId="0" fontId="4" fillId="36" borderId="76" xfId="4" applyNumberFormat="1" applyFont="1" applyFill="1" applyBorder="1" applyAlignment="1">
      <alignment horizontal="center" vertical="center"/>
    </xf>
    <xf numFmtId="0" fontId="4" fillId="36" borderId="16" xfId="4" applyNumberFormat="1" applyFont="1" applyFill="1" applyBorder="1" applyAlignment="1">
      <alignment horizontal="center" vertical="center"/>
    </xf>
    <xf numFmtId="0" fontId="7" fillId="2" borderId="30" xfId="0" applyFont="1" applyFill="1" applyBorder="1" applyAlignment="1">
      <alignment horizontal="center" vertical="center"/>
    </xf>
    <xf numFmtId="0" fontId="7" fillId="2" borderId="44" xfId="0" applyFont="1" applyFill="1" applyBorder="1" applyAlignment="1">
      <alignment horizontal="center" vertical="center"/>
    </xf>
    <xf numFmtId="0" fontId="4" fillId="36" borderId="21" xfId="4" applyNumberFormat="1" applyFont="1" applyFill="1" applyBorder="1" applyAlignment="1">
      <alignment horizontal="center" vertical="center"/>
    </xf>
    <xf numFmtId="0" fontId="4" fillId="36" borderId="79" xfId="4" applyNumberFormat="1" applyFont="1" applyFill="1" applyBorder="1" applyAlignment="1">
      <alignment horizontal="center" vertical="center"/>
    </xf>
    <xf numFmtId="0" fontId="90" fillId="43" borderId="5" xfId="0" applyNumberFormat="1" applyFont="1" applyFill="1" applyBorder="1" applyAlignment="1">
      <alignment horizontal="center" vertical="center"/>
    </xf>
    <xf numFmtId="0" fontId="46" fillId="53" borderId="21" xfId="4" applyNumberFormat="1" applyFont="1" applyFill="1" applyBorder="1" applyAlignment="1">
      <alignment horizontal="center" vertical="center"/>
    </xf>
    <xf numFmtId="0" fontId="46" fillId="53" borderId="79" xfId="4" applyNumberFormat="1" applyFont="1" applyFill="1" applyBorder="1" applyAlignment="1">
      <alignment horizontal="center" vertical="center"/>
    </xf>
    <xf numFmtId="0" fontId="6" fillId="0" borderId="20" xfId="0" applyFont="1" applyFill="1" applyBorder="1" applyAlignment="1">
      <alignment horizontal="center" vertical="center" wrapText="1"/>
    </xf>
    <xf numFmtId="0" fontId="6" fillId="0" borderId="66" xfId="0" applyFont="1" applyFill="1" applyBorder="1" applyAlignment="1">
      <alignment horizontal="center" vertical="center" wrapText="1"/>
    </xf>
    <xf numFmtId="0" fontId="6" fillId="0" borderId="67" xfId="0" applyFont="1" applyFill="1" applyBorder="1" applyAlignment="1">
      <alignment horizontal="center" vertical="center" wrapText="1"/>
    </xf>
    <xf numFmtId="0" fontId="6" fillId="0" borderId="72" xfId="0" applyFont="1" applyFill="1" applyBorder="1" applyAlignment="1">
      <alignment horizontal="center" vertical="center" wrapText="1"/>
    </xf>
    <xf numFmtId="0" fontId="6" fillId="0" borderId="73" xfId="0" applyFont="1" applyFill="1" applyBorder="1" applyAlignment="1">
      <alignment horizontal="center" vertical="center" wrapText="1"/>
    </xf>
    <xf numFmtId="201" fontId="68" fillId="0" borderId="17" xfId="0" applyNumberFormat="1" applyFont="1" applyFill="1" applyBorder="1" applyAlignment="1">
      <alignment horizontal="center" vertical="center"/>
    </xf>
    <xf numFmtId="201" fontId="68" fillId="0" borderId="12" xfId="0" applyNumberFormat="1" applyFont="1" applyFill="1" applyBorder="1" applyAlignment="1">
      <alignment horizontal="center" vertical="center"/>
    </xf>
    <xf numFmtId="201" fontId="68" fillId="0" borderId="22" xfId="0" applyNumberFormat="1" applyFont="1" applyFill="1" applyBorder="1" applyAlignment="1">
      <alignment horizontal="center" vertical="center"/>
    </xf>
    <xf numFmtId="0" fontId="6" fillId="0" borderId="11" xfId="0" applyFont="1" applyBorder="1" applyAlignment="1">
      <alignment horizontal="center" vertical="center" wrapText="1"/>
    </xf>
    <xf numFmtId="0" fontId="6" fillId="0" borderId="75" xfId="0" applyFont="1" applyBorder="1" applyAlignment="1">
      <alignment horizontal="center" vertical="center" wrapText="1"/>
    </xf>
    <xf numFmtId="0" fontId="90" fillId="41" borderId="22" xfId="0" applyNumberFormat="1" applyFont="1" applyFill="1" applyBorder="1" applyAlignment="1">
      <alignment horizontal="center" vertical="center"/>
    </xf>
    <xf numFmtId="0" fontId="90" fillId="41" borderId="12" xfId="0" applyNumberFormat="1" applyFont="1" applyFill="1" applyBorder="1" applyAlignment="1">
      <alignment horizontal="center" vertical="center"/>
    </xf>
    <xf numFmtId="0" fontId="6" fillId="0" borderId="22" xfId="0" applyFont="1" applyFill="1" applyBorder="1" applyAlignment="1">
      <alignment horizontal="center" vertical="center"/>
    </xf>
    <xf numFmtId="0" fontId="6" fillId="0" borderId="12" xfId="0" applyFont="1" applyFill="1" applyBorder="1" applyAlignment="1">
      <alignment horizontal="center" vertical="center"/>
    </xf>
    <xf numFmtId="10" fontId="6" fillId="0" borderId="26" xfId="0" applyNumberFormat="1" applyFont="1" applyFill="1" applyBorder="1" applyAlignment="1">
      <alignment horizontal="center" vertical="center"/>
    </xf>
    <xf numFmtId="10" fontId="6" fillId="0" borderId="12" xfId="0" applyNumberFormat="1" applyFont="1" applyFill="1" applyBorder="1" applyAlignment="1">
      <alignment horizontal="center" vertical="center"/>
    </xf>
    <xf numFmtId="0" fontId="25" fillId="0" borderId="20" xfId="0" applyFont="1" applyFill="1" applyBorder="1" applyAlignment="1">
      <alignment horizontal="center" vertical="center" wrapText="1"/>
    </xf>
    <xf numFmtId="0" fontId="25" fillId="0" borderId="66" xfId="0" applyFont="1" applyFill="1" applyBorder="1" applyAlignment="1">
      <alignment horizontal="center" vertical="center" wrapText="1"/>
    </xf>
    <xf numFmtId="0" fontId="25" fillId="0" borderId="67" xfId="0" applyFont="1" applyFill="1" applyBorder="1" applyAlignment="1">
      <alignment horizontal="center" vertical="center" wrapText="1"/>
    </xf>
    <xf numFmtId="0" fontId="0" fillId="10" borderId="25" xfId="0" applyNumberFormat="1" applyFont="1" applyFill="1" applyBorder="1" applyAlignment="1">
      <alignment horizontal="center" vertical="center"/>
    </xf>
    <xf numFmtId="0" fontId="0" fillId="10" borderId="27" xfId="0" applyNumberFormat="1" applyFont="1" applyFill="1" applyBorder="1" applyAlignment="1">
      <alignment horizontal="center" vertical="center"/>
    </xf>
    <xf numFmtId="0" fontId="0" fillId="10" borderId="23" xfId="0" applyNumberFormat="1" applyFont="1" applyFill="1" applyBorder="1" applyAlignment="1">
      <alignment horizontal="center" vertical="center"/>
    </xf>
    <xf numFmtId="0" fontId="89" fillId="0" borderId="17" xfId="0" applyFont="1" applyBorder="1" applyAlignment="1">
      <alignment horizontal="center" vertical="center" wrapText="1" readingOrder="1"/>
    </xf>
    <xf numFmtId="0" fontId="89" fillId="0" borderId="12" xfId="0" applyFont="1" applyBorder="1" applyAlignment="1">
      <alignment horizontal="center" vertical="center" wrapText="1" readingOrder="1"/>
    </xf>
    <xf numFmtId="0" fontId="89" fillId="0" borderId="22" xfId="0" applyFont="1" applyBorder="1" applyAlignment="1">
      <alignment horizontal="center" vertical="center" wrapText="1" readingOrder="1"/>
    </xf>
    <xf numFmtId="10" fontId="6" fillId="0" borderId="17" xfId="0" applyNumberFormat="1" applyFont="1" applyBorder="1" applyAlignment="1">
      <alignment horizontal="center" vertical="center"/>
    </xf>
    <xf numFmtId="10" fontId="6" fillId="0" borderId="12" xfId="0" applyNumberFormat="1" applyFont="1" applyBorder="1" applyAlignment="1">
      <alignment horizontal="center" vertical="center"/>
    </xf>
    <xf numFmtId="10" fontId="6" fillId="0" borderId="22" xfId="0" applyNumberFormat="1" applyFont="1" applyBorder="1" applyAlignment="1">
      <alignment horizontal="center" vertical="center"/>
    </xf>
    <xf numFmtId="0" fontId="0" fillId="41" borderId="22" xfId="0" applyNumberFormat="1" applyFont="1" applyFill="1" applyBorder="1" applyAlignment="1">
      <alignment horizontal="center" vertical="center"/>
    </xf>
    <xf numFmtId="0" fontId="0" fillId="41" borderId="12" xfId="0" applyNumberFormat="1" applyFont="1" applyFill="1" applyBorder="1" applyAlignment="1">
      <alignment horizontal="center" vertical="center"/>
    </xf>
    <xf numFmtId="201" fontId="68" fillId="0" borderId="23" xfId="0" applyNumberFormat="1" applyFont="1" applyFill="1" applyBorder="1" applyAlignment="1">
      <alignment horizontal="center" vertical="center"/>
    </xf>
    <xf numFmtId="201" fontId="68" fillId="0" borderId="27" xfId="0" applyNumberFormat="1" applyFont="1" applyFill="1" applyBorder="1" applyAlignment="1">
      <alignment horizontal="center" vertical="center"/>
    </xf>
    <xf numFmtId="0" fontId="0" fillId="8" borderId="22" xfId="0" applyNumberFormat="1" applyFont="1" applyFill="1" applyBorder="1" applyAlignment="1">
      <alignment horizontal="center" vertical="center"/>
    </xf>
    <xf numFmtId="0" fontId="0" fillId="8" borderId="12" xfId="0" applyNumberFormat="1" applyFont="1" applyFill="1" applyBorder="1" applyAlignment="1">
      <alignment horizontal="center" vertical="center"/>
    </xf>
    <xf numFmtId="10" fontId="6" fillId="0" borderId="22" xfId="0" applyNumberFormat="1" applyFont="1" applyFill="1" applyBorder="1" applyAlignment="1">
      <alignment horizontal="center" vertical="center"/>
    </xf>
    <xf numFmtId="0" fontId="25" fillId="38" borderId="22" xfId="0" applyFont="1" applyFill="1" applyBorder="1" applyAlignment="1">
      <alignment horizontal="center" vertical="center" wrapText="1"/>
    </xf>
    <xf numFmtId="0" fontId="25" fillId="38" borderId="26" xfId="0" applyFont="1" applyFill="1" applyBorder="1" applyAlignment="1">
      <alignment horizontal="center" vertical="center" wrapText="1"/>
    </xf>
    <xf numFmtId="0" fontId="25" fillId="38" borderId="12" xfId="0" applyFont="1" applyFill="1" applyBorder="1" applyAlignment="1">
      <alignment horizontal="center" vertical="center" wrapText="1"/>
    </xf>
    <xf numFmtId="0" fontId="4" fillId="0" borderId="27" xfId="4" applyNumberFormat="1" applyFont="1" applyFill="1" applyBorder="1" applyAlignment="1">
      <alignment horizontal="center" vertical="center"/>
    </xf>
    <xf numFmtId="0" fontId="4" fillId="0" borderId="7" xfId="4" applyNumberFormat="1" applyFont="1" applyFill="1" applyBorder="1" applyAlignment="1">
      <alignment horizontal="center" vertical="center"/>
    </xf>
    <xf numFmtId="0" fontId="6" fillId="43" borderId="5" xfId="0" applyFont="1" applyFill="1" applyBorder="1" applyAlignment="1">
      <alignment horizontal="left" vertical="center" wrapText="1"/>
    </xf>
    <xf numFmtId="177" fontId="0" fillId="0" borderId="35" xfId="0" applyNumberFormat="1" applyFill="1" applyBorder="1" applyAlignment="1">
      <alignment horizontal="center" vertical="center"/>
    </xf>
    <xf numFmtId="0" fontId="0" fillId="0" borderId="7" xfId="0" applyFill="1" applyBorder="1" applyAlignment="1">
      <alignment horizontal="center" vertical="center"/>
    </xf>
    <xf numFmtId="0" fontId="0" fillId="0" borderId="29" xfId="0" applyFill="1" applyBorder="1" applyAlignment="1">
      <alignment horizontal="center" vertical="center"/>
    </xf>
    <xf numFmtId="0" fontId="4" fillId="0" borderId="29" xfId="4" applyNumberFormat="1" applyFont="1" applyFill="1" applyBorder="1" applyAlignment="1">
      <alignment horizontal="center" vertical="center"/>
    </xf>
    <xf numFmtId="0" fontId="25" fillId="14" borderId="28" xfId="0" applyFont="1" applyFill="1" applyBorder="1" applyAlignment="1">
      <alignment horizontal="center" vertical="center" wrapText="1"/>
    </xf>
    <xf numFmtId="0" fontId="25" fillId="14" borderId="44" xfId="0" applyFont="1" applyFill="1" applyBorder="1" applyAlignment="1">
      <alignment horizontal="center" vertical="center" wrapText="1"/>
    </xf>
    <xf numFmtId="0" fontId="25" fillId="14" borderId="29"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31" xfId="0" applyFont="1" applyFill="1" applyBorder="1" applyAlignment="1">
      <alignment horizontal="center" vertical="center" wrapText="1"/>
    </xf>
    <xf numFmtId="0" fontId="25" fillId="18" borderId="22" xfId="0" applyFont="1" applyFill="1" applyBorder="1" applyAlignment="1">
      <alignment horizontal="center" vertical="center" wrapText="1"/>
    </xf>
    <xf numFmtId="0" fontId="25" fillId="18" borderId="26" xfId="0" applyFont="1" applyFill="1" applyBorder="1" applyAlignment="1">
      <alignment horizontal="center" vertical="center" wrapText="1"/>
    </xf>
    <xf numFmtId="0" fontId="25" fillId="18" borderId="22" xfId="0" applyFont="1" applyFill="1" applyBorder="1" applyAlignment="1">
      <alignment horizontal="left" vertical="center" wrapText="1"/>
    </xf>
    <xf numFmtId="0" fontId="25" fillId="18" borderId="12" xfId="0" applyFont="1" applyFill="1" applyBorder="1" applyAlignment="1">
      <alignment horizontal="left" vertical="center" wrapText="1"/>
    </xf>
    <xf numFmtId="0" fontId="6" fillId="43" borderId="22" xfId="0" applyFont="1" applyFill="1" applyBorder="1" applyAlignment="1">
      <alignment horizontal="left" vertical="center" wrapText="1"/>
    </xf>
    <xf numFmtId="0" fontId="6" fillId="43" borderId="12" xfId="0" applyFont="1" applyFill="1" applyBorder="1" applyAlignment="1">
      <alignment horizontal="left" vertical="center" wrapText="1"/>
    </xf>
    <xf numFmtId="0" fontId="25" fillId="43" borderId="5" xfId="0" applyFont="1" applyFill="1" applyBorder="1" applyAlignment="1">
      <alignment horizontal="center" vertical="center" wrapText="1"/>
    </xf>
    <xf numFmtId="0" fontId="34" fillId="0" borderId="14" xfId="0" applyFont="1" applyFill="1" applyBorder="1" applyAlignment="1">
      <alignment horizontal="center" vertical="center"/>
    </xf>
    <xf numFmtId="0" fontId="34" fillId="0" borderId="16" xfId="0" applyFont="1" applyFill="1" applyBorder="1" applyAlignment="1">
      <alignment horizontal="center" vertical="center"/>
    </xf>
    <xf numFmtId="41" fontId="69" fillId="2" borderId="21" xfId="0" applyNumberFormat="1" applyFont="1" applyFill="1" applyBorder="1" applyAlignment="1">
      <alignment horizontal="center" vertical="center"/>
    </xf>
    <xf numFmtId="41" fontId="69" fillId="2" borderId="31" xfId="0" applyNumberFormat="1" applyFont="1" applyFill="1" applyBorder="1" applyAlignment="1">
      <alignment horizontal="center" vertical="center"/>
    </xf>
    <xf numFmtId="41" fontId="69" fillId="2" borderId="27" xfId="0" applyNumberFormat="1" applyFont="1" applyFill="1" applyBorder="1" applyAlignment="1">
      <alignment horizontal="center" vertical="center"/>
    </xf>
    <xf numFmtId="41" fontId="69" fillId="2" borderId="29" xfId="0" applyNumberFormat="1" applyFont="1" applyFill="1" applyBorder="1" applyAlignment="1">
      <alignment horizontal="center" vertical="center"/>
    </xf>
    <xf numFmtId="0" fontId="7" fillId="29" borderId="5" xfId="0" applyFont="1" applyFill="1" applyBorder="1" applyAlignment="1">
      <alignment horizontal="center" vertical="center"/>
    </xf>
    <xf numFmtId="0" fontId="7" fillId="27" borderId="5" xfId="0" applyFont="1" applyFill="1" applyBorder="1" applyAlignment="1">
      <alignment horizontal="center" vertical="center"/>
    </xf>
    <xf numFmtId="0" fontId="7" fillId="26" borderId="21" xfId="0" applyFont="1" applyFill="1" applyBorder="1" applyAlignment="1">
      <alignment horizontal="center" vertical="center"/>
    </xf>
    <xf numFmtId="0" fontId="7" fillId="26" borderId="31" xfId="0" applyFont="1" applyFill="1" applyBorder="1" applyAlignment="1">
      <alignment horizontal="center" vertical="center"/>
    </xf>
    <xf numFmtId="0" fontId="7" fillId="26" borderId="5" xfId="0" applyFont="1" applyFill="1" applyBorder="1" applyAlignment="1">
      <alignment horizontal="center" vertical="center"/>
    </xf>
    <xf numFmtId="0" fontId="7" fillId="28" borderId="46" xfId="0" applyFont="1" applyFill="1" applyBorder="1" applyAlignment="1">
      <alignment horizontal="center" vertical="center"/>
    </xf>
    <xf numFmtId="0" fontId="75" fillId="30" borderId="5" xfId="0" applyFont="1" applyFill="1" applyBorder="1" applyAlignment="1">
      <alignment horizontal="center" vertical="center"/>
    </xf>
    <xf numFmtId="0" fontId="7" fillId="26" borderId="26" xfId="0" applyFont="1" applyFill="1" applyBorder="1" applyAlignment="1">
      <alignment horizontal="center" vertical="center"/>
    </xf>
    <xf numFmtId="0" fontId="7" fillId="26" borderId="12" xfId="0" applyFont="1" applyFill="1" applyBorder="1" applyAlignment="1">
      <alignment horizontal="center" vertical="center"/>
    </xf>
    <xf numFmtId="0" fontId="7" fillId="28" borderId="46" xfId="0" applyFont="1" applyFill="1" applyBorder="1" applyAlignment="1">
      <alignment horizontal="center" vertical="center" wrapText="1"/>
    </xf>
    <xf numFmtId="0" fontId="7" fillId="28" borderId="64" xfId="0" applyFont="1" applyFill="1" applyBorder="1" applyAlignment="1">
      <alignment horizontal="center" vertical="center"/>
    </xf>
    <xf numFmtId="0" fontId="7" fillId="27" borderId="64" xfId="0" applyFont="1" applyFill="1" applyBorder="1" applyAlignment="1">
      <alignment horizontal="center" vertical="center"/>
    </xf>
    <xf numFmtId="0" fontId="7" fillId="27" borderId="46" xfId="0" applyFont="1" applyFill="1" applyBorder="1" applyAlignment="1">
      <alignment horizontal="center" vertical="center"/>
    </xf>
    <xf numFmtId="0" fontId="7" fillId="28" borderId="45" xfId="0" applyFont="1" applyFill="1" applyBorder="1" applyAlignment="1">
      <alignment horizontal="center" vertical="center"/>
    </xf>
    <xf numFmtId="0" fontId="0" fillId="8" borderId="21" xfId="0" applyFill="1" applyBorder="1" applyAlignment="1">
      <alignment horizontal="left" vertical="center"/>
    </xf>
    <xf numFmtId="0" fontId="0" fillId="8" borderId="31" xfId="0" applyFill="1" applyBorder="1" applyAlignment="1">
      <alignment horizontal="left" vertical="center"/>
    </xf>
    <xf numFmtId="0" fontId="0" fillId="8" borderId="5" xfId="0" applyFill="1" applyBorder="1" applyAlignment="1">
      <alignment horizontal="left" vertical="center"/>
    </xf>
    <xf numFmtId="0" fontId="7" fillId="28" borderId="5" xfId="0" applyFont="1" applyFill="1" applyBorder="1" applyAlignment="1">
      <alignment horizontal="center" vertical="center" wrapText="1"/>
    </xf>
    <xf numFmtId="0" fontId="69" fillId="28" borderId="5" xfId="0" applyFont="1" applyFill="1" applyBorder="1" applyAlignment="1">
      <alignment horizontal="center" vertical="center" wrapText="1"/>
    </xf>
    <xf numFmtId="43" fontId="4" fillId="0" borderId="22" xfId="4" applyFont="1" applyFill="1" applyBorder="1" applyAlignment="1">
      <alignment horizontal="center" vertical="top"/>
    </xf>
    <xf numFmtId="43" fontId="4" fillId="0" borderId="26" xfId="4" applyFont="1" applyFill="1" applyBorder="1" applyAlignment="1">
      <alignment horizontal="center" vertical="top"/>
    </xf>
    <xf numFmtId="43" fontId="4" fillId="0" borderId="12" xfId="4" applyFont="1" applyFill="1" applyBorder="1" applyAlignment="1">
      <alignment horizontal="center" vertical="top"/>
    </xf>
    <xf numFmtId="43" fontId="4" fillId="0" borderId="22" xfId="4" applyFont="1" applyBorder="1" applyAlignment="1">
      <alignment horizontal="center" vertical="top"/>
    </xf>
    <xf numFmtId="43" fontId="4" fillId="0" borderId="26" xfId="4" applyFont="1" applyBorder="1" applyAlignment="1">
      <alignment horizontal="center" vertical="top"/>
    </xf>
    <xf numFmtId="43" fontId="4" fillId="0" borderId="12" xfId="4" applyFont="1" applyBorder="1" applyAlignment="1">
      <alignment horizontal="center" vertical="top"/>
    </xf>
    <xf numFmtId="192" fontId="4" fillId="0" borderId="22" xfId="4" applyNumberFormat="1" applyFont="1" applyBorder="1" applyAlignment="1">
      <alignment horizontal="center" vertical="top"/>
    </xf>
    <xf numFmtId="192" fontId="4" fillId="0" borderId="26" xfId="4" applyNumberFormat="1" applyFont="1" applyBorder="1" applyAlignment="1">
      <alignment horizontal="center" vertical="top"/>
    </xf>
    <xf numFmtId="192" fontId="4" fillId="0" borderId="12" xfId="4" applyNumberFormat="1" applyFont="1" applyBorder="1" applyAlignment="1">
      <alignment horizontal="center" vertical="top"/>
    </xf>
    <xf numFmtId="183" fontId="4" fillId="0" borderId="22" xfId="4" applyNumberFormat="1" applyFont="1" applyBorder="1" applyAlignment="1">
      <alignment horizontal="center" vertical="center"/>
    </xf>
    <xf numFmtId="183" fontId="4" fillId="0" borderId="26" xfId="4" applyNumberFormat="1" applyFont="1" applyBorder="1" applyAlignment="1">
      <alignment horizontal="center" vertical="center"/>
    </xf>
    <xf numFmtId="183" fontId="4" fillId="0" borderId="12" xfId="4" applyNumberFormat="1" applyFont="1" applyBorder="1" applyAlignment="1">
      <alignment horizontal="center" vertical="center"/>
    </xf>
    <xf numFmtId="0" fontId="4" fillId="0" borderId="5" xfId="0" applyFont="1" applyFill="1" applyBorder="1" applyAlignment="1">
      <alignment horizontal="center" vertical="top"/>
    </xf>
    <xf numFmtId="0" fontId="4" fillId="6" borderId="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12" xfId="0" applyFont="1" applyFill="1" applyBorder="1" applyAlignment="1">
      <alignment horizontal="center" vertical="center" wrapText="1"/>
    </xf>
    <xf numFmtId="43" fontId="4" fillId="0" borderId="22" xfId="4" applyNumberFormat="1" applyFont="1" applyFill="1" applyBorder="1" applyAlignment="1">
      <alignment horizontal="center" vertical="top"/>
    </xf>
    <xf numFmtId="43" fontId="4" fillId="0" borderId="26" xfId="4" applyNumberFormat="1" applyFont="1" applyFill="1" applyBorder="1" applyAlignment="1">
      <alignment horizontal="center" vertical="top"/>
    </xf>
    <xf numFmtId="43" fontId="4" fillId="0" borderId="12" xfId="4" applyNumberFormat="1" applyFont="1" applyFill="1" applyBorder="1" applyAlignment="1">
      <alignment horizontal="center" vertical="top"/>
    </xf>
    <xf numFmtId="10" fontId="4" fillId="0" borderId="5" xfId="0" applyNumberFormat="1" applyFont="1" applyFill="1" applyBorder="1" applyAlignment="1">
      <alignment horizontal="left" vertical="top" wrapText="1"/>
    </xf>
    <xf numFmtId="0" fontId="4" fillId="0" borderId="5" xfId="0" applyFont="1" applyBorder="1" applyAlignment="1">
      <alignment horizontal="left" vertical="top" wrapText="1"/>
    </xf>
    <xf numFmtId="10" fontId="4" fillId="0" borderId="5" xfId="0" applyNumberFormat="1" applyFont="1" applyFill="1" applyBorder="1" applyAlignment="1">
      <alignment horizontal="left" vertical="top"/>
    </xf>
    <xf numFmtId="0" fontId="4" fillId="0" borderId="5" xfId="0" applyFont="1" applyBorder="1" applyAlignment="1">
      <alignment horizontal="left" vertical="top"/>
    </xf>
    <xf numFmtId="10" fontId="4" fillId="0" borderId="5" xfId="0" applyNumberFormat="1" applyFont="1" applyBorder="1" applyAlignment="1">
      <alignment horizontal="left" vertical="top" wrapText="1"/>
    </xf>
    <xf numFmtId="10" fontId="4" fillId="0" borderId="5" xfId="0" applyNumberFormat="1" applyFont="1" applyBorder="1" applyAlignment="1">
      <alignment horizontal="left" vertical="top"/>
    </xf>
    <xf numFmtId="43" fontId="4" fillId="0" borderId="5" xfId="4" applyFont="1" applyBorder="1" applyAlignment="1">
      <alignment horizontal="left" vertical="top" wrapText="1"/>
    </xf>
    <xf numFmtId="43" fontId="4" fillId="0" borderId="22" xfId="4" applyFont="1" applyBorder="1" applyAlignment="1">
      <alignment horizontal="left" vertical="top" wrapText="1"/>
    </xf>
    <xf numFmtId="0" fontId="4" fillId="0" borderId="26" xfId="0" applyFont="1" applyBorder="1" applyAlignment="1">
      <alignment horizontal="left" vertical="top" wrapText="1"/>
    </xf>
    <xf numFmtId="0" fontId="4" fillId="0" borderId="12" xfId="0" applyFont="1" applyBorder="1" applyAlignment="1">
      <alignment horizontal="left" vertical="top" wrapText="1"/>
    </xf>
    <xf numFmtId="0" fontId="4" fillId="0" borderId="5" xfId="0" applyFont="1" applyBorder="1" applyAlignment="1">
      <alignment horizontal="center" vertical="top"/>
    </xf>
    <xf numFmtId="0" fontId="4" fillId="9" borderId="5" xfId="0" applyFont="1" applyFill="1" applyBorder="1" applyAlignment="1">
      <alignment horizontal="center" vertical="top"/>
    </xf>
    <xf numFmtId="0" fontId="4" fillId="0" borderId="5" xfId="0" applyFont="1" applyFill="1" applyBorder="1" applyAlignment="1">
      <alignment horizontal="left" vertical="top" wrapText="1"/>
    </xf>
    <xf numFmtId="0" fontId="4" fillId="0" borderId="5" xfId="0" applyFont="1" applyFill="1" applyBorder="1" applyAlignment="1">
      <alignment horizontal="left" vertical="top"/>
    </xf>
    <xf numFmtId="0" fontId="20" fillId="0" borderId="5" xfId="0" applyFont="1" applyFill="1" applyBorder="1" applyAlignment="1">
      <alignment horizontal="left" vertical="top" wrapText="1"/>
    </xf>
    <xf numFmtId="0" fontId="20" fillId="0" borderId="5" xfId="0" applyFont="1" applyFill="1" applyBorder="1" applyAlignment="1">
      <alignment horizontal="left" vertical="top"/>
    </xf>
    <xf numFmtId="10" fontId="20" fillId="0" borderId="5" xfId="0" applyNumberFormat="1" applyFont="1" applyFill="1" applyBorder="1" applyAlignment="1">
      <alignment horizontal="left" vertical="top" wrapText="1"/>
    </xf>
    <xf numFmtId="0" fontId="20" fillId="0" borderId="5" xfId="0" applyFont="1" applyBorder="1" applyAlignment="1">
      <alignment horizontal="left" vertical="top" wrapText="1"/>
    </xf>
    <xf numFmtId="10" fontId="20" fillId="0" borderId="5" xfId="0" applyNumberFormat="1" applyFont="1" applyFill="1" applyBorder="1" applyAlignment="1">
      <alignment horizontal="left" vertical="top"/>
    </xf>
    <xf numFmtId="0" fontId="36" fillId="0" borderId="5" xfId="6" applyFont="1" applyFill="1" applyBorder="1" applyAlignment="1">
      <alignment horizontal="left" vertical="top" wrapText="1"/>
    </xf>
    <xf numFmtId="0" fontId="36" fillId="0" borderId="5" xfId="6" applyFont="1" applyFill="1" applyBorder="1" applyAlignment="1">
      <alignment horizontal="left" vertical="top"/>
    </xf>
    <xf numFmtId="0" fontId="20" fillId="0" borderId="5" xfId="0" applyFont="1" applyBorder="1" applyAlignment="1">
      <alignment horizontal="left" vertical="top"/>
    </xf>
    <xf numFmtId="0" fontId="36" fillId="0" borderId="22" xfId="6" applyFont="1" applyFill="1" applyBorder="1" applyAlignment="1">
      <alignment horizontal="left" vertical="top" wrapText="1"/>
    </xf>
    <xf numFmtId="0" fontId="20" fillId="0" borderId="26" xfId="0" applyFont="1" applyBorder="1" applyAlignment="1">
      <alignment horizontal="left" vertical="top" wrapText="1"/>
    </xf>
    <xf numFmtId="0" fontId="20" fillId="0" borderId="12" xfId="0" applyFont="1" applyBorder="1" applyAlignment="1">
      <alignment horizontal="left" vertical="top" wrapText="1"/>
    </xf>
    <xf numFmtId="9" fontId="20" fillId="0" borderId="5" xfId="0" applyNumberFormat="1" applyFont="1" applyFill="1" applyBorder="1" applyAlignment="1">
      <alignment horizontal="left" vertical="top" wrapText="1"/>
    </xf>
    <xf numFmtId="9" fontId="20" fillId="0" borderId="5" xfId="0" applyNumberFormat="1" applyFont="1" applyFill="1" applyBorder="1" applyAlignment="1">
      <alignment horizontal="left" vertical="top"/>
    </xf>
    <xf numFmtId="43" fontId="52" fillId="0" borderId="22" xfId="4" applyNumberFormat="1" applyFont="1" applyFill="1" applyBorder="1" applyAlignment="1">
      <alignment horizontal="center" vertical="top"/>
    </xf>
    <xf numFmtId="43" fontId="52" fillId="0" borderId="12" xfId="4" applyNumberFormat="1" applyFont="1" applyFill="1" applyBorder="1" applyAlignment="1">
      <alignment horizontal="center" vertical="top"/>
    </xf>
    <xf numFmtId="43" fontId="4" fillId="14" borderId="22" xfId="4" applyFont="1" applyFill="1" applyBorder="1" applyAlignment="1">
      <alignment horizontal="center" vertical="top"/>
    </xf>
    <xf numFmtId="43" fontId="4" fillId="14" borderId="12" xfId="4" applyFont="1" applyFill="1" applyBorder="1" applyAlignment="1">
      <alignment horizontal="center" vertical="top"/>
    </xf>
    <xf numFmtId="0" fontId="4" fillId="0" borderId="22" xfId="0" applyFont="1" applyBorder="1" applyAlignment="1">
      <alignment horizontal="left" vertical="top"/>
    </xf>
    <xf numFmtId="0" fontId="4" fillId="0" borderId="26" xfId="0" applyFont="1" applyBorder="1" applyAlignment="1">
      <alignment horizontal="left" vertical="top"/>
    </xf>
    <xf numFmtId="0" fontId="4" fillId="0" borderId="12" xfId="0" applyFont="1" applyBorder="1" applyAlignment="1">
      <alignment horizontal="left" vertical="top"/>
    </xf>
    <xf numFmtId="0" fontId="7" fillId="2" borderId="21"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4" fillId="0" borderId="5" xfId="0" applyFont="1" applyFill="1" applyBorder="1" applyAlignment="1">
      <alignment horizontal="center" vertical="center"/>
    </xf>
    <xf numFmtId="0" fontId="20" fillId="0" borderId="22" xfId="0" applyFont="1" applyBorder="1" applyAlignment="1">
      <alignment horizontal="left" vertical="center" wrapText="1"/>
    </xf>
    <xf numFmtId="0" fontId="20" fillId="0" borderId="26" xfId="0" applyFont="1" applyBorder="1" applyAlignment="1">
      <alignment horizontal="left" vertical="center" wrapText="1"/>
    </xf>
    <xf numFmtId="0" fontId="20" fillId="0" borderId="12" xfId="0" applyFont="1" applyBorder="1" applyAlignment="1">
      <alignment horizontal="left" vertical="center" wrapText="1"/>
    </xf>
    <xf numFmtId="0" fontId="20" fillId="0" borderId="23" xfId="0" applyFont="1" applyBorder="1" applyAlignment="1">
      <alignment horizontal="left" vertical="center" wrapText="1"/>
    </xf>
    <xf numFmtId="0" fontId="20" fillId="0" borderId="30" xfId="0" applyFont="1" applyBorder="1" applyAlignment="1">
      <alignment horizontal="left" vertical="center" wrapText="1"/>
    </xf>
    <xf numFmtId="0" fontId="20" fillId="0" borderId="27" xfId="0" applyFont="1" applyBorder="1" applyAlignment="1">
      <alignment horizontal="left" vertical="center" wrapText="1"/>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9" borderId="5" xfId="0" applyFont="1" applyFill="1" applyBorder="1" applyAlignment="1">
      <alignment horizontal="center" vertical="center"/>
    </xf>
    <xf numFmtId="43" fontId="4" fillId="0" borderId="22" xfId="4" applyFont="1" applyFill="1" applyBorder="1" applyAlignment="1">
      <alignment horizontal="center" vertical="center"/>
    </xf>
    <xf numFmtId="43" fontId="4" fillId="0" borderId="26" xfId="4" applyFont="1" applyFill="1" applyBorder="1" applyAlignment="1">
      <alignment horizontal="center" vertical="center"/>
    </xf>
    <xf numFmtId="43" fontId="4" fillId="0" borderId="12" xfId="4" applyFont="1" applyFill="1" applyBorder="1" applyAlignment="1">
      <alignment horizontal="center" vertical="center"/>
    </xf>
    <xf numFmtId="0" fontId="7" fillId="2" borderId="23" xfId="0" applyFont="1" applyFill="1" applyBorder="1" applyAlignment="1">
      <alignment horizontal="center" vertical="center"/>
    </xf>
    <xf numFmtId="0" fontId="7" fillId="2" borderId="35" xfId="0" applyFont="1" applyFill="1" applyBorder="1" applyAlignment="1">
      <alignment horizontal="center" vertical="center"/>
    </xf>
    <xf numFmtId="0" fontId="7" fillId="2" borderId="28" xfId="0" applyFont="1" applyFill="1" applyBorder="1" applyAlignment="1">
      <alignment horizontal="center" vertical="center"/>
    </xf>
    <xf numFmtId="10" fontId="20" fillId="0" borderId="22" xfId="0" applyNumberFormat="1" applyFont="1" applyBorder="1" applyAlignment="1">
      <alignment horizontal="left" vertical="center" wrapText="1"/>
    </xf>
    <xf numFmtId="10" fontId="20" fillId="0" borderId="23" xfId="0" applyNumberFormat="1" applyFont="1" applyBorder="1" applyAlignment="1">
      <alignment horizontal="left" vertical="center" wrapText="1"/>
    </xf>
    <xf numFmtId="0" fontId="20" fillId="0" borderId="22" xfId="0" applyFont="1" applyFill="1" applyBorder="1" applyAlignment="1">
      <alignment horizontal="left" vertical="center" wrapText="1"/>
    </xf>
    <xf numFmtId="0" fontId="20" fillId="0" borderId="26"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27" xfId="0" applyFont="1" applyFill="1" applyBorder="1" applyAlignment="1">
      <alignment horizontal="left" vertical="center" wrapText="1"/>
    </xf>
    <xf numFmtId="177" fontId="20" fillId="0" borderId="22" xfId="0" applyNumberFormat="1" applyFont="1" applyBorder="1" applyAlignment="1">
      <alignment horizontal="left" vertical="center" wrapText="1"/>
    </xf>
    <xf numFmtId="177" fontId="20" fillId="0" borderId="23" xfId="0" applyNumberFormat="1" applyFont="1" applyBorder="1" applyAlignment="1">
      <alignment horizontal="left" vertical="center" wrapText="1"/>
    </xf>
    <xf numFmtId="10" fontId="20" fillId="0" borderId="26" xfId="0" applyNumberFormat="1" applyFont="1" applyBorder="1" applyAlignment="1">
      <alignment horizontal="left" vertical="center" wrapText="1"/>
    </xf>
    <xf numFmtId="10" fontId="20" fillId="0" borderId="12" xfId="0" applyNumberFormat="1" applyFont="1" applyBorder="1" applyAlignment="1">
      <alignment horizontal="left" vertical="center" wrapText="1"/>
    </xf>
    <xf numFmtId="0" fontId="4" fillId="0" borderId="22" xfId="0" applyFont="1" applyBorder="1" applyAlignment="1">
      <alignment horizontal="left" vertical="center"/>
    </xf>
    <xf numFmtId="0" fontId="4" fillId="0" borderId="12" xfId="0" applyFont="1" applyBorder="1" applyAlignment="1">
      <alignment horizontal="left" vertical="center"/>
    </xf>
    <xf numFmtId="43" fontId="4" fillId="9" borderId="22" xfId="4" applyFont="1" applyFill="1" applyBorder="1" applyAlignment="1">
      <alignment horizontal="center" vertical="center"/>
    </xf>
    <xf numFmtId="43" fontId="4" fillId="9" borderId="26" xfId="4" applyFont="1" applyFill="1" applyBorder="1" applyAlignment="1">
      <alignment horizontal="center" vertical="center"/>
    </xf>
    <xf numFmtId="43" fontId="4" fillId="9" borderId="12" xfId="4" applyFont="1" applyFill="1" applyBorder="1" applyAlignment="1">
      <alignment horizontal="center" vertical="center"/>
    </xf>
    <xf numFmtId="43" fontId="4" fillId="0" borderId="22" xfId="0" applyNumberFormat="1" applyFont="1" applyFill="1" applyBorder="1" applyAlignment="1">
      <alignment horizontal="center" vertical="center"/>
    </xf>
    <xf numFmtId="43" fontId="4" fillId="0" borderId="26" xfId="0" applyNumberFormat="1" applyFont="1" applyFill="1" applyBorder="1" applyAlignment="1">
      <alignment horizontal="center" vertical="center"/>
    </xf>
    <xf numFmtId="43" fontId="4" fillId="0" borderId="12" xfId="0" applyNumberFormat="1" applyFont="1" applyFill="1" applyBorder="1" applyAlignment="1">
      <alignment horizontal="center" vertical="center"/>
    </xf>
    <xf numFmtId="43" fontId="4" fillId="9" borderId="22" xfId="4" applyFont="1" applyFill="1" applyBorder="1" applyAlignment="1">
      <alignment horizontal="center" vertical="top"/>
    </xf>
    <xf numFmtId="43" fontId="4" fillId="9" borderId="26" xfId="4" applyFont="1" applyFill="1" applyBorder="1" applyAlignment="1">
      <alignment horizontal="center" vertical="top"/>
    </xf>
    <xf numFmtId="43" fontId="4" fillId="9" borderId="12" xfId="4" applyFont="1" applyFill="1" applyBorder="1" applyAlignment="1">
      <alignment horizontal="center" vertical="top"/>
    </xf>
    <xf numFmtId="192" fontId="4" fillId="9" borderId="22" xfId="4" applyNumberFormat="1" applyFont="1" applyFill="1" applyBorder="1" applyAlignment="1">
      <alignment horizontal="center" vertical="top"/>
    </xf>
    <xf numFmtId="192" fontId="4" fillId="9" borderId="26" xfId="4" applyNumberFormat="1" applyFont="1" applyFill="1" applyBorder="1" applyAlignment="1">
      <alignment horizontal="center" vertical="top"/>
    </xf>
    <xf numFmtId="192" fontId="4" fillId="9" borderId="12" xfId="4" applyNumberFormat="1" applyFont="1" applyFill="1" applyBorder="1" applyAlignment="1">
      <alignment horizontal="center" vertical="top"/>
    </xf>
    <xf numFmtId="0" fontId="58" fillId="0" borderId="0" xfId="0" applyFont="1" applyAlignment="1">
      <alignment horizontal="justify" vertical="center"/>
    </xf>
    <xf numFmtId="0" fontId="56" fillId="0" borderId="0" xfId="0" applyFont="1" applyAlignment="1">
      <alignment horizontal="justify" vertical="center"/>
    </xf>
    <xf numFmtId="0" fontId="0" fillId="17" borderId="5" xfId="0" applyFill="1" applyBorder="1" applyAlignment="1">
      <alignment horizontal="center" vertical="center"/>
    </xf>
    <xf numFmtId="0" fontId="0" fillId="12" borderId="5" xfId="0" applyFill="1" applyBorder="1" applyAlignment="1">
      <alignment horizontal="center" vertical="center"/>
    </xf>
    <xf numFmtId="182" fontId="4" fillId="0" borderId="5" xfId="0" applyNumberFormat="1" applyFont="1" applyFill="1" applyBorder="1" applyAlignment="1">
      <alignment horizontal="center" vertical="center"/>
    </xf>
    <xf numFmtId="182" fontId="4" fillId="6" borderId="5" xfId="0" applyNumberFormat="1" applyFont="1" applyFill="1" applyBorder="1" applyAlignment="1">
      <alignment horizontal="center" vertical="center"/>
    </xf>
    <xf numFmtId="0" fontId="4" fillId="0" borderId="5" xfId="0" applyFont="1" applyFill="1" applyBorder="1" applyAlignment="1">
      <alignment horizontal="right" vertical="center"/>
    </xf>
    <xf numFmtId="0" fontId="4" fillId="0" borderId="26" xfId="0" applyFont="1" applyBorder="1" applyAlignment="1">
      <alignment horizontal="left" vertical="center"/>
    </xf>
    <xf numFmtId="0" fontId="4" fillId="0" borderId="37" xfId="0" applyFont="1" applyBorder="1" applyAlignment="1">
      <alignment horizontal="left" vertical="center"/>
    </xf>
    <xf numFmtId="0" fontId="4" fillId="9" borderId="21" xfId="0" applyFont="1" applyFill="1" applyBorder="1" applyAlignment="1">
      <alignment horizontal="center" vertical="center"/>
    </xf>
    <xf numFmtId="0" fontId="4" fillId="0" borderId="22" xfId="0" applyFont="1" applyBorder="1" applyAlignment="1">
      <alignment horizontal="center" vertical="center"/>
    </xf>
    <xf numFmtId="0" fontId="4" fillId="0" borderId="26" xfId="0" applyFont="1" applyBorder="1" applyAlignment="1">
      <alignment horizontal="center" vertical="center"/>
    </xf>
    <xf numFmtId="0" fontId="4" fillId="0" borderId="12" xfId="0" applyFont="1" applyBorder="1" applyAlignment="1">
      <alignment horizontal="center" vertical="center"/>
    </xf>
    <xf numFmtId="9" fontId="4" fillId="0" borderId="22" xfId="0" applyNumberFormat="1" applyFont="1" applyFill="1" applyBorder="1" applyAlignment="1">
      <alignment horizontal="left" vertical="center"/>
    </xf>
    <xf numFmtId="0" fontId="4" fillId="0" borderId="22" xfId="0" applyFont="1" applyFill="1" applyBorder="1" applyAlignment="1">
      <alignment horizontal="left" vertical="center"/>
    </xf>
    <xf numFmtId="0" fontId="4" fillId="0" borderId="26" xfId="0" applyFont="1" applyFill="1" applyBorder="1" applyAlignment="1">
      <alignment horizontal="left" vertical="center"/>
    </xf>
    <xf numFmtId="0" fontId="4" fillId="0" borderId="12" xfId="0" applyFont="1" applyFill="1" applyBorder="1" applyAlignment="1">
      <alignment horizontal="left" vertical="center"/>
    </xf>
    <xf numFmtId="43" fontId="52" fillId="0" borderId="22" xfId="4" applyFont="1" applyBorder="1" applyAlignment="1">
      <alignment horizontal="center" vertical="center"/>
    </xf>
    <xf numFmtId="43" fontId="52" fillId="0" borderId="12" xfId="4" applyFont="1" applyBorder="1" applyAlignment="1">
      <alignment horizontal="center" vertical="center"/>
    </xf>
    <xf numFmtId="0" fontId="71" fillId="2" borderId="21" xfId="0" applyFont="1" applyFill="1" applyBorder="1" applyAlignment="1">
      <alignment horizontal="center" vertical="center"/>
    </xf>
    <xf numFmtId="0" fontId="71" fillId="2" borderId="19" xfId="0" applyFont="1" applyFill="1" applyBorder="1" applyAlignment="1">
      <alignment horizontal="center" vertical="center"/>
    </xf>
    <xf numFmtId="0" fontId="71" fillId="2" borderId="31" xfId="0" applyFont="1" applyFill="1" applyBorder="1" applyAlignment="1">
      <alignment horizontal="center" vertical="center"/>
    </xf>
    <xf numFmtId="0" fontId="71" fillId="2" borderId="7" xfId="0" applyFont="1" applyFill="1" applyBorder="1" applyAlignment="1">
      <alignment horizontal="center" vertical="center"/>
    </xf>
    <xf numFmtId="0" fontId="4" fillId="0" borderId="22" xfId="0" applyFont="1" applyBorder="1" applyAlignment="1">
      <alignment horizontal="left" vertical="center" wrapText="1"/>
    </xf>
    <xf numFmtId="10" fontId="4" fillId="0" borderId="22" xfId="0" applyNumberFormat="1" applyFont="1" applyBorder="1" applyAlignment="1">
      <alignment horizontal="left" vertical="center"/>
    </xf>
    <xf numFmtId="43" fontId="4" fillId="0" borderId="22" xfId="4" applyFont="1" applyBorder="1" applyAlignment="1">
      <alignment horizontal="center" vertical="center"/>
    </xf>
    <xf numFmtId="43" fontId="4" fillId="0" borderId="12" xfId="4" applyFont="1" applyBorder="1" applyAlignment="1">
      <alignment horizontal="center" vertical="center"/>
    </xf>
    <xf numFmtId="177" fontId="4" fillId="0" borderId="22" xfId="0" applyNumberFormat="1" applyFont="1" applyBorder="1" applyAlignment="1">
      <alignment horizontal="left" vertical="center"/>
    </xf>
    <xf numFmtId="43" fontId="4" fillId="0" borderId="26" xfId="4" applyFont="1" applyBorder="1" applyAlignment="1">
      <alignment horizontal="center" vertical="center"/>
    </xf>
    <xf numFmtId="0" fontId="4" fillId="6" borderId="5" xfId="0" applyFont="1" applyFill="1" applyBorder="1" applyAlignment="1">
      <alignment horizontal="center" vertical="center"/>
    </xf>
    <xf numFmtId="192" fontId="4" fillId="0" borderId="22" xfId="4" applyNumberFormat="1" applyFont="1" applyBorder="1" applyAlignment="1">
      <alignment horizontal="center" vertical="center"/>
    </xf>
    <xf numFmtId="192" fontId="4" fillId="0" borderId="26" xfId="4" applyNumberFormat="1" applyFont="1" applyBorder="1" applyAlignment="1">
      <alignment horizontal="center" vertical="center"/>
    </xf>
    <xf numFmtId="192" fontId="4" fillId="0" borderId="12" xfId="4" applyNumberFormat="1" applyFont="1" applyBorder="1" applyAlignment="1">
      <alignment horizontal="center" vertical="center"/>
    </xf>
    <xf numFmtId="43" fontId="4" fillId="0" borderId="22" xfId="0" applyNumberFormat="1" applyFont="1" applyBorder="1" applyAlignment="1">
      <alignment horizontal="center" vertical="center"/>
    </xf>
    <xf numFmtId="43" fontId="4" fillId="0" borderId="26" xfId="0" applyNumberFormat="1" applyFont="1" applyBorder="1" applyAlignment="1">
      <alignment horizontal="center" vertical="center"/>
    </xf>
    <xf numFmtId="43" fontId="4" fillId="0" borderId="12" xfId="0" applyNumberFormat="1" applyFont="1" applyBorder="1" applyAlignment="1">
      <alignment horizontal="center" vertical="center"/>
    </xf>
    <xf numFmtId="179" fontId="4" fillId="9" borderId="5" xfId="0" applyNumberFormat="1" applyFont="1" applyFill="1" applyBorder="1" applyAlignment="1">
      <alignment horizontal="center" vertical="center"/>
    </xf>
    <xf numFmtId="0" fontId="20" fillId="0" borderId="68" xfId="0" applyFont="1" applyFill="1" applyBorder="1" applyAlignment="1">
      <alignment horizontal="left" vertical="center" wrapText="1"/>
    </xf>
    <xf numFmtId="0" fontId="20" fillId="0" borderId="83" xfId="0" applyFont="1" applyFill="1" applyBorder="1" applyAlignment="1">
      <alignment horizontal="left" vertical="center" wrapText="1"/>
    </xf>
    <xf numFmtId="0" fontId="20" fillId="0" borderId="13" xfId="0" applyFont="1" applyFill="1" applyBorder="1" applyAlignment="1">
      <alignment horizontal="left" vertical="center" wrapText="1"/>
    </xf>
    <xf numFmtId="0" fontId="20" fillId="0" borderId="82" xfId="0" applyFont="1" applyFill="1" applyBorder="1" applyAlignment="1">
      <alignment horizontal="left" vertical="center" wrapText="1"/>
    </xf>
    <xf numFmtId="0" fontId="20" fillId="0" borderId="8" xfId="0" applyFont="1" applyFill="1" applyBorder="1" applyAlignment="1">
      <alignment horizontal="left" vertical="center" wrapText="1"/>
    </xf>
    <xf numFmtId="179" fontId="4" fillId="0" borderId="22" xfId="0" applyNumberFormat="1" applyFont="1" applyFill="1" applyBorder="1" applyAlignment="1">
      <alignment horizontal="center" vertical="center"/>
    </xf>
    <xf numFmtId="179" fontId="4" fillId="0" borderId="12" xfId="0" applyNumberFormat="1" applyFont="1" applyFill="1" applyBorder="1" applyAlignment="1">
      <alignment horizontal="center" vertical="center"/>
    </xf>
    <xf numFmtId="179" fontId="4" fillId="9" borderId="22" xfId="0" applyNumberFormat="1" applyFont="1" applyFill="1" applyBorder="1" applyAlignment="1">
      <alignment horizontal="center" vertical="center"/>
    </xf>
    <xf numFmtId="179" fontId="4" fillId="9" borderId="12" xfId="0" applyNumberFormat="1" applyFont="1" applyFill="1" applyBorder="1" applyAlignment="1">
      <alignment horizontal="center" vertical="center"/>
    </xf>
    <xf numFmtId="177" fontId="4" fillId="0" borderId="22"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9" fontId="4" fillId="3" borderId="22" xfId="0" applyNumberFormat="1" applyFont="1" applyFill="1" applyBorder="1" applyAlignment="1">
      <alignment horizontal="right" vertical="center"/>
    </xf>
    <xf numFmtId="9" fontId="4" fillId="3" borderId="12" xfId="0" applyNumberFormat="1" applyFont="1" applyFill="1" applyBorder="1" applyAlignment="1">
      <alignment horizontal="right" vertical="center"/>
    </xf>
    <xf numFmtId="179" fontId="4" fillId="0" borderId="22" xfId="0" applyNumberFormat="1" applyFont="1" applyFill="1" applyBorder="1" applyAlignment="1">
      <alignment horizontal="left" vertical="center"/>
    </xf>
    <xf numFmtId="179" fontId="4" fillId="0" borderId="12" xfId="0" applyNumberFormat="1" applyFont="1" applyFill="1" applyBorder="1" applyAlignment="1">
      <alignment horizontal="left" vertical="center"/>
    </xf>
    <xf numFmtId="0" fontId="20" fillId="0" borderId="22"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0" borderId="27" xfId="0" applyFont="1" applyFill="1" applyBorder="1" applyAlignment="1">
      <alignment horizontal="center" vertical="center" wrapText="1"/>
    </xf>
    <xf numFmtId="0" fontId="5" fillId="14" borderId="21" xfId="0" applyFont="1" applyFill="1" applyBorder="1" applyAlignment="1">
      <alignment horizontal="center" vertical="center"/>
    </xf>
    <xf numFmtId="0" fontId="5" fillId="14" borderId="31" xfId="0" applyFont="1" applyFill="1" applyBorder="1" applyAlignment="1">
      <alignment horizontal="center" vertical="center"/>
    </xf>
    <xf numFmtId="43" fontId="4" fillId="19" borderId="22" xfId="4" applyFont="1" applyFill="1" applyBorder="1" applyAlignment="1">
      <alignment horizontal="center" vertical="center"/>
    </xf>
    <xf numFmtId="43" fontId="4" fillId="19" borderId="12" xfId="4" applyFont="1" applyFill="1" applyBorder="1" applyAlignment="1">
      <alignment horizontal="center" vertical="center"/>
    </xf>
    <xf numFmtId="181" fontId="4" fillId="0" borderId="5" xfId="0" quotePrefix="1" applyNumberFormat="1" applyFont="1" applyFill="1" applyBorder="1" applyAlignment="1">
      <alignment horizontal="center" vertical="center"/>
    </xf>
    <xf numFmtId="181" fontId="4" fillId="0" borderId="5" xfId="0" applyNumberFormat="1" applyFont="1" applyFill="1" applyBorder="1" applyAlignment="1">
      <alignment horizontal="center" vertical="center"/>
    </xf>
    <xf numFmtId="0" fontId="20" fillId="0" borderId="5" xfId="0" applyFont="1" applyBorder="1" applyAlignment="1">
      <alignment horizontal="left" vertical="center" wrapText="1"/>
    </xf>
    <xf numFmtId="0" fontId="6" fillId="14" borderId="5" xfId="0" applyFont="1" applyFill="1" applyBorder="1" applyAlignment="1">
      <alignment horizontal="left" vertical="center" wrapText="1"/>
    </xf>
    <xf numFmtId="0" fontId="6" fillId="14" borderId="5" xfId="0" applyFont="1" applyFill="1" applyBorder="1" applyAlignment="1">
      <alignment vertical="center" wrapText="1"/>
    </xf>
    <xf numFmtId="186" fontId="4" fillId="14" borderId="5" xfId="4" applyNumberFormat="1" applyFont="1" applyFill="1" applyBorder="1" applyAlignment="1">
      <alignment horizontal="center" vertical="center"/>
    </xf>
    <xf numFmtId="0" fontId="4" fillId="0" borderId="22" xfId="0" applyFont="1" applyFill="1" applyBorder="1" applyAlignment="1">
      <alignment horizontal="center" vertical="center"/>
    </xf>
    <xf numFmtId="0" fontId="4" fillId="0" borderId="12" xfId="0" applyFont="1" applyFill="1" applyBorder="1" applyAlignment="1">
      <alignment horizontal="center" vertical="center"/>
    </xf>
    <xf numFmtId="0" fontId="20" fillId="0" borderId="22" xfId="0" applyFont="1" applyBorder="1" applyAlignment="1">
      <alignment horizontal="left" vertical="top" wrapText="1"/>
    </xf>
    <xf numFmtId="0" fontId="20" fillId="0" borderId="22"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21" xfId="0" applyFont="1" applyBorder="1" applyAlignment="1">
      <alignment horizontal="left" vertical="center" wrapText="1"/>
    </xf>
    <xf numFmtId="0" fontId="20" fillId="0" borderId="22" xfId="0" applyFont="1" applyFill="1" applyBorder="1" applyAlignment="1">
      <alignment vertical="center" wrapText="1"/>
    </xf>
    <xf numFmtId="0" fontId="20" fillId="0" borderId="26" xfId="0" applyFont="1" applyFill="1" applyBorder="1" applyAlignment="1">
      <alignment vertical="center" wrapText="1"/>
    </xf>
    <xf numFmtId="0" fontId="20" fillId="0" borderId="12" xfId="0" applyFont="1" applyFill="1" applyBorder="1" applyAlignment="1">
      <alignment vertical="center" wrapText="1"/>
    </xf>
    <xf numFmtId="0" fontId="20" fillId="0" borderId="26" xfId="0" applyFont="1" applyFill="1" applyBorder="1">
      <alignment vertical="center"/>
    </xf>
    <xf numFmtId="0" fontId="20" fillId="0" borderId="12" xfId="0" applyFont="1" applyFill="1" applyBorder="1">
      <alignment vertical="center"/>
    </xf>
    <xf numFmtId="0" fontId="4" fillId="9" borderId="5"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22" xfId="0" applyFont="1" applyBorder="1" applyAlignment="1">
      <alignment horizontal="center"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center" vertical="center" wrapText="1"/>
    </xf>
    <xf numFmtId="0" fontId="36" fillId="0" borderId="5" xfId="0" applyFont="1" applyFill="1" applyBorder="1" applyAlignment="1">
      <alignment horizontal="left" vertical="center" wrapText="1"/>
    </xf>
    <xf numFmtId="0" fontId="36" fillId="0" borderId="21" xfId="0" applyFont="1" applyBorder="1" applyAlignment="1">
      <alignment horizontal="left" vertical="center" wrapText="1"/>
    </xf>
    <xf numFmtId="0" fontId="36" fillId="0" borderId="19" xfId="0" applyFont="1" applyBorder="1" applyAlignment="1">
      <alignment horizontal="left" vertical="center" wrapText="1"/>
    </xf>
    <xf numFmtId="0" fontId="36" fillId="0" borderId="31" xfId="0" applyFont="1" applyBorder="1" applyAlignment="1">
      <alignment horizontal="left" vertical="center" wrapText="1"/>
    </xf>
    <xf numFmtId="0" fontId="20" fillId="0" borderId="21" xfId="0" applyFont="1" applyFill="1" applyBorder="1" applyAlignment="1">
      <alignment horizontal="left" vertical="center" wrapText="1"/>
    </xf>
    <xf numFmtId="0" fontId="20" fillId="0" borderId="19" xfId="0" applyFont="1" applyFill="1" applyBorder="1" applyAlignment="1">
      <alignment horizontal="left" vertical="center" wrapText="1"/>
    </xf>
    <xf numFmtId="0" fontId="20" fillId="0" borderId="31" xfId="0" applyFont="1" applyFill="1" applyBorder="1" applyAlignment="1">
      <alignment horizontal="left" vertical="center" wrapText="1"/>
    </xf>
    <xf numFmtId="0" fontId="26" fillId="0" borderId="21"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0" fillId="0" borderId="19" xfId="0" applyFont="1" applyBorder="1" applyAlignment="1">
      <alignment horizontal="left" vertical="center" wrapText="1"/>
    </xf>
    <xf numFmtId="0" fontId="20" fillId="0" borderId="31" xfId="0" applyFont="1" applyBorder="1" applyAlignment="1">
      <alignment horizontal="left" vertical="center" wrapText="1"/>
    </xf>
    <xf numFmtId="0" fontId="20" fillId="0" borderId="35" xfId="0" applyFont="1" applyBorder="1" applyAlignment="1">
      <alignment horizontal="left" vertical="center" wrapText="1"/>
    </xf>
    <xf numFmtId="0" fontId="20" fillId="0" borderId="28" xfId="0" applyFont="1" applyBorder="1" applyAlignment="1">
      <alignment horizontal="left" vertical="center" wrapText="1"/>
    </xf>
    <xf numFmtId="0" fontId="20" fillId="0" borderId="7" xfId="0" applyFont="1" applyBorder="1" applyAlignment="1">
      <alignment horizontal="left" vertical="center" wrapText="1"/>
    </xf>
    <xf numFmtId="0" fontId="20" fillId="0" borderId="29" xfId="0" applyFont="1" applyBorder="1" applyAlignment="1">
      <alignment horizontal="left" vertical="center" wrapText="1"/>
    </xf>
    <xf numFmtId="0" fontId="20" fillId="0" borderId="21" xfId="0" applyFont="1" applyBorder="1" applyAlignment="1">
      <alignment vertical="center" wrapText="1"/>
    </xf>
    <xf numFmtId="0" fontId="20" fillId="0" borderId="19" xfId="0" applyFont="1" applyBorder="1" applyAlignment="1">
      <alignment vertical="center" wrapText="1"/>
    </xf>
    <xf numFmtId="0" fontId="20" fillId="0" borderId="31" xfId="0" applyFont="1" applyBorder="1" applyAlignment="1">
      <alignment vertical="center" wrapText="1"/>
    </xf>
    <xf numFmtId="0" fontId="20" fillId="0" borderId="23" xfId="0" applyFont="1" applyBorder="1" applyAlignment="1">
      <alignment vertical="center" wrapText="1"/>
    </xf>
    <xf numFmtId="0" fontId="20" fillId="0" borderId="35" xfId="0" applyFont="1" applyBorder="1" applyAlignment="1">
      <alignment vertical="center" wrapText="1"/>
    </xf>
    <xf numFmtId="0" fontId="20" fillId="0" borderId="28" xfId="0" applyFont="1" applyBorder="1" applyAlignment="1">
      <alignment vertical="center" wrapText="1"/>
    </xf>
    <xf numFmtId="0" fontId="20" fillId="0" borderId="27" xfId="0" applyFont="1" applyBorder="1" applyAlignment="1">
      <alignment vertical="center" wrapText="1"/>
    </xf>
    <xf numFmtId="0" fontId="20" fillId="0" borderId="7" xfId="0" applyFont="1" applyBorder="1" applyAlignment="1">
      <alignment vertical="center" wrapText="1"/>
    </xf>
    <xf numFmtId="0" fontId="20" fillId="0" borderId="29" xfId="0" applyFont="1" applyBorder="1" applyAlignment="1">
      <alignment vertical="center" wrapText="1"/>
    </xf>
    <xf numFmtId="0" fontId="20" fillId="0" borderId="5" xfId="0" applyFont="1" applyFill="1" applyBorder="1" applyAlignment="1">
      <alignment horizontal="center" vertical="center" wrapText="1"/>
    </xf>
    <xf numFmtId="0" fontId="20" fillId="11" borderId="22" xfId="0" applyFont="1" applyFill="1" applyBorder="1" applyAlignment="1">
      <alignment horizontal="center" vertical="center" wrapText="1"/>
    </xf>
    <xf numFmtId="0" fontId="20" fillId="11" borderId="12" xfId="0" applyFont="1" applyFill="1" applyBorder="1" applyAlignment="1">
      <alignment horizontal="center" vertical="center" wrapText="1"/>
    </xf>
    <xf numFmtId="0" fontId="20" fillId="0" borderId="5" xfId="0" applyFont="1" applyBorder="1">
      <alignment vertical="center"/>
    </xf>
    <xf numFmtId="0" fontId="20" fillId="0" borderId="22" xfId="0" applyFont="1" applyBorder="1" applyAlignment="1">
      <alignment horizontal="center" vertical="center" wrapText="1"/>
    </xf>
    <xf numFmtId="0" fontId="20" fillId="0" borderId="12" xfId="0" applyFont="1" applyBorder="1" applyAlignment="1">
      <alignment horizontal="center" vertical="center" wrapText="1"/>
    </xf>
    <xf numFmtId="0" fontId="26" fillId="0" borderId="22" xfId="0" applyFont="1" applyBorder="1" applyAlignment="1">
      <alignment vertical="center" wrapText="1"/>
    </xf>
    <xf numFmtId="0" fontId="26" fillId="0" borderId="12" xfId="0" applyFont="1" applyBorder="1" applyAlignment="1">
      <alignment vertical="center" wrapText="1"/>
    </xf>
    <xf numFmtId="0" fontId="11" fillId="0" borderId="22"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12" xfId="0" applyFont="1" applyBorder="1" applyAlignment="1">
      <alignment horizontal="center" vertical="center" wrapText="1"/>
    </xf>
    <xf numFmtId="0" fontId="24" fillId="0" borderId="22" xfId="6" applyFont="1" applyBorder="1" applyAlignment="1">
      <alignment horizontal="left" vertical="center" wrapText="1"/>
    </xf>
    <xf numFmtId="0" fontId="24" fillId="0" borderId="26" xfId="6" applyFont="1" applyBorder="1" applyAlignment="1">
      <alignment horizontal="left" vertical="center" wrapText="1"/>
    </xf>
    <xf numFmtId="0" fontId="24" fillId="0" borderId="12" xfId="6" applyFont="1" applyBorder="1" applyAlignment="1">
      <alignment horizontal="left" vertical="center" wrapText="1"/>
    </xf>
    <xf numFmtId="0" fontId="22" fillId="0" borderId="21" xfId="6" applyFont="1" applyBorder="1" applyAlignment="1">
      <alignment horizontal="center" vertical="center" wrapText="1"/>
    </xf>
    <xf numFmtId="0" fontId="22" fillId="0" borderId="31" xfId="6" applyFont="1" applyBorder="1" applyAlignment="1">
      <alignment horizontal="center" vertical="center" wrapText="1"/>
    </xf>
    <xf numFmtId="0" fontId="22" fillId="3" borderId="22" xfId="6" applyFont="1" applyFill="1" applyBorder="1" applyAlignment="1">
      <alignment horizontal="center" vertical="center" wrapText="1"/>
    </xf>
    <xf numFmtId="0" fontId="22" fillId="3" borderId="12" xfId="6" applyFont="1" applyFill="1" applyBorder="1" applyAlignment="1">
      <alignment horizontal="center" vertical="center" wrapText="1"/>
    </xf>
    <xf numFmtId="0" fontId="22" fillId="0" borderId="22" xfId="6" applyFont="1" applyBorder="1" applyAlignment="1">
      <alignment horizontal="center" vertical="center" wrapText="1"/>
    </xf>
    <xf numFmtId="0" fontId="22" fillId="0" borderId="26" xfId="6" applyFont="1" applyBorder="1" applyAlignment="1">
      <alignment horizontal="center" vertical="center" wrapText="1"/>
    </xf>
    <xf numFmtId="0" fontId="22" fillId="0" borderId="12" xfId="6" applyFont="1" applyBorder="1" applyAlignment="1">
      <alignment horizontal="center" vertical="center" wrapText="1"/>
    </xf>
    <xf numFmtId="0" fontId="21" fillId="0" borderId="7" xfId="6" applyFont="1" applyBorder="1" applyAlignment="1">
      <alignment horizontal="center" vertical="center"/>
    </xf>
    <xf numFmtId="0" fontId="22" fillId="7" borderId="5" xfId="6" applyFont="1" applyFill="1" applyBorder="1" applyAlignment="1">
      <alignment horizontal="center" vertical="center" wrapText="1"/>
    </xf>
    <xf numFmtId="0" fontId="24" fillId="0" borderId="22" xfId="6" applyFont="1" applyFill="1" applyBorder="1" applyAlignment="1">
      <alignment horizontal="left" vertical="center" wrapText="1"/>
    </xf>
    <xf numFmtId="0" fontId="24" fillId="0" borderId="26" xfId="6" applyFont="1" applyFill="1" applyBorder="1" applyAlignment="1">
      <alignment horizontal="left" vertical="center" wrapText="1"/>
    </xf>
    <xf numFmtId="0" fontId="24" fillId="0" borderId="12" xfId="6" applyFont="1" applyFill="1" applyBorder="1" applyAlignment="1">
      <alignment horizontal="left" vertical="center" wrapText="1"/>
    </xf>
    <xf numFmtId="0" fontId="31" fillId="0" borderId="5" xfId="0" applyFont="1" applyBorder="1" applyAlignment="1">
      <alignment vertical="center" wrapText="1"/>
    </xf>
    <xf numFmtId="0" fontId="33" fillId="0" borderId="5" xfId="0" applyFont="1" applyBorder="1" applyAlignment="1">
      <alignment horizontal="left" vertical="center" wrapText="1"/>
    </xf>
    <xf numFmtId="0" fontId="31" fillId="0" borderId="5" xfId="0" applyFont="1" applyBorder="1" applyAlignment="1">
      <alignment horizontal="left" vertical="center"/>
    </xf>
    <xf numFmtId="0" fontId="31" fillId="0" borderId="5" xfId="0" applyFont="1" applyBorder="1" applyAlignment="1">
      <alignment horizontal="center" vertical="center" wrapText="1"/>
    </xf>
    <xf numFmtId="0" fontId="31" fillId="0" borderId="5" xfId="0" applyFont="1" applyBorder="1" applyAlignment="1">
      <alignment horizontal="left" vertical="center" wrapText="1"/>
    </xf>
    <xf numFmtId="0" fontId="32" fillId="0" borderId="5" xfId="0" applyFont="1" applyBorder="1" applyAlignment="1">
      <alignment horizontal="center" vertical="center" wrapText="1"/>
    </xf>
    <xf numFmtId="0" fontId="32" fillId="0" borderId="5" xfId="0" applyFont="1" applyBorder="1" applyAlignment="1">
      <alignment horizontal="left" vertical="center" wrapText="1"/>
    </xf>
    <xf numFmtId="0" fontId="28" fillId="0" borderId="5" xfId="0" applyFont="1" applyBorder="1" applyAlignment="1">
      <alignment horizontal="center" vertical="center"/>
    </xf>
    <xf numFmtId="0" fontId="20" fillId="0" borderId="5" xfId="0" applyFont="1" applyBorder="1" applyAlignment="1">
      <alignment horizontal="center" vertical="center" wrapText="1"/>
    </xf>
    <xf numFmtId="0" fontId="41" fillId="0" borderId="7" xfId="0" applyFont="1" applyBorder="1" applyAlignment="1">
      <alignment horizontal="center" vertical="center"/>
    </xf>
    <xf numFmtId="0" fontId="20" fillId="0" borderId="5" xfId="0" applyFont="1" applyBorder="1" applyAlignment="1">
      <alignment horizontal="center" vertical="center"/>
    </xf>
  </cellXfs>
  <cellStyles count="13">
    <cellStyle name="百分比" xfId="3" builtinId="5"/>
    <cellStyle name="百分比 2" xfId="7"/>
    <cellStyle name="百分比 2 2" xfId="8"/>
    <cellStyle name="常规" xfId="0" builtinId="0"/>
    <cellStyle name="常规 2" xfId="6"/>
    <cellStyle name="常规 2 2" xfId="9"/>
    <cellStyle name="常规 2 3" xfId="10"/>
    <cellStyle name="常规 2 3 2" xfId="5"/>
    <cellStyle name="常规 2 4" xfId="11"/>
    <cellStyle name="常规 3" xfId="12"/>
    <cellStyle name="常规 4" xfId="1"/>
    <cellStyle name="超链接" xfId="2" builtinId="8"/>
    <cellStyle name="千位分隔" xfId="4" builtinId="3"/>
  </cellStyles>
  <dxfs count="416">
    <dxf>
      <font>
        <color auto="1"/>
      </font>
      <fill>
        <patternFill>
          <bgColor theme="9"/>
        </patternFill>
      </fill>
    </dxf>
    <dxf>
      <font>
        <color rgb="FFFF0000"/>
      </font>
    </dxf>
    <dxf>
      <font>
        <color rgb="FFFF0000"/>
      </font>
    </dxf>
    <dxf>
      <font>
        <color rgb="FFFF0000"/>
      </font>
    </dxf>
    <dxf>
      <font>
        <color rgb="FFFF0000"/>
      </font>
    </dxf>
    <dxf>
      <font>
        <color rgb="FFFF000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5" tint="0.59996337778862885"/>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rgb="FFFF0000"/>
        </patternFill>
      </fill>
    </dxf>
    <dxf>
      <fill>
        <patternFill>
          <bgColor theme="5"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theme="9"/>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patternFill>
      </fill>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theme="5" tint="-0.499984740745262"/>
      </font>
      <fill>
        <patternFill>
          <bgColor theme="5" tint="0.79998168889431442"/>
        </patternFill>
      </fill>
    </dxf>
    <dxf>
      <font>
        <color rgb="FFC00000"/>
      </font>
      <fill>
        <patternFill>
          <fgColor auto="1"/>
          <bgColor theme="5" tint="0.79998168889431442"/>
        </patternFill>
      </fill>
    </dxf>
    <dxf>
      <font>
        <color rgb="FFC00000"/>
      </font>
      <fill>
        <patternFill>
          <bgColor theme="5" tint="0.59996337778862885"/>
        </patternFill>
      </fill>
    </dxf>
    <dxf>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ill>
        <patternFill patternType="darkGray"/>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numFmt numFmtId="182" formatCode="0.00_ "/>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4" formatCode="0.00%"/>
    </dxf>
    <dxf>
      <numFmt numFmtId="182" formatCode="0.00_ "/>
    </dxf>
    <dxf>
      <border>
        <left style="thin">
          <color indexed="64"/>
        </left>
        <right style="thin">
          <color indexed="64"/>
        </right>
        <vertical style="thin">
          <color indexed="64"/>
        </vertical>
        <horizontal style="thin">
          <color indexed="64"/>
        </horizontal>
      </border>
    </dxf>
    <dxf>
      <numFmt numFmtId="182" formatCode="0.00_ "/>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4" formatCode="0.00%"/>
    </dxf>
    <dxf>
      <numFmt numFmtId="182" formatCode="0.00_ "/>
    </dxf>
    <dxf>
      <numFmt numFmtId="0" formatCode="General"/>
    </dxf>
    <dxf>
      <font>
        <color rgb="FFC00000"/>
      </font>
      <fill>
        <patternFill>
          <bgColor theme="5" tint="0.79998168889431442"/>
        </patternFill>
      </fill>
    </dxf>
    <dxf>
      <border>
        <bottom style="thin">
          <color indexed="64"/>
        </bottom>
      </border>
    </dxf>
    <dxf>
      <numFmt numFmtId="14" formatCode="0.00%"/>
    </dxf>
    <dxf>
      <border>
        <left style="thin">
          <color indexed="64"/>
        </left>
        <right style="thin">
          <color indexed="64"/>
        </right>
        <vertical style="thin">
          <color indexed="64"/>
        </vertical>
        <horizontal style="thin">
          <color indexed="64"/>
        </horizontal>
      </border>
    </dxf>
    <dxf>
      <font>
        <color rgb="FFC00000"/>
      </font>
      <fill>
        <patternFill>
          <bgColor theme="5" tint="0.79998168889431442"/>
        </patternFill>
      </fill>
    </dxf>
    <dxf>
      <numFmt numFmtId="14" formatCode="0.00%"/>
    </dxf>
    <dxf>
      <numFmt numFmtId="182" formatCode="0.00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1.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pivotCacheDefinition" Target="pivotCache/pivotCacheDefinition4.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2018Q2-2018Q3</a:t>
            </a:r>
            <a:r>
              <a:rPr lang="zh-CN" altLang="en-US"/>
              <a:t>变动情况</a:t>
            </a:r>
            <a:endParaRPr lang="en-US" altLang="zh-CN"/>
          </a:p>
        </c:rich>
      </c:tx>
      <c:overlay val="0"/>
    </c:title>
    <c:autoTitleDeleted val="0"/>
    <c:plotArea>
      <c:layout/>
      <c:barChart>
        <c:barDir val="col"/>
        <c:grouping val="stacked"/>
        <c:varyColors val="0"/>
        <c:ser>
          <c:idx val="0"/>
          <c:order val="0"/>
          <c:spPr>
            <a:solidFill>
              <a:srgbClr val="002060"/>
            </a:solidFill>
          </c:spPr>
          <c:invertIfNegative val="0"/>
          <c:dPt>
            <c:idx val="1"/>
            <c:invertIfNegative val="0"/>
            <c:bubble3D val="0"/>
            <c:spPr>
              <a:noFill/>
            </c:spPr>
          </c:dPt>
          <c:dPt>
            <c:idx val="2"/>
            <c:invertIfNegative val="0"/>
            <c:bubble3D val="0"/>
            <c:spPr>
              <a:noFill/>
            </c:spPr>
          </c:dPt>
          <c:dPt>
            <c:idx val="3"/>
            <c:invertIfNegative val="0"/>
            <c:bubble3D val="0"/>
            <c:spPr>
              <a:noFill/>
            </c:spPr>
          </c:dPt>
          <c:dPt>
            <c:idx val="4"/>
            <c:invertIfNegative val="0"/>
            <c:bubble3D val="0"/>
            <c:spPr>
              <a:noFill/>
            </c:spPr>
          </c:dPt>
          <c:dLbls>
            <c:dLbl>
              <c:idx val="1"/>
              <c:delete val="1"/>
            </c:dLbl>
            <c:dLbl>
              <c:idx val="2"/>
              <c:delete val="1"/>
            </c:dLbl>
            <c:dLbl>
              <c:idx val="3"/>
              <c:delete val="1"/>
            </c:dLbl>
            <c:dLbl>
              <c:idx val="4"/>
              <c:delete val="1"/>
            </c:dLbl>
            <c:txPr>
              <a:bodyPr/>
              <a:lstStyle/>
              <a:p>
                <a:pPr>
                  <a:defRPr b="1">
                    <a:solidFill>
                      <a:schemeClr val="bg1"/>
                    </a:solidFill>
                  </a:defRPr>
                </a:pPr>
                <a:endParaRPr lang="zh-CN"/>
              </a:p>
            </c:txPr>
            <c:showLegendKey val="0"/>
            <c:showVal val="1"/>
            <c:showCatName val="0"/>
            <c:showSerName val="0"/>
            <c:showPercent val="0"/>
            <c:showBubbleSize val="0"/>
            <c:showLeaderLines val="0"/>
          </c:dLbls>
          <c:cat>
            <c:strRef>
              <c:f>权重!$P$4:$P$9</c:f>
              <c:strCache>
                <c:ptCount val="6"/>
                <c:pt idx="0">
                  <c:v>Q2得分</c:v>
                </c:pt>
                <c:pt idx="1">
                  <c:v>销售、承保、保全业务线</c:v>
                </c:pt>
                <c:pt idx="2">
                  <c:v>理赔业务线</c:v>
                </c:pt>
                <c:pt idx="3">
                  <c:v>财务管理</c:v>
                </c:pt>
                <c:pt idx="4">
                  <c:v>信息系统</c:v>
                </c:pt>
                <c:pt idx="5">
                  <c:v>Q3得分</c:v>
                </c:pt>
              </c:strCache>
            </c:strRef>
          </c:cat>
          <c:val>
            <c:numRef>
              <c:f>权重!$Q$4:$Q$9</c:f>
              <c:numCache>
                <c:formatCode>_(* #,##0.00_);_(* \(#,##0.00\);_(* "-"??_);_(@_)</c:formatCode>
                <c:ptCount val="6"/>
                <c:pt idx="0" formatCode="0.0000_);[Red]\(0.0000\)">
                  <c:v>91.548459727879916</c:v>
                </c:pt>
                <c:pt idx="1">
                  <c:v>91.548459727879916</c:v>
                </c:pt>
                <c:pt idx="2">
                  <c:v>91.591078352154113</c:v>
                </c:pt>
                <c:pt idx="3">
                  <c:v>48118.674822657696</c:v>
                </c:pt>
                <c:pt idx="4">
                  <c:v>48118.74648932436</c:v>
                </c:pt>
                <c:pt idx="5" formatCode="0.0000_);[Red]\(0.0000\)">
                  <c:v>48118.753433768805</c:v>
                </c:pt>
              </c:numCache>
            </c:numRef>
          </c:val>
        </c:ser>
        <c:ser>
          <c:idx val="1"/>
          <c:order val="1"/>
          <c:spPr>
            <a:solidFill>
              <a:srgbClr val="92D050"/>
            </a:solidFill>
          </c:spPr>
          <c:invertIfNegative val="0"/>
          <c:dLbls>
            <c:dLbl>
              <c:idx val="0"/>
              <c:delete val="1"/>
            </c:dLbl>
            <c:dLbl>
              <c:idx val="1"/>
              <c:tx>
                <c:rich>
                  <a:bodyPr/>
                  <a:lstStyle/>
                  <a:p>
                    <a:r>
                      <a:rPr lang="en-US" altLang="zh-CN"/>
                      <a:t>+</a:t>
                    </a:r>
                    <a:r>
                      <a:rPr lang="en-US" altLang="en-US"/>
                      <a:t>0.0387 </a:t>
                    </a:r>
                  </a:p>
                </c:rich>
              </c:tx>
              <c:showLegendKey val="0"/>
              <c:showVal val="1"/>
              <c:showCatName val="0"/>
              <c:showSerName val="0"/>
              <c:showPercent val="0"/>
              <c:showBubbleSize val="0"/>
            </c:dLbl>
            <c:dLbl>
              <c:idx val="2"/>
              <c:tx>
                <c:rich>
                  <a:bodyPr/>
                  <a:lstStyle/>
                  <a:p>
                    <a:r>
                      <a:rPr lang="en-US" altLang="zh-CN"/>
                      <a:t>+</a:t>
                    </a:r>
                    <a:r>
                      <a:rPr lang="en-US" altLang="en-US"/>
                      <a:t>0.0758 </a:t>
                    </a:r>
                  </a:p>
                </c:rich>
              </c:tx>
              <c:showLegendKey val="0"/>
              <c:showVal val="1"/>
              <c:showCatName val="0"/>
              <c:showSerName val="0"/>
              <c:showPercent val="0"/>
              <c:showBubbleSize val="0"/>
            </c:dLbl>
            <c:dLbl>
              <c:idx val="3"/>
              <c:tx>
                <c:rich>
                  <a:bodyPr/>
                  <a:lstStyle/>
                  <a:p>
                    <a:r>
                      <a:rPr lang="en-US" altLang="zh-CN"/>
                      <a:t>+</a:t>
                    </a:r>
                    <a:r>
                      <a:rPr lang="en-US" altLang="en-US"/>
                      <a:t>0.0600 </a:t>
                    </a:r>
                  </a:p>
                </c:rich>
              </c:tx>
              <c:showLegendKey val="0"/>
              <c:showVal val="1"/>
              <c:showCatName val="0"/>
              <c:showSerName val="0"/>
              <c:showPercent val="0"/>
              <c:showBubbleSize val="0"/>
            </c:dLbl>
            <c:dLbl>
              <c:idx val="4"/>
              <c:layout>
                <c:manualLayout>
                  <c:x val="0"/>
                  <c:y val="-3.333333333333334E-2"/>
                </c:manualLayout>
              </c:layout>
              <c:tx>
                <c:rich>
                  <a:bodyPr/>
                  <a:lstStyle/>
                  <a:p>
                    <a:r>
                      <a:rPr lang="en-US" altLang="zh-CN"/>
                      <a:t>+</a:t>
                    </a:r>
                    <a:r>
                      <a:rPr lang="en-US" altLang="en-US"/>
                      <a:t>0.0069 </a:t>
                    </a:r>
                  </a:p>
                </c:rich>
              </c:tx>
              <c:showLegendKey val="0"/>
              <c:showVal val="1"/>
              <c:showCatName val="0"/>
              <c:showSerName val="0"/>
              <c:showPercent val="0"/>
              <c:showBubbleSize val="0"/>
            </c:dLbl>
            <c:dLbl>
              <c:idx val="5"/>
              <c:delete val="1"/>
            </c:dLbl>
            <c:showLegendKey val="0"/>
            <c:showVal val="1"/>
            <c:showCatName val="0"/>
            <c:showSerName val="0"/>
            <c:showPercent val="0"/>
            <c:showBubbleSize val="0"/>
            <c:showLeaderLines val="0"/>
          </c:dLbls>
          <c:cat>
            <c:strRef>
              <c:f>权重!$P$4:$P$9</c:f>
              <c:strCache>
                <c:ptCount val="6"/>
                <c:pt idx="0">
                  <c:v>Q2得分</c:v>
                </c:pt>
                <c:pt idx="1">
                  <c:v>销售、承保、保全业务线</c:v>
                </c:pt>
                <c:pt idx="2">
                  <c:v>理赔业务线</c:v>
                </c:pt>
                <c:pt idx="3">
                  <c:v>财务管理</c:v>
                </c:pt>
                <c:pt idx="4">
                  <c:v>信息系统</c:v>
                </c:pt>
                <c:pt idx="5">
                  <c:v>Q3得分</c:v>
                </c:pt>
              </c:strCache>
            </c:strRef>
          </c:cat>
          <c:val>
            <c:numRef>
              <c:f>权重!$R$4:$R$9</c:f>
              <c:numCache>
                <c:formatCode>#,##0.0000_);\(#,##0.0000\)</c:formatCode>
                <c:ptCount val="6"/>
                <c:pt idx="0">
                  <c:v>0</c:v>
                </c:pt>
                <c:pt idx="1">
                  <c:v>4.2618624274204819E-2</c:v>
                </c:pt>
                <c:pt idx="2">
                  <c:v>48027.083744305542</c:v>
                </c:pt>
                <c:pt idx="3">
                  <c:v>7.1666666666666615E-2</c:v>
                </c:pt>
                <c:pt idx="4">
                  <c:v>6.9444444444444441E-3</c:v>
                </c:pt>
                <c:pt idx="5">
                  <c:v>0</c:v>
                </c:pt>
              </c:numCache>
            </c:numRef>
          </c:val>
        </c:ser>
        <c:ser>
          <c:idx val="2"/>
          <c:order val="2"/>
          <c:spPr>
            <a:solidFill>
              <a:schemeClr val="accent6">
                <a:lumMod val="75000"/>
              </a:schemeClr>
            </a:solidFill>
          </c:spPr>
          <c:invertIfNegative val="0"/>
          <c:cat>
            <c:strRef>
              <c:f>权重!$P$4:$P$9</c:f>
              <c:strCache>
                <c:ptCount val="6"/>
                <c:pt idx="0">
                  <c:v>Q2得分</c:v>
                </c:pt>
                <c:pt idx="1">
                  <c:v>销售、承保、保全业务线</c:v>
                </c:pt>
                <c:pt idx="2">
                  <c:v>理赔业务线</c:v>
                </c:pt>
                <c:pt idx="3">
                  <c:v>财务管理</c:v>
                </c:pt>
                <c:pt idx="4">
                  <c:v>信息系统</c:v>
                </c:pt>
                <c:pt idx="5">
                  <c:v>Q3得分</c:v>
                </c:pt>
              </c:strCache>
            </c:strRef>
          </c:cat>
          <c:val>
            <c:numRef>
              <c:f>权重!$S$4:$S$9</c:f>
              <c:numCache>
                <c:formatCode>#,##0.0000_);\(#,##0.0000\)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0"/>
        <c:overlap val="100"/>
        <c:axId val="331282688"/>
        <c:axId val="331309056"/>
      </c:barChart>
      <c:catAx>
        <c:axId val="331282688"/>
        <c:scaling>
          <c:orientation val="minMax"/>
        </c:scaling>
        <c:delete val="0"/>
        <c:axPos val="b"/>
        <c:majorTickMark val="out"/>
        <c:minorTickMark val="none"/>
        <c:tickLblPos val="nextTo"/>
        <c:crossAx val="331309056"/>
        <c:crosses val="autoZero"/>
        <c:auto val="1"/>
        <c:lblAlgn val="ctr"/>
        <c:lblOffset val="100"/>
        <c:noMultiLvlLbl val="0"/>
      </c:catAx>
      <c:valAx>
        <c:axId val="331309056"/>
        <c:scaling>
          <c:orientation val="minMax"/>
        </c:scaling>
        <c:delete val="1"/>
        <c:axPos val="l"/>
        <c:numFmt formatCode="0.0000_);[Red]\(0.0000\)" sourceLinked="1"/>
        <c:majorTickMark val="out"/>
        <c:minorTickMark val="none"/>
        <c:tickLblPos val="none"/>
        <c:crossAx val="331282688"/>
        <c:crosses val="autoZero"/>
        <c:crossBetween val="between"/>
      </c:valAx>
      <c:spPr>
        <a:noFill/>
        <a:ln w="25400">
          <a:noFill/>
        </a:ln>
      </c:spPr>
    </c:plotArea>
    <c:plotVisOnly val="1"/>
    <c:dispBlanksAs val="gap"/>
    <c:showDLblsOverMax val="0"/>
  </c:chart>
  <c:spPr>
    <a:noFill/>
    <a:ln>
      <a:noFill/>
    </a:ln>
  </c:spPr>
  <c:printSettings>
    <c:headerFooter/>
    <c:pageMargins b="0.75000000000000999" l="0.70000000000000062" r="0.70000000000000062" t="0.7500000000000099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dLblPos val="bestFit"/>
            <c:showLegendKey val="0"/>
            <c:showVal val="1"/>
            <c:showCatName val="0"/>
            <c:showSerName val="0"/>
            <c:showPercent val="0"/>
            <c:showBubbleSize val="0"/>
            <c:showLeaderLines val="1"/>
          </c:dLbls>
          <c:cat>
            <c:strRef>
              <c:f>权重!$A$143:$B$148</c:f>
              <c:strCache>
                <c:ptCount val="5"/>
                <c:pt idx="0">
                  <c:v>行业无法确定</c:v>
                </c:pt>
                <c:pt idx="1">
                  <c:v>监管评分</c:v>
                </c:pt>
                <c:pt idx="2">
                  <c:v>操作风险  直接扣分</c:v>
                </c:pt>
                <c:pt idx="3">
                  <c:v>战略风险  直接扣分</c:v>
                </c:pt>
                <c:pt idx="4">
                  <c:v>流动性风险  直接扣分</c:v>
                </c:pt>
              </c:strCache>
            </c:strRef>
          </c:cat>
          <c:val>
            <c:numRef>
              <c:f>权重!$C$143:$C$147</c:f>
              <c:numCache>
                <c:formatCode>_(* #,##0.00_);_(* \(#,##0.00\);_(* "-"??_);_(@_)</c:formatCode>
                <c:ptCount val="5"/>
                <c:pt idx="0">
                  <c:v>3.2055555555555557</c:v>
                </c:pt>
                <c:pt idx="1">
                  <c:v>1.7472222222222222</c:v>
                </c:pt>
                <c:pt idx="2">
                  <c:v>-48025.695100435471</c:v>
                </c:pt>
                <c:pt idx="3">
                  <c:v>0.6</c:v>
                </c:pt>
                <c:pt idx="4">
                  <c:v>1.3888888888888893</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984635347549685"/>
          <c:y val="8.9948823286721269E-2"/>
          <c:w val="0.3801421383931593"/>
          <c:h val="0.83793963254594994"/>
        </c:manualLayout>
      </c:layout>
      <c:overlay val="0"/>
    </c:legend>
    <c:plotVisOnly val="1"/>
    <c:dispBlanksAs val="zero"/>
    <c:showDLblsOverMax val="0"/>
  </c:chart>
  <c:spPr>
    <a:noFill/>
    <a:ln>
      <a:noFill/>
    </a:ln>
  </c:spPr>
  <c:printSettings>
    <c:headerFooter/>
    <c:pageMargins b="0.75000000000001255" l="0.70000000000000062" r="0.70000000000000062" t="0.7500000000000125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19051</xdr:colOff>
      <xdr:row>0</xdr:row>
      <xdr:rowOff>152401</xdr:rowOff>
    </xdr:from>
    <xdr:to>
      <xdr:col>14</xdr:col>
      <xdr:colOff>0</xdr:colOff>
      <xdr:row>18</xdr:row>
      <xdr:rowOff>180976</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146</xdr:row>
      <xdr:rowOff>161924</xdr:rowOff>
    </xdr:from>
    <xdr:to>
      <xdr:col>3</xdr:col>
      <xdr:colOff>0</xdr:colOff>
      <xdr:row>163</xdr:row>
      <xdr:rowOff>95249</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a%20Y%20Shen/Desktop/&#20108;&#25903;&#26609;/&#20803;&#32032;&#28165;&#21333;/IRR&#20803;&#32032;&#28165;&#21333;-06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ora%20Y%20Shen/Desktop/YUE-IRR&#20803;&#32032;&#28165;&#21333;-062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徐梦薇/Mengwei Xu" refreshedDate="43411.60773171296" createdVersion="3" refreshedVersion="3" minRefreshableVersion="3" recordCount="50">
  <cacheSource type="worksheet">
    <worksheetSource ref="A1:F51" sheet="新契约回访完成率"/>
  </cacheSource>
  <cacheFields count="6">
    <cacheField name="渠道" numFmtId="0">
      <sharedItems count="5">
        <s v="个险"/>
        <s v="团险"/>
        <s v="银保"/>
        <s v="多元"/>
        <s v="续期"/>
      </sharedItems>
    </cacheField>
    <cacheField name="分公司" numFmtId="0">
      <sharedItems/>
    </cacheField>
    <cacheField name="评估期内承保的保单中完成回访的保单件数" numFmtId="0">
      <sharedItems containsString="0" containsBlank="1" containsNumber="1" containsInteger="1" minValue="0" maxValue="3061"/>
    </cacheField>
    <cacheField name="评估期内承保的保单件数" numFmtId="0">
      <sharedItems containsString="0" containsBlank="1" containsNumber="1" containsInteger="1" minValue="0" maxValue="3097"/>
    </cacheField>
    <cacheField name="新契约回访完成率" numFmtId="10">
      <sharedItems containsString="0" containsBlank="1" containsNumber="1" minValue="0.94285714285714284" maxValue="1"/>
    </cacheField>
    <cacheField name="得分" numFmtId="177">
      <sharedItems containsString="0" containsBlank="1" containsNumber="1" containsInteger="1" minValue="1" maxValu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徐梦薇/Mengwei Xu" refreshedDate="43411.607732060183" createdVersion="3" refreshedVersion="3" minRefreshableVersion="3" recordCount="50">
  <cacheSource type="worksheet">
    <worksheetSource ref="A1:F51" sheet="犹豫期内电话回访成功率"/>
  </cacheSource>
  <cacheFields count="6">
    <cacheField name="渠道" numFmtId="0">
      <sharedItems count="5">
        <s v="个险"/>
        <s v="团险"/>
        <s v="银保"/>
        <s v="多元"/>
        <s v="续期"/>
      </sharedItems>
    </cacheField>
    <cacheField name="分公司" numFmtId="0">
      <sharedItems/>
    </cacheField>
    <cacheField name="评估期内通过电话回访方式在犹豫期内完成新契约回访的保单件数" numFmtId="0">
      <sharedItems containsString="0" containsBlank="1" containsNumber="1" containsInteger="1" minValue="0" maxValue="3075"/>
    </cacheField>
    <cacheField name="评估期内承保的保单件数" numFmtId="0">
      <sharedItems containsString="0" containsBlank="1" containsNumber="1" containsInteger="1" minValue="0" maxValue="3097"/>
    </cacheField>
    <cacheField name="犹豫期内电话回访成功率" numFmtId="10">
      <sharedItems containsString="0" containsBlank="1" containsNumber="1" minValue="0.6" maxValue="1"/>
    </cacheField>
    <cacheField name="得分" numFmtId="177">
      <sharedItems containsString="0" containsBlank="1" containsNumber="1" containsInteger="1" minValue="0" maxValue="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徐梦薇/Mengwei Xu" refreshedDate="43411.607732175929" createdVersion="3" refreshedVersion="3" minRefreshableVersion="3" recordCount="60">
  <cacheSource type="worksheet">
    <worksheetSource ref="A1:G61" sheet="员工流失率"/>
  </cacheSource>
  <cacheFields count="7">
    <cacheField name="渠道" numFmtId="0">
      <sharedItems count="6">
        <s v="客服"/>
        <s v="个险"/>
        <s v="团险"/>
        <s v="银保"/>
        <s v="多元"/>
        <s v="续期"/>
      </sharedItems>
    </cacheField>
    <cacheField name="分公司" numFmtId="0">
      <sharedItems/>
    </cacheField>
    <cacheField name="最近4个季度省级分公司及以下分支机构销售、承保、保全部门离职员工人数" numFmtId="0">
      <sharedItems containsSemiMixedTypes="0" containsString="0" containsNumber="1" containsInteger="1" minValue="0" maxValue="44"/>
    </cacheField>
    <cacheField name="前4个季度初省级分公司及以下分支机构销售、承保、保全部门员工人数" numFmtId="0">
      <sharedItems containsSemiMixedTypes="0" containsString="0" containsNumber="1" containsInteger="1" minValue="0" maxValue="91"/>
    </cacheField>
    <cacheField name="最近4个季度省级分公司及以下分支机构销售、承保、保全部门增加员工人数" numFmtId="0">
      <sharedItems containsSemiMixedTypes="0" containsString="0" containsNumber="1" containsInteger="1" minValue="0" maxValue="46"/>
    </cacheField>
    <cacheField name="离职率" numFmtId="188">
      <sharedItems containsString="0" containsBlank="1" containsNumber="1" minValue="0" maxValue="1"/>
    </cacheField>
    <cacheField name="得分" numFmtId="180">
      <sharedItems containsString="0" containsBlank="1" containsNumber="1" minValue="0" maxValue="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徐梦薇/Mengwei Xu" refreshedDate="43412.75612766204" createdVersion="3" refreshedVersion="3" minRefreshableVersion="3" recordCount="121">
  <cacheSource type="worksheet">
    <worksheetSource ref="C1:H1048576" sheet="续期收费率"/>
  </cacheSource>
  <cacheFields count="5">
    <cacheField name="业务渠道" numFmtId="0">
      <sharedItems containsBlank="1" count="5">
        <s v="个险"/>
        <s v="多元"/>
        <s v="银保"/>
        <s v="收展"/>
        <m/>
      </sharedItems>
    </cacheField>
    <cacheField name="实收保费" numFmtId="0">
      <sharedItems containsString="0" containsBlank="1" containsNumber="1" containsInteger="1" minValue="3433" maxValue="31134968"/>
    </cacheField>
    <cacheField name="应收保费" numFmtId="0">
      <sharedItems containsString="0" containsBlank="1" containsNumber="1" containsInteger="1" minValue="3433" maxValue="32876752"/>
    </cacheField>
    <cacheField name="保费继续率" numFmtId="10">
      <sharedItems containsString="0" containsBlank="1" containsNumber="1" minValue="0.18805221804396344" maxValue="1"/>
    </cacheField>
    <cacheField name="得分" numFmtId="0">
      <sharedItems containsString="0" containsBlank="1" containsNumber="1" minValue="0" maxValue="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徐梦薇/Mengwei Xu" refreshedDate="43413.457878009256" createdVersion="3" refreshedVersion="3" minRefreshableVersion="3" recordCount="60">
  <cacheSource type="worksheet">
    <worksheetSource ref="A1:H61" sheet="退撤保率"/>
  </cacheSource>
  <cacheFields count="8">
    <cacheField name="渠道" numFmtId="0">
      <sharedItems count="6">
        <s v="多元"/>
        <s v="个险"/>
        <s v="团险"/>
        <s v="网销"/>
        <s v="续期"/>
        <s v="银保"/>
      </sharedItems>
    </cacheField>
    <cacheField name="分公司" numFmtId="0">
      <sharedItems count="11">
        <s v="北京"/>
        <s v="广东"/>
        <s v="河北"/>
        <s v="河南"/>
        <s v="江苏"/>
        <s v="辽宁"/>
        <s v="山东"/>
        <s v="四川"/>
        <s v="天津"/>
        <s v="大连"/>
        <s v="青岛"/>
      </sharedItems>
    </cacheField>
    <cacheField name="退保金" numFmtId="0">
      <sharedItems containsSemiMixedTypes="0" containsString="0" containsNumber="1" minValue="0" maxValue="4380080.45"/>
    </cacheField>
    <cacheField name="撤保金" numFmtId="0">
      <sharedItems containsSemiMixedTypes="0" containsString="0" containsNumber="1" containsInteger="1" minValue="0" maxValue="3116000"/>
    </cacheField>
    <cacheField name="实收保费" numFmtId="0">
      <sharedItems containsSemiMixedTypes="0" containsString="0" containsNumber="1" minValue="269.79000000000002" maxValue="77581018.38000001"/>
    </cacheField>
    <cacheField name="预收保费" numFmtId="0">
      <sharedItems containsSemiMixedTypes="0" containsString="0" containsNumber="1" containsInteger="1" minValue="0" maxValue="28384549"/>
    </cacheField>
    <cacheField name="退撤保率" numFmtId="10">
      <sharedItems containsSemiMixedTypes="0" containsString="0" containsNumber="1" minValue="0" maxValue="2.1109543748243915"/>
    </cacheField>
    <cacheField name="分数" numFmtId="0">
      <sharedItems containsSemiMixedTypes="0" containsString="0" containsNumber="1" minValue="0"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s v="北京"/>
    <n v="186"/>
    <n v="189"/>
    <n v="0.98412698412698407"/>
    <n v="2"/>
  </r>
  <r>
    <x v="1"/>
    <s v="北京"/>
    <n v="9"/>
    <n v="9"/>
    <n v="1"/>
    <n v="2"/>
  </r>
  <r>
    <x v="2"/>
    <s v="北京"/>
    <n v="19"/>
    <n v="19"/>
    <n v="1"/>
    <n v="2"/>
  </r>
  <r>
    <x v="3"/>
    <s v="北京"/>
    <n v="468"/>
    <n v="474"/>
    <n v="0.98734177215189878"/>
    <n v="2"/>
  </r>
  <r>
    <x v="4"/>
    <s v="北京"/>
    <n v="13"/>
    <n v="13"/>
    <n v="1"/>
    <n v="2"/>
  </r>
  <r>
    <x v="0"/>
    <s v="天津"/>
    <n v="2056"/>
    <n v="2083"/>
    <n v="0.98703792606817087"/>
    <n v="2"/>
  </r>
  <r>
    <x v="1"/>
    <s v="天津"/>
    <n v="9"/>
    <n v="9"/>
    <n v="1"/>
    <n v="2"/>
  </r>
  <r>
    <x v="2"/>
    <s v="天津"/>
    <n v="66"/>
    <n v="70"/>
    <n v="0.94285714285714284"/>
    <n v="1"/>
  </r>
  <r>
    <x v="3"/>
    <s v="天津"/>
    <m/>
    <m/>
    <m/>
    <m/>
  </r>
  <r>
    <x v="4"/>
    <s v="天津"/>
    <n v="21"/>
    <n v="21"/>
    <n v="1"/>
    <n v="2"/>
  </r>
  <r>
    <x v="0"/>
    <s v="辽宁"/>
    <n v="3061"/>
    <n v="3097"/>
    <n v="0.98837584759444619"/>
    <n v="2"/>
  </r>
  <r>
    <x v="1"/>
    <s v="辽宁"/>
    <m/>
    <m/>
    <m/>
    <m/>
  </r>
  <r>
    <x v="2"/>
    <s v="辽宁"/>
    <m/>
    <m/>
    <m/>
    <m/>
  </r>
  <r>
    <x v="3"/>
    <s v="辽宁"/>
    <n v="1643"/>
    <n v="1664"/>
    <n v="0.98737980769230771"/>
    <n v="2"/>
  </r>
  <r>
    <x v="4"/>
    <s v="辽宁"/>
    <n v="49"/>
    <n v="49"/>
    <n v="1"/>
    <n v="2"/>
  </r>
  <r>
    <x v="0"/>
    <s v="大连"/>
    <n v="331"/>
    <n v="339"/>
    <n v="0.97640117994100295"/>
    <n v="2"/>
  </r>
  <r>
    <x v="1"/>
    <s v="大连"/>
    <m/>
    <m/>
    <m/>
    <m/>
  </r>
  <r>
    <x v="2"/>
    <s v="大连"/>
    <n v="224"/>
    <n v="235"/>
    <n v="0.95319148936170217"/>
    <n v="2"/>
  </r>
  <r>
    <x v="3"/>
    <s v="大连"/>
    <m/>
    <m/>
    <m/>
    <m/>
  </r>
  <r>
    <x v="4"/>
    <s v="大连"/>
    <n v="5"/>
    <n v="5"/>
    <n v="1"/>
    <n v="2"/>
  </r>
  <r>
    <x v="0"/>
    <s v="江苏"/>
    <n v="2735"/>
    <n v="2735"/>
    <n v="1"/>
    <n v="2"/>
  </r>
  <r>
    <x v="1"/>
    <s v="江苏"/>
    <n v="0"/>
    <n v="0"/>
    <m/>
    <m/>
  </r>
  <r>
    <x v="2"/>
    <s v="江苏"/>
    <n v="4"/>
    <n v="4"/>
    <n v="1"/>
    <n v="2"/>
  </r>
  <r>
    <x v="3"/>
    <s v="江苏"/>
    <n v="922"/>
    <n v="922"/>
    <n v="1"/>
    <n v="2"/>
  </r>
  <r>
    <x v="4"/>
    <s v="江苏"/>
    <n v="50"/>
    <n v="50"/>
    <n v="1"/>
    <n v="2"/>
  </r>
  <r>
    <x v="0"/>
    <s v="山东"/>
    <n v="2355"/>
    <n v="2377"/>
    <n v="0.99074463609591923"/>
    <n v="2"/>
  </r>
  <r>
    <x v="1"/>
    <s v="山东"/>
    <n v="17"/>
    <n v="17"/>
    <n v="1"/>
    <n v="2"/>
  </r>
  <r>
    <x v="2"/>
    <s v="山东"/>
    <n v="140"/>
    <n v="141"/>
    <n v="0.99290780141843971"/>
    <n v="2"/>
  </r>
  <r>
    <x v="3"/>
    <s v="山东"/>
    <n v="1062"/>
    <n v="1074"/>
    <n v="0.98882681564245811"/>
    <n v="2"/>
  </r>
  <r>
    <x v="4"/>
    <s v="山东"/>
    <n v="62"/>
    <n v="64"/>
    <n v="0.96875"/>
    <n v="2"/>
  </r>
  <r>
    <x v="0"/>
    <s v="青岛"/>
    <n v="470"/>
    <n v="479"/>
    <n v="0.98121085594989566"/>
    <n v="2"/>
  </r>
  <r>
    <x v="1"/>
    <s v="青岛"/>
    <m/>
    <m/>
    <m/>
    <m/>
  </r>
  <r>
    <x v="2"/>
    <s v="青岛"/>
    <m/>
    <m/>
    <m/>
    <m/>
  </r>
  <r>
    <x v="3"/>
    <s v="青岛"/>
    <m/>
    <m/>
    <m/>
    <m/>
  </r>
  <r>
    <x v="4"/>
    <s v="青岛"/>
    <n v="8"/>
    <n v="8"/>
    <n v="1"/>
    <n v="2"/>
  </r>
  <r>
    <x v="0"/>
    <s v="河南"/>
    <n v="2694"/>
    <n v="2742"/>
    <n v="0.98249452954048144"/>
    <n v="2"/>
  </r>
  <r>
    <x v="1"/>
    <s v="河南"/>
    <n v="2"/>
    <n v="2"/>
    <n v="1"/>
    <n v="2"/>
  </r>
  <r>
    <x v="2"/>
    <s v="河南"/>
    <n v="277"/>
    <n v="283"/>
    <n v="0.97879858657243812"/>
    <n v="2"/>
  </r>
  <r>
    <x v="3"/>
    <s v="河南"/>
    <n v="1058"/>
    <n v="1064"/>
    <n v="0.99436090225563911"/>
    <n v="2"/>
  </r>
  <r>
    <x v="4"/>
    <s v="河南"/>
    <n v="18"/>
    <n v="19"/>
    <n v="0.94736842105263153"/>
    <n v="1"/>
  </r>
  <r>
    <x v="0"/>
    <s v="广东"/>
    <n v="592"/>
    <n v="623"/>
    <n v="0.9502407704654896"/>
    <n v="2"/>
  </r>
  <r>
    <x v="1"/>
    <s v="广东"/>
    <m/>
    <m/>
    <m/>
    <m/>
  </r>
  <r>
    <x v="2"/>
    <s v="广东"/>
    <m/>
    <m/>
    <m/>
    <m/>
  </r>
  <r>
    <x v="3"/>
    <s v="广东"/>
    <n v="114"/>
    <n v="116"/>
    <n v="0.98275862068965514"/>
    <n v="2"/>
  </r>
  <r>
    <x v="4"/>
    <s v="广东"/>
    <n v="4"/>
    <n v="4"/>
    <n v="1"/>
    <n v="2"/>
  </r>
  <r>
    <x v="0"/>
    <s v="四川"/>
    <n v="1158"/>
    <n v="1171"/>
    <n v="0.98889837745516651"/>
    <n v="2"/>
  </r>
  <r>
    <x v="1"/>
    <s v="四川"/>
    <n v="1"/>
    <n v="1"/>
    <n v="1"/>
    <n v="2"/>
  </r>
  <r>
    <x v="2"/>
    <s v="四川"/>
    <n v="2"/>
    <n v="2"/>
    <n v="1"/>
    <n v="2"/>
  </r>
  <r>
    <x v="3"/>
    <s v="四川"/>
    <n v="288"/>
    <n v="298"/>
    <n v="0.96644295302013428"/>
    <n v="2"/>
  </r>
  <r>
    <x v="4"/>
    <s v="四川"/>
    <n v="9"/>
    <n v="9"/>
    <n v="1"/>
    <n v="2"/>
  </r>
</pivotCacheRecords>
</file>

<file path=xl/pivotCache/pivotCacheRecords2.xml><?xml version="1.0" encoding="utf-8"?>
<pivotCacheRecords xmlns="http://schemas.openxmlformats.org/spreadsheetml/2006/main" xmlns:r="http://schemas.openxmlformats.org/officeDocument/2006/relationships" count="50">
  <r>
    <x v="0"/>
    <s v="北京"/>
    <n v="186"/>
    <n v="189"/>
    <n v="0.98412698412698407"/>
    <n v="2"/>
  </r>
  <r>
    <x v="1"/>
    <s v="北京"/>
    <n v="9"/>
    <n v="9"/>
    <n v="1"/>
    <n v="2"/>
  </r>
  <r>
    <x v="2"/>
    <s v="北京"/>
    <n v="19"/>
    <n v="19"/>
    <n v="1"/>
    <n v="2"/>
  </r>
  <r>
    <x v="3"/>
    <s v="北京"/>
    <n v="449"/>
    <n v="474"/>
    <n v="0.9472573839662447"/>
    <n v="2"/>
  </r>
  <r>
    <x v="4"/>
    <s v="北京"/>
    <n v="13"/>
    <n v="13"/>
    <n v="1"/>
    <n v="2"/>
  </r>
  <r>
    <x v="0"/>
    <s v="天津"/>
    <n v="2058"/>
    <n v="2083"/>
    <n v="0.98799807969275089"/>
    <n v="2"/>
  </r>
  <r>
    <x v="1"/>
    <s v="天津"/>
    <n v="9"/>
    <n v="9"/>
    <n v="1"/>
    <n v="2"/>
  </r>
  <r>
    <x v="2"/>
    <s v="天津"/>
    <n v="66"/>
    <n v="70"/>
    <n v="0.94285714285714284"/>
    <n v="2"/>
  </r>
  <r>
    <x v="3"/>
    <s v="天津"/>
    <m/>
    <m/>
    <m/>
    <m/>
  </r>
  <r>
    <x v="4"/>
    <s v="天津"/>
    <n v="21"/>
    <n v="21"/>
    <n v="1"/>
    <n v="2"/>
  </r>
  <r>
    <x v="0"/>
    <s v="辽宁"/>
    <n v="3075"/>
    <n v="3097"/>
    <n v="0.99289635130771714"/>
    <n v="2"/>
  </r>
  <r>
    <x v="1"/>
    <s v="辽宁"/>
    <m/>
    <m/>
    <m/>
    <m/>
  </r>
  <r>
    <x v="2"/>
    <s v="辽宁"/>
    <m/>
    <m/>
    <m/>
    <m/>
  </r>
  <r>
    <x v="3"/>
    <s v="辽宁"/>
    <n v="1633"/>
    <n v="1664"/>
    <n v="0.98137019230769229"/>
    <n v="2"/>
  </r>
  <r>
    <x v="4"/>
    <s v="辽宁"/>
    <n v="49"/>
    <n v="49"/>
    <n v="1"/>
    <n v="2"/>
  </r>
  <r>
    <x v="0"/>
    <s v="大连"/>
    <n v="332"/>
    <n v="339"/>
    <n v="0.97935103244837762"/>
    <n v="2"/>
  </r>
  <r>
    <x v="1"/>
    <s v="大连"/>
    <m/>
    <m/>
    <m/>
    <m/>
  </r>
  <r>
    <x v="2"/>
    <s v="大连"/>
    <n v="222"/>
    <n v="235"/>
    <n v="0.94468085106382982"/>
    <n v="2"/>
  </r>
  <r>
    <x v="3"/>
    <s v="大连"/>
    <m/>
    <m/>
    <m/>
    <m/>
  </r>
  <r>
    <x v="4"/>
    <s v="大连"/>
    <n v="3"/>
    <n v="5"/>
    <n v="0.6"/>
    <n v="0"/>
  </r>
  <r>
    <x v="0"/>
    <s v="江苏"/>
    <n v="2745"/>
    <n v="2817"/>
    <n v="0.9744408945686901"/>
    <n v="2"/>
  </r>
  <r>
    <x v="1"/>
    <s v="江苏"/>
    <n v="0"/>
    <n v="0"/>
    <m/>
    <m/>
  </r>
  <r>
    <x v="2"/>
    <s v="江苏"/>
    <n v="4"/>
    <n v="4"/>
    <n v="1"/>
    <n v="2"/>
  </r>
  <r>
    <x v="3"/>
    <s v="江苏"/>
    <n v="860"/>
    <n v="929"/>
    <n v="0.92572658772874061"/>
    <n v="2"/>
  </r>
  <r>
    <x v="4"/>
    <s v="江苏"/>
    <n v="50"/>
    <n v="51"/>
    <n v="0.98039215686274506"/>
    <n v="2"/>
  </r>
  <r>
    <x v="0"/>
    <s v="山东"/>
    <n v="2373"/>
    <n v="2377"/>
    <n v="0.99831720656289435"/>
    <n v="2"/>
  </r>
  <r>
    <x v="1"/>
    <s v="山东"/>
    <n v="17"/>
    <n v="17"/>
    <n v="1"/>
    <n v="2"/>
  </r>
  <r>
    <x v="2"/>
    <s v="山东"/>
    <n v="140"/>
    <n v="141"/>
    <n v="0.99290780141843971"/>
    <n v="2"/>
  </r>
  <r>
    <x v="3"/>
    <s v="山东"/>
    <n v="1063"/>
    <n v="1074"/>
    <n v="0.98975791433891991"/>
    <n v="2"/>
  </r>
  <r>
    <x v="4"/>
    <s v="山东"/>
    <n v="62"/>
    <n v="64"/>
    <n v="0.96875"/>
    <n v="2"/>
  </r>
  <r>
    <x v="0"/>
    <s v="青岛"/>
    <n v="475"/>
    <n v="479"/>
    <n v="0.99164926931106467"/>
    <n v="2"/>
  </r>
  <r>
    <x v="1"/>
    <s v="青岛"/>
    <m/>
    <m/>
    <m/>
    <m/>
  </r>
  <r>
    <x v="2"/>
    <s v="青岛"/>
    <m/>
    <m/>
    <m/>
    <m/>
  </r>
  <r>
    <x v="3"/>
    <s v="青岛"/>
    <m/>
    <m/>
    <m/>
    <m/>
  </r>
  <r>
    <x v="4"/>
    <s v="青岛"/>
    <n v="8"/>
    <n v="8"/>
    <n v="1"/>
    <n v="2"/>
  </r>
  <r>
    <x v="0"/>
    <s v="河南"/>
    <n v="2713"/>
    <n v="2742"/>
    <n v="0.98942377826404082"/>
    <n v="2"/>
  </r>
  <r>
    <x v="1"/>
    <s v="河南"/>
    <n v="2"/>
    <n v="2"/>
    <n v="1"/>
    <n v="2"/>
  </r>
  <r>
    <x v="2"/>
    <s v="河南"/>
    <n v="277"/>
    <n v="283"/>
    <n v="0.97879858657243812"/>
    <n v="2"/>
  </r>
  <r>
    <x v="3"/>
    <s v="河南"/>
    <n v="1057"/>
    <n v="1064"/>
    <n v="0.99342105263157898"/>
    <n v="2"/>
  </r>
  <r>
    <x v="4"/>
    <s v="河南"/>
    <n v="18"/>
    <n v="19"/>
    <n v="0.94736842105263153"/>
    <n v="2"/>
  </r>
  <r>
    <x v="0"/>
    <s v="广东"/>
    <n v="590"/>
    <n v="623"/>
    <n v="0.9470304975922953"/>
    <n v="2"/>
  </r>
  <r>
    <x v="1"/>
    <s v="广东"/>
    <m/>
    <m/>
    <m/>
    <m/>
  </r>
  <r>
    <x v="2"/>
    <s v="广东"/>
    <m/>
    <m/>
    <m/>
    <m/>
  </r>
  <r>
    <x v="3"/>
    <s v="广东"/>
    <n v="109"/>
    <n v="116"/>
    <n v="0.93965517241379315"/>
    <n v="2"/>
  </r>
  <r>
    <x v="4"/>
    <s v="广东"/>
    <n v="4"/>
    <n v="4"/>
    <n v="1"/>
    <n v="2"/>
  </r>
  <r>
    <x v="0"/>
    <s v="四川"/>
    <n v="1164"/>
    <n v="1171"/>
    <n v="0.99402220324508972"/>
    <n v="2"/>
  </r>
  <r>
    <x v="1"/>
    <s v="四川"/>
    <n v="1"/>
    <n v="1"/>
    <n v="1"/>
    <n v="2"/>
  </r>
  <r>
    <x v="2"/>
    <s v="四川"/>
    <n v="2"/>
    <n v="2"/>
    <n v="1"/>
    <n v="2"/>
  </r>
  <r>
    <x v="3"/>
    <s v="四川"/>
    <n v="287"/>
    <n v="298"/>
    <n v="0.96308724832214765"/>
    <n v="2"/>
  </r>
  <r>
    <x v="4"/>
    <s v="四川"/>
    <n v="9"/>
    <n v="9"/>
    <n v="1"/>
    <n v="2"/>
  </r>
</pivotCacheRecords>
</file>

<file path=xl/pivotCache/pivotCacheRecords3.xml><?xml version="1.0" encoding="utf-8"?>
<pivotCacheRecords xmlns="http://schemas.openxmlformats.org/spreadsheetml/2006/main" xmlns:r="http://schemas.openxmlformats.org/officeDocument/2006/relationships" count="60">
  <r>
    <x v="0"/>
    <s v="北京"/>
    <n v="2"/>
    <n v="4"/>
    <n v="2"/>
    <n v="0.33333333333333331"/>
    <n v="0"/>
  </r>
  <r>
    <x v="1"/>
    <s v="北京"/>
    <n v="3"/>
    <n v="14"/>
    <n v="2"/>
    <n v="0.1875"/>
    <n v="1.5"/>
  </r>
  <r>
    <x v="2"/>
    <s v="北京"/>
    <n v="4"/>
    <n v="9"/>
    <n v="5"/>
    <n v="0.2857142857142857"/>
    <n v="1.5"/>
  </r>
  <r>
    <x v="3"/>
    <s v="北京"/>
    <n v="2"/>
    <n v="8"/>
    <n v="9"/>
    <n v="0.11764705882352941"/>
    <n v="3"/>
  </r>
  <r>
    <x v="4"/>
    <s v="北京"/>
    <n v="1"/>
    <n v="5"/>
    <n v="4"/>
    <n v="0.1111111111111111"/>
    <n v="3"/>
  </r>
  <r>
    <x v="5"/>
    <s v="北京"/>
    <n v="1"/>
    <n v="3"/>
    <n v="2"/>
    <n v="0.2"/>
    <n v="1.5"/>
  </r>
  <r>
    <x v="0"/>
    <s v="天津"/>
    <n v="2"/>
    <n v="7"/>
    <n v="2"/>
    <n v="0.22222222222222221"/>
    <n v="1.5"/>
  </r>
  <r>
    <x v="1"/>
    <s v="天津"/>
    <n v="22"/>
    <n v="72"/>
    <n v="20"/>
    <n v="0.2391304347826087"/>
    <n v="1.5"/>
  </r>
  <r>
    <x v="2"/>
    <s v="天津"/>
    <n v="2"/>
    <n v="20"/>
    <n v="6"/>
    <n v="7.6923076923076927E-2"/>
    <n v="3"/>
  </r>
  <r>
    <x v="3"/>
    <s v="天津"/>
    <n v="5"/>
    <n v="27"/>
    <n v="6"/>
    <n v="0.15151515151515152"/>
    <n v="1.5"/>
  </r>
  <r>
    <x v="4"/>
    <s v="天津"/>
    <n v="0"/>
    <n v="0"/>
    <n v="0"/>
    <m/>
    <m/>
  </r>
  <r>
    <x v="5"/>
    <s v="天津"/>
    <n v="1"/>
    <n v="7"/>
    <n v="4"/>
    <n v="9.0909090909090912E-2"/>
    <n v="3"/>
  </r>
  <r>
    <x v="0"/>
    <s v="辽宁"/>
    <n v="1"/>
    <n v="8"/>
    <n v="1"/>
    <n v="0.1111111111111111"/>
    <n v="3"/>
  </r>
  <r>
    <x v="1"/>
    <s v="辽宁"/>
    <n v="8"/>
    <n v="58"/>
    <n v="16"/>
    <n v="0.10810810810810811"/>
    <n v="3"/>
  </r>
  <r>
    <x v="2"/>
    <s v="辽宁"/>
    <n v="1"/>
    <n v="0"/>
    <n v="2"/>
    <m/>
    <m/>
  </r>
  <r>
    <x v="3"/>
    <s v="辽宁"/>
    <n v="2"/>
    <n v="2"/>
    <n v="0"/>
    <n v="1"/>
    <n v="0"/>
  </r>
  <r>
    <x v="4"/>
    <s v="辽宁"/>
    <n v="0"/>
    <n v="13"/>
    <n v="1"/>
    <n v="0"/>
    <n v="3"/>
  </r>
  <r>
    <x v="5"/>
    <s v="辽宁"/>
    <n v="5"/>
    <n v="15"/>
    <n v="6"/>
    <n v="0.23809523809523808"/>
    <n v="1.5"/>
  </r>
  <r>
    <x v="0"/>
    <s v="大连"/>
    <n v="0"/>
    <n v="3"/>
    <n v="2"/>
    <n v="0"/>
    <n v="3"/>
  </r>
  <r>
    <x v="1"/>
    <s v="大连"/>
    <n v="9"/>
    <n v="12"/>
    <n v="8"/>
    <n v="0.45"/>
    <n v="0"/>
  </r>
  <r>
    <x v="2"/>
    <s v="大连"/>
    <n v="0"/>
    <n v="0"/>
    <n v="1"/>
    <n v="0"/>
    <n v="3"/>
  </r>
  <r>
    <x v="3"/>
    <s v="大连"/>
    <n v="7"/>
    <n v="16"/>
    <n v="14"/>
    <n v="0.23333333333333334"/>
    <n v="1.5"/>
  </r>
  <r>
    <x v="4"/>
    <s v="大连"/>
    <n v="0"/>
    <n v="0"/>
    <n v="0"/>
    <m/>
    <m/>
  </r>
  <r>
    <x v="5"/>
    <s v="大连"/>
    <n v="0"/>
    <n v="4"/>
    <n v="0"/>
    <n v="0"/>
    <n v="3"/>
  </r>
  <r>
    <x v="0"/>
    <s v="江苏"/>
    <n v="1"/>
    <n v="4"/>
    <n v="2"/>
    <n v="0.16666666666666666"/>
    <n v="1.5"/>
  </r>
  <r>
    <x v="1"/>
    <s v="江苏"/>
    <n v="18"/>
    <n v="66"/>
    <n v="14"/>
    <n v="0.22500000000000001"/>
    <n v="1.5"/>
  </r>
  <r>
    <x v="2"/>
    <s v="江苏"/>
    <n v="6"/>
    <n v="19"/>
    <n v="6"/>
    <n v="0.24"/>
    <n v="1.5"/>
  </r>
  <r>
    <x v="3"/>
    <s v="江苏"/>
    <n v="10"/>
    <n v="6"/>
    <n v="15"/>
    <n v="0.47619047619047616"/>
    <n v="0"/>
  </r>
  <r>
    <x v="4"/>
    <s v="江苏"/>
    <n v="2"/>
    <n v="4"/>
    <n v="5"/>
    <n v="0.22222222222222221"/>
    <n v="1.5"/>
  </r>
  <r>
    <x v="5"/>
    <s v="江苏"/>
    <n v="2"/>
    <n v="14"/>
    <n v="4"/>
    <n v="0.1111111111111111"/>
    <n v="3"/>
  </r>
  <r>
    <x v="0"/>
    <s v="山东"/>
    <n v="0"/>
    <n v="5"/>
    <n v="1"/>
    <n v="0"/>
    <n v="3"/>
  </r>
  <r>
    <x v="1"/>
    <s v="山东"/>
    <n v="29"/>
    <n v="91"/>
    <n v="39"/>
    <n v="0.22307692307692309"/>
    <n v="1.5"/>
  </r>
  <r>
    <x v="2"/>
    <s v="山东"/>
    <n v="10"/>
    <n v="20"/>
    <n v="9"/>
    <n v="0.34482758620689657"/>
    <n v="0"/>
  </r>
  <r>
    <x v="3"/>
    <s v="山东"/>
    <n v="20"/>
    <n v="36"/>
    <n v="12"/>
    <n v="0.41666666666666669"/>
    <n v="0"/>
  </r>
  <r>
    <x v="4"/>
    <s v="山东"/>
    <n v="2"/>
    <n v="8"/>
    <n v="6"/>
    <n v="0.14285714285714285"/>
    <n v="3"/>
  </r>
  <r>
    <x v="5"/>
    <s v="山东"/>
    <n v="3"/>
    <n v="15"/>
    <n v="6"/>
    <n v="0.14285714285714285"/>
    <n v="3"/>
  </r>
  <r>
    <x v="0"/>
    <s v="青岛"/>
    <n v="0"/>
    <n v="3"/>
    <n v="1"/>
    <n v="0"/>
    <n v="3"/>
  </r>
  <r>
    <x v="1"/>
    <s v="青岛"/>
    <n v="9"/>
    <n v="18"/>
    <n v="10"/>
    <n v="0.32142857142857145"/>
    <n v="0"/>
  </r>
  <r>
    <x v="2"/>
    <s v="青岛"/>
    <n v="6"/>
    <n v="6"/>
    <n v="4"/>
    <n v="0.6"/>
    <n v="0"/>
  </r>
  <r>
    <x v="3"/>
    <s v="青岛"/>
    <n v="0"/>
    <n v="1"/>
    <n v="0"/>
    <n v="0"/>
    <n v="3"/>
  </r>
  <r>
    <x v="4"/>
    <s v="青岛"/>
    <n v="0"/>
    <n v="0"/>
    <n v="0"/>
    <m/>
    <m/>
  </r>
  <r>
    <x v="5"/>
    <s v="青岛"/>
    <n v="1"/>
    <n v="4"/>
    <n v="2"/>
    <n v="0.16666666666666666"/>
    <n v="1.5"/>
  </r>
  <r>
    <x v="0"/>
    <s v="河南"/>
    <n v="0"/>
    <n v="6"/>
    <n v="0"/>
    <n v="0"/>
    <n v="3"/>
  </r>
  <r>
    <x v="1"/>
    <s v="河南"/>
    <n v="14"/>
    <n v="61"/>
    <n v="20"/>
    <n v="0.1728395061728395"/>
    <n v="1.5"/>
  </r>
  <r>
    <x v="2"/>
    <s v="河南"/>
    <n v="2"/>
    <n v="5"/>
    <n v="3"/>
    <n v="0.25"/>
    <n v="1.5"/>
  </r>
  <r>
    <x v="3"/>
    <s v="河南"/>
    <n v="44"/>
    <n v="46"/>
    <n v="46"/>
    <n v="0.47826086956521741"/>
    <n v="0"/>
  </r>
  <r>
    <x v="4"/>
    <s v="河南"/>
    <n v="0"/>
    <n v="4"/>
    <n v="3"/>
    <n v="0"/>
    <n v="3"/>
  </r>
  <r>
    <x v="5"/>
    <s v="河南"/>
    <n v="2"/>
    <n v="8"/>
    <n v="3"/>
    <n v="0.18181818181818182"/>
    <n v="1.5"/>
  </r>
  <r>
    <x v="0"/>
    <s v="广东"/>
    <n v="0"/>
    <n v="3"/>
    <n v="0"/>
    <n v="0"/>
    <n v="3"/>
  </r>
  <r>
    <x v="1"/>
    <s v="广东"/>
    <n v="20"/>
    <n v="28"/>
    <n v="19"/>
    <n v="0.42553191489361702"/>
    <n v="0"/>
  </r>
  <r>
    <x v="2"/>
    <s v="广东"/>
    <n v="0"/>
    <n v="0"/>
    <n v="1"/>
    <m/>
    <m/>
  </r>
  <r>
    <x v="3"/>
    <s v="广东"/>
    <n v="11"/>
    <n v="10"/>
    <n v="3"/>
    <n v="0.84615384615384615"/>
    <n v="0"/>
  </r>
  <r>
    <x v="4"/>
    <s v="广东"/>
    <n v="2"/>
    <n v="3"/>
    <n v="1"/>
    <n v="0.5"/>
    <n v="0"/>
  </r>
  <r>
    <x v="5"/>
    <s v="广东"/>
    <n v="1"/>
    <n v="3"/>
    <n v="1"/>
    <n v="0.25"/>
    <n v="1.5"/>
  </r>
  <r>
    <x v="0"/>
    <s v="四川"/>
    <n v="0"/>
    <n v="3"/>
    <n v="1"/>
    <n v="0"/>
    <n v="3"/>
  </r>
  <r>
    <x v="1"/>
    <s v="四川"/>
    <n v="11"/>
    <n v="26"/>
    <n v="22"/>
    <n v="0.22916666666666666"/>
    <n v="1.5"/>
  </r>
  <r>
    <x v="2"/>
    <s v="四川"/>
    <n v="7"/>
    <n v="9"/>
    <n v="7"/>
    <n v="0.4375"/>
    <n v="0"/>
  </r>
  <r>
    <x v="3"/>
    <s v="四川"/>
    <n v="10"/>
    <n v="10"/>
    <n v="6"/>
    <n v="0.625"/>
    <n v="0"/>
  </r>
  <r>
    <x v="4"/>
    <s v="四川"/>
    <n v="0"/>
    <n v="0"/>
    <n v="2"/>
    <n v="0"/>
    <n v="3"/>
  </r>
  <r>
    <x v="5"/>
    <s v="四川"/>
    <n v="0"/>
    <n v="5"/>
    <n v="1"/>
    <n v="0"/>
    <n v="3"/>
  </r>
</pivotCacheRecords>
</file>

<file path=xl/pivotCache/pivotCacheRecords4.xml><?xml version="1.0" encoding="utf-8"?>
<pivotCacheRecords xmlns="http://schemas.openxmlformats.org/spreadsheetml/2006/main" xmlns:r="http://schemas.openxmlformats.org/officeDocument/2006/relationships" count="121">
  <r>
    <x v="0"/>
    <n v="5451353"/>
    <n v="5594623"/>
    <n v="0.97439148267899378"/>
    <n v="3"/>
  </r>
  <r>
    <x v="1"/>
    <n v="1802618"/>
    <n v="1830832"/>
    <n v="0.98458951995595445"/>
    <n v="3"/>
  </r>
  <r>
    <x v="2"/>
    <n v="918692"/>
    <n v="918592"/>
    <n v="1"/>
    <n v="3"/>
  </r>
  <r>
    <x v="3"/>
    <n v="50262"/>
    <n v="50166"/>
    <n v="1"/>
    <n v="3"/>
  </r>
  <r>
    <x v="0"/>
    <n v="16383604"/>
    <n v="17485002"/>
    <n v="0.93700898633011309"/>
    <n v="3"/>
  </r>
  <r>
    <x v="1"/>
    <n v="537063"/>
    <n v="581117"/>
    <n v="0.92419082559966415"/>
    <n v="3"/>
  </r>
  <r>
    <x v="2"/>
    <n v="7878302"/>
    <n v="7955070"/>
    <n v="0.99034980207590884"/>
    <n v="3"/>
  </r>
  <r>
    <x v="3"/>
    <n v="6151"/>
    <n v="32709"/>
    <n v="0.18805221804396344"/>
    <n v="0"/>
  </r>
  <r>
    <x v="0"/>
    <n v="4526371"/>
    <n v="4776737"/>
    <n v="0.94758639632033337"/>
    <n v="3"/>
  </r>
  <r>
    <x v="1"/>
    <m/>
    <m/>
    <m/>
    <m/>
  </r>
  <r>
    <x v="2"/>
    <n v="944601"/>
    <n v="985489"/>
    <n v="0.95850993770605253"/>
    <n v="3"/>
  </r>
  <r>
    <x v="3"/>
    <n v="31729"/>
    <n v="31729"/>
    <n v="1"/>
    <n v="3"/>
  </r>
  <r>
    <x v="0"/>
    <n v="15542170"/>
    <n v="16481284"/>
    <n v="0.94301936669497355"/>
    <n v="3"/>
  </r>
  <r>
    <x v="1"/>
    <n v="2396699"/>
    <n v="2584694"/>
    <n v="0.92726605160997777"/>
    <n v="3"/>
  </r>
  <r>
    <x v="2"/>
    <n v="5075683"/>
    <n v="5303361"/>
    <n v="0.95706911145592388"/>
    <n v="3"/>
  </r>
  <r>
    <x v="3"/>
    <n v="133825"/>
    <n v="136795"/>
    <n v="0.97828868014181802"/>
    <n v="3"/>
  </r>
  <r>
    <x v="0"/>
    <n v="16841120"/>
    <n v="17805159"/>
    <n v="0.94585619819514111"/>
    <n v="3"/>
  </r>
  <r>
    <x v="1"/>
    <n v="5181832"/>
    <n v="5421757"/>
    <n v="0.95574774007761687"/>
    <n v="3"/>
  </r>
  <r>
    <x v="2"/>
    <n v="771770"/>
    <n v="793445"/>
    <n v="0.97268241655061161"/>
    <n v="3"/>
  </r>
  <r>
    <x v="3"/>
    <n v="228492"/>
    <n v="228283"/>
    <n v="1"/>
    <n v="3"/>
  </r>
  <r>
    <x v="0"/>
    <n v="14608374"/>
    <n v="15528001"/>
    <n v="0.94077621453012528"/>
    <n v="3"/>
  </r>
  <r>
    <x v="1"/>
    <n v="6559740"/>
    <n v="7191258"/>
    <n v="0.91218254163596968"/>
    <n v="3"/>
  </r>
  <r>
    <x v="2"/>
    <n v="729167"/>
    <n v="752943"/>
    <n v="0.96842257647657259"/>
    <n v="3"/>
  </r>
  <r>
    <x v="3"/>
    <n v="100028"/>
    <n v="102961"/>
    <n v="0.97151348568875595"/>
    <n v="3"/>
  </r>
  <r>
    <x v="0"/>
    <n v="3208338"/>
    <n v="3459109"/>
    <n v="0.92750416364445298"/>
    <n v="3"/>
  </r>
  <r>
    <x v="1"/>
    <n v="1542524"/>
    <n v="1592658"/>
    <n v="0.96852180443007851"/>
    <n v="3"/>
  </r>
  <r>
    <x v="2"/>
    <n v="1215008"/>
    <n v="1246896"/>
    <n v="0.97442609487880305"/>
    <n v="3"/>
  </r>
  <r>
    <x v="3"/>
    <n v="10302"/>
    <n v="10308"/>
    <n v="0.99941792782305006"/>
    <n v="3"/>
  </r>
  <r>
    <x v="0"/>
    <n v="9097651"/>
    <n v="9646617"/>
    <n v="0.94309238150535057"/>
    <n v="3"/>
  </r>
  <r>
    <x v="1"/>
    <n v="724132"/>
    <n v="755255"/>
    <n v="0.95879140157959897"/>
    <n v="3"/>
  </r>
  <r>
    <x v="2"/>
    <n v="4817821"/>
    <n v="5062962"/>
    <n v="0.95158150505573613"/>
    <n v="3"/>
  </r>
  <r>
    <x v="3"/>
    <n v="38503"/>
    <n v="39832"/>
    <n v="0.96663486643904395"/>
    <n v="3"/>
  </r>
  <r>
    <x v="0"/>
    <n v="2926104"/>
    <n v="3136282"/>
    <n v="0.93298498030470478"/>
    <n v="3"/>
  </r>
  <r>
    <x v="1"/>
    <m/>
    <m/>
    <m/>
    <m/>
  </r>
  <r>
    <x v="2"/>
    <n v="6366055"/>
    <n v="6778025"/>
    <n v="0.93921975796784463"/>
    <n v="3"/>
  </r>
  <r>
    <x v="3"/>
    <n v="20552"/>
    <n v="20552"/>
    <n v="1"/>
    <n v="3"/>
  </r>
  <r>
    <x v="0"/>
    <n v="2175096"/>
    <n v="2638275"/>
    <n v="0.82443869573869288"/>
    <n v="1.5"/>
  </r>
  <r>
    <x v="1"/>
    <n v="929450"/>
    <n v="934880"/>
    <n v="0.99419176792743458"/>
    <n v="3"/>
  </r>
  <r>
    <x v="2"/>
    <n v="289252"/>
    <n v="360916"/>
    <n v="0.80143856188143503"/>
    <n v="1.5"/>
  </r>
  <r>
    <x v="3"/>
    <n v="3433"/>
    <n v="3433"/>
    <n v="1"/>
    <n v="3"/>
  </r>
  <r>
    <x v="0"/>
    <n v="6528213"/>
    <n v="6842855"/>
    <n v="0.9540189000059186"/>
    <n v="3"/>
  </r>
  <r>
    <x v="1"/>
    <n v="1854944"/>
    <n v="1886546"/>
    <n v="0.98324875195197992"/>
    <n v="3"/>
  </r>
  <r>
    <x v="2"/>
    <n v="966521"/>
    <n v="1021121"/>
    <n v="0.94652935352421508"/>
    <n v="3"/>
  </r>
  <r>
    <x v="3"/>
    <n v="124252"/>
    <n v="244654"/>
    <n v="0.50786825475978326"/>
    <n v="0"/>
  </r>
  <r>
    <x v="0"/>
    <n v="27109574"/>
    <n v="29094199"/>
    <n v="0.93178622996288707"/>
    <n v="3"/>
  </r>
  <r>
    <x v="1"/>
    <n v="710963"/>
    <n v="767819"/>
    <n v="0.92595129841798651"/>
    <n v="3"/>
  </r>
  <r>
    <x v="2"/>
    <n v="16907574"/>
    <n v="17323466"/>
    <n v="0.97599256407464885"/>
    <n v="3"/>
  </r>
  <r>
    <x v="3"/>
    <n v="135399"/>
    <n v="186823"/>
    <n v="0.72474481193429074"/>
    <n v="0"/>
  </r>
  <r>
    <x v="0"/>
    <n v="6237818"/>
    <n v="6920730"/>
    <n v="0.90132370429131026"/>
    <n v="3"/>
  </r>
  <r>
    <x v="1"/>
    <m/>
    <m/>
    <m/>
    <m/>
  </r>
  <r>
    <x v="2"/>
    <n v="928897"/>
    <n v="982445"/>
    <n v="0.94549516766841912"/>
    <n v="3"/>
  </r>
  <r>
    <x v="3"/>
    <n v="61957"/>
    <n v="66202"/>
    <n v="0.93587807014893809"/>
    <n v="3"/>
  </r>
  <r>
    <x v="0"/>
    <n v="27126450"/>
    <n v="28894988"/>
    <n v="0.93879429885902699"/>
    <n v="3"/>
  </r>
  <r>
    <x v="1"/>
    <n v="2421055"/>
    <n v="2600076"/>
    <n v="0.93114778183406943"/>
    <n v="3"/>
  </r>
  <r>
    <x v="2"/>
    <n v="5480359"/>
    <n v="5945882"/>
    <n v="0.92170665344519109"/>
    <n v="3"/>
  </r>
  <r>
    <x v="3"/>
    <n v="353297"/>
    <n v="365085"/>
    <n v="0.96771162879877293"/>
    <n v="3"/>
  </r>
  <r>
    <x v="0"/>
    <n v="31134968"/>
    <n v="32876752"/>
    <n v="0.94702080059490057"/>
    <n v="3"/>
  </r>
  <r>
    <x v="1"/>
    <n v="4651506"/>
    <n v="4977607"/>
    <n v="0.93448639074961126"/>
    <n v="3"/>
  </r>
  <r>
    <x v="2"/>
    <n v="530128"/>
    <n v="567953"/>
    <n v="0.93340117932293698"/>
    <n v="3"/>
  </r>
  <r>
    <x v="3"/>
    <n v="165319"/>
    <n v="169717"/>
    <n v="0.97408627303098683"/>
    <n v="3"/>
  </r>
  <r>
    <x v="0"/>
    <n v="29049037"/>
    <n v="31377042"/>
    <n v="0.92580546630240035"/>
    <n v="3"/>
  </r>
  <r>
    <x v="1"/>
    <n v="6439729"/>
    <n v="7054596"/>
    <n v="0.91284164252637567"/>
    <n v="3"/>
  </r>
  <r>
    <x v="2"/>
    <n v="803315"/>
    <n v="818089"/>
    <n v="0.98194084017753569"/>
    <n v="3"/>
  </r>
  <r>
    <x v="3"/>
    <n v="367022"/>
    <n v="384040"/>
    <n v="0.95568690761379027"/>
    <n v="3"/>
  </r>
  <r>
    <x v="0"/>
    <n v="6300868"/>
    <n v="7146135"/>
    <n v="0.88171690011453741"/>
    <n v="1.5"/>
  </r>
  <r>
    <x v="1"/>
    <n v="476051"/>
    <n v="534214"/>
    <n v="0.89112415623701358"/>
    <n v="1.5"/>
  </r>
  <r>
    <x v="2"/>
    <n v="1371980"/>
    <n v="1457092"/>
    <n v="0.94158776522004106"/>
    <n v="3"/>
  </r>
  <r>
    <x v="3"/>
    <n v="85030"/>
    <n v="87581"/>
    <n v="0.97087267786392029"/>
    <n v="3"/>
  </r>
  <r>
    <x v="0"/>
    <n v="19481456"/>
    <n v="21230969"/>
    <n v="0.917596177546112"/>
    <n v="3"/>
  </r>
  <r>
    <x v="1"/>
    <n v="896712"/>
    <n v="922827"/>
    <n v="0.97170108806959488"/>
    <n v="3"/>
  </r>
  <r>
    <x v="2"/>
    <n v="5764355"/>
    <n v="5889736"/>
    <n v="0.97871194905849768"/>
    <n v="3"/>
  </r>
  <r>
    <x v="3"/>
    <n v="177756"/>
    <n v="182532"/>
    <n v="0.97383472487015976"/>
    <n v="3"/>
  </r>
  <r>
    <x v="0"/>
    <n v="5091350"/>
    <n v="5729393"/>
    <n v="0.88863689399557688"/>
    <n v="1.5"/>
  </r>
  <r>
    <x v="1"/>
    <m/>
    <m/>
    <m/>
    <m/>
  </r>
  <r>
    <x v="2"/>
    <n v="10418063"/>
    <n v="10770131"/>
    <n v="0.96731070402022035"/>
    <n v="3"/>
  </r>
  <r>
    <x v="3"/>
    <n v="105705"/>
    <n v="105720"/>
    <n v="0.99985811577752559"/>
    <n v="3"/>
  </r>
  <r>
    <x v="0"/>
    <n v="5374208"/>
    <n v="6668328"/>
    <n v="0.80593036215375125"/>
    <n v="1.5"/>
  </r>
  <r>
    <x v="1"/>
    <n v="595859"/>
    <n v="595859"/>
    <n v="1"/>
    <n v="3"/>
  </r>
  <r>
    <x v="2"/>
    <n v="490345"/>
    <n v="515567"/>
    <n v="0.95107910320094191"/>
    <n v="3"/>
  </r>
  <r>
    <x v="3"/>
    <n v="30118"/>
    <n v="35570"/>
    <n v="0.84672476806297436"/>
    <n v="1.5"/>
  </r>
  <r>
    <x v="0"/>
    <n v="5105007"/>
    <n v="5232706"/>
    <n v="0.97559599182526213"/>
    <n v="3"/>
  </r>
  <r>
    <x v="1"/>
    <n v="1920445"/>
    <n v="1934072"/>
    <n v="0.99295424368896301"/>
    <n v="3"/>
  </r>
  <r>
    <x v="2"/>
    <n v="856702"/>
    <n v="856702"/>
    <n v="1"/>
    <n v="3"/>
  </r>
  <r>
    <x v="3"/>
    <n v="27073"/>
    <n v="27103"/>
    <n v="0.99889311146367565"/>
    <n v="3"/>
  </r>
  <r>
    <x v="0"/>
    <n v="13338080"/>
    <n v="14885999"/>
    <n v="0.89601510788761973"/>
    <n v="1.5"/>
  </r>
  <r>
    <x v="1"/>
    <n v="446620"/>
    <n v="485904"/>
    <n v="0.9191527544535546"/>
    <n v="3"/>
  </r>
  <r>
    <x v="2"/>
    <n v="8090367"/>
    <n v="8762559"/>
    <n v="0.92328816273876158"/>
    <n v="3"/>
  </r>
  <r>
    <x v="3"/>
    <n v="30565"/>
    <n v="30565"/>
    <n v="1"/>
    <n v="3"/>
  </r>
  <r>
    <x v="0"/>
    <n v="3130666"/>
    <n v="3465097"/>
    <n v="0.90348581872311218"/>
    <n v="3"/>
  </r>
  <r>
    <x v="1"/>
    <m/>
    <m/>
    <m/>
    <n v="0"/>
  </r>
  <r>
    <x v="2"/>
    <n v="1139684"/>
    <n v="1149684"/>
    <n v="0.99130195775534846"/>
    <n v="3"/>
  </r>
  <r>
    <x v="3"/>
    <n v="27323"/>
    <n v="27339"/>
    <n v="0.9994147554775229"/>
    <n v="3"/>
  </r>
  <r>
    <x v="0"/>
    <n v="13140720"/>
    <n v="13979115"/>
    <n v="0.94002517326740642"/>
    <n v="3"/>
  </r>
  <r>
    <x v="1"/>
    <n v="3505423"/>
    <n v="3618820"/>
    <n v="0.96866464759230908"/>
    <n v="3"/>
  </r>
  <r>
    <x v="2"/>
    <n v="2925021"/>
    <n v="3257556"/>
    <n v="0.89791886923816511"/>
    <n v="1.5"/>
  </r>
  <r>
    <x v="3"/>
    <n v="103763"/>
    <n v="103594"/>
    <n v="1"/>
    <n v="3"/>
  </r>
  <r>
    <x v="0"/>
    <n v="15125253"/>
    <n v="15900163"/>
    <n v="0.95126402163298573"/>
    <n v="3"/>
  </r>
  <r>
    <x v="1"/>
    <n v="4406124"/>
    <n v="4904696"/>
    <n v="0.89834803217161674"/>
    <n v="1.5"/>
  </r>
  <r>
    <x v="2"/>
    <n v="707226"/>
    <n v="725226"/>
    <n v="0.97518015073921782"/>
    <n v="3"/>
  </r>
  <r>
    <x v="3"/>
    <n v="48477"/>
    <n v="48479"/>
    <n v="0.99995874502361848"/>
    <n v="3"/>
  </r>
  <r>
    <x v="0"/>
    <n v="13801000"/>
    <n v="14853224"/>
    <n v="0.92915854497313177"/>
    <n v="3"/>
  </r>
  <r>
    <x v="1"/>
    <n v="7716087"/>
    <n v="8293239"/>
    <n v="0.93040692544854908"/>
    <n v="3"/>
  </r>
  <r>
    <x v="2"/>
    <n v="750839"/>
    <n v="774393"/>
    <n v="0.96958391927612986"/>
    <n v="3"/>
  </r>
  <r>
    <x v="3"/>
    <n v="66344"/>
    <n v="66215"/>
    <n v="1"/>
    <n v="3"/>
  </r>
  <r>
    <x v="0"/>
    <n v="2799327"/>
    <n v="3037636"/>
    <n v="0.92154787472890098"/>
    <n v="3"/>
  </r>
  <r>
    <x v="1"/>
    <n v="243152"/>
    <n v="258350"/>
    <n v="0.94117282755951226"/>
    <n v="3"/>
  </r>
  <r>
    <x v="2"/>
    <n v="975291"/>
    <n v="1022843"/>
    <n v="0.95350997171608942"/>
    <n v="3"/>
  </r>
  <r>
    <x v="3"/>
    <n v="26750"/>
    <n v="26555"/>
    <n v="1"/>
    <n v="3"/>
  </r>
  <r>
    <x v="0"/>
    <n v="8572710"/>
    <n v="9209045"/>
    <n v="0.9309010869205222"/>
    <n v="3"/>
  </r>
  <r>
    <x v="1"/>
    <n v="698336"/>
    <n v="727852"/>
    <n v="0.95944779982743744"/>
    <n v="3"/>
  </r>
  <r>
    <x v="2"/>
    <n v="6089643"/>
    <n v="6171352"/>
    <n v="0.98675995146606443"/>
    <n v="3"/>
  </r>
  <r>
    <x v="3"/>
    <n v="13709"/>
    <n v="13709"/>
    <n v="1"/>
    <n v="3"/>
  </r>
  <r>
    <x v="0"/>
    <n v="2738761"/>
    <n v="2872722"/>
    <n v="0.95336792073858867"/>
    <n v="3"/>
  </r>
  <r>
    <x v="1"/>
    <m/>
    <m/>
    <m/>
    <n v="0"/>
  </r>
  <r>
    <x v="2"/>
    <n v="4348806"/>
    <n v="4459582"/>
    <n v="0.97516000378510814"/>
    <n v="3"/>
  </r>
  <r>
    <x v="3"/>
    <n v="43868"/>
    <n v="52168"/>
    <n v="0.8408986351786536"/>
    <n v="1.5"/>
  </r>
  <r>
    <x v="0"/>
    <n v="2067883"/>
    <n v="2245659"/>
    <n v="0.92083571014121024"/>
    <n v="3"/>
  </r>
  <r>
    <x v="1"/>
    <n v="209593"/>
    <n v="215798"/>
    <n v="0.9712462580746809"/>
    <n v="3"/>
  </r>
  <r>
    <x v="2"/>
    <n v="395871"/>
    <n v="443313"/>
    <n v="0.89298306162914243"/>
    <n v="1.5"/>
  </r>
  <r>
    <x v="3"/>
    <m/>
    <m/>
    <m/>
    <m/>
  </r>
  <r>
    <x v="4"/>
    <m/>
    <m/>
    <m/>
    <m/>
  </r>
</pivotCacheRecords>
</file>

<file path=xl/pivotCache/pivotCacheRecords5.xml><?xml version="1.0" encoding="utf-8"?>
<pivotCacheRecords xmlns="http://schemas.openxmlformats.org/spreadsheetml/2006/main" xmlns:r="http://schemas.openxmlformats.org/officeDocument/2006/relationships" count="60">
  <r>
    <x v="0"/>
    <x v="0"/>
    <n v="17120.66"/>
    <n v="164595"/>
    <n v="10186688.289999999"/>
    <n v="4267304"/>
    <n v="1.2572004768932945E-2"/>
    <n v="3"/>
  </r>
  <r>
    <x v="0"/>
    <x v="1"/>
    <n v="73529.89"/>
    <n v="45437"/>
    <n v="2160855.13"/>
    <n v="1118361"/>
    <n v="3.6279063435809583E-2"/>
    <n v="3"/>
  </r>
  <r>
    <x v="0"/>
    <x v="2"/>
    <n v="297"/>
    <n v="46201"/>
    <n v="1603189.83"/>
    <n v="1766605"/>
    <n v="1.3798466181396568E-2"/>
    <n v="3"/>
  </r>
  <r>
    <x v="0"/>
    <x v="3"/>
    <n v="57184.72"/>
    <n v="377715"/>
    <n v="9754852.9699999988"/>
    <n v="9013059"/>
    <n v="2.3172514912430081E-2"/>
    <n v="3"/>
  </r>
  <r>
    <x v="0"/>
    <x v="4"/>
    <n v="360191.71"/>
    <n v="679036"/>
    <n v="14619696.060000001"/>
    <n v="5894979"/>
    <n v="5.0657770935222397E-2"/>
    <n v="1.5"/>
  </r>
  <r>
    <x v="0"/>
    <x v="5"/>
    <n v="586551.13"/>
    <n v="625897"/>
    <n v="30755043.239999998"/>
    <n v="12848843"/>
    <n v="2.7805964893279661E-2"/>
    <n v="3"/>
  </r>
  <r>
    <x v="0"/>
    <x v="6"/>
    <n v="106023.31"/>
    <n v="947101"/>
    <n v="16502562.220000001"/>
    <n v="6571242"/>
    <n v="4.5641555244157313E-2"/>
    <n v="3"/>
  </r>
  <r>
    <x v="0"/>
    <x v="7"/>
    <n v="101625.44"/>
    <n v="90108"/>
    <n v="4338071.84"/>
    <n v="1922674"/>
    <n v="3.0624696306151281E-2"/>
    <n v="3"/>
  </r>
  <r>
    <x v="0"/>
    <x v="8"/>
    <n v="130362.70999999999"/>
    <n v="0"/>
    <n v="1459008"/>
    <n v="0"/>
    <n v="8.9350236599113911E-2"/>
    <n v="1.5"/>
  </r>
  <r>
    <x v="1"/>
    <x v="0"/>
    <n v="180749.29"/>
    <n v="81100"/>
    <n v="22381095.699999999"/>
    <n v="8574707"/>
    <n v="8.4588111811424622E-3"/>
    <n v="3"/>
  </r>
  <r>
    <x v="1"/>
    <x v="9"/>
    <n v="364108.92"/>
    <n v="79495"/>
    <n v="14254034.470000001"/>
    <n v="4170826"/>
    <n v="2.4076378799301704E-2"/>
    <n v="3"/>
  </r>
  <r>
    <x v="1"/>
    <x v="1"/>
    <n v="565161.59"/>
    <n v="72632"/>
    <n v="13422169.440000001"/>
    <n v="7175742"/>
    <n v="3.0963993211536981E-2"/>
    <n v="3"/>
  </r>
  <r>
    <x v="1"/>
    <x v="2"/>
    <n v="0"/>
    <n v="0"/>
    <n v="59648"/>
    <n v="59648"/>
    <n v="0"/>
    <n v="3"/>
  </r>
  <r>
    <x v="1"/>
    <x v="3"/>
    <n v="778619.1"/>
    <n v="2665828"/>
    <n v="46014054.250000007"/>
    <n v="22326706"/>
    <n v="5.0401065007174839E-2"/>
    <n v="1.5"/>
  </r>
  <r>
    <x v="1"/>
    <x v="4"/>
    <n v="1507344.53"/>
    <n v="792873"/>
    <n v="71383021.349999994"/>
    <n v="20862197"/>
    <n v="2.493589988884232E-2"/>
    <n v="3"/>
  </r>
  <r>
    <x v="1"/>
    <x v="5"/>
    <n v="1978691.7199999997"/>
    <n v="1740236"/>
    <n v="76300747.760000005"/>
    <n v="28384549"/>
    <n v="3.5524833334770592E-2"/>
    <n v="3"/>
  </r>
  <r>
    <x v="1"/>
    <x v="10"/>
    <n v="414992.46"/>
    <n v="202123"/>
    <n v="14082126.150000004"/>
    <n v="3601583"/>
    <n v="3.4897399338871156E-2"/>
    <n v="3"/>
  </r>
  <r>
    <x v="1"/>
    <x v="6"/>
    <n v="1237430.8599999996"/>
    <n v="747763"/>
    <n v="64063850.99000001"/>
    <n v="19173713"/>
    <n v="2.3849735201747334E-2"/>
    <n v="3"/>
  </r>
  <r>
    <x v="1"/>
    <x v="7"/>
    <n v="656549.99"/>
    <n v="492244"/>
    <n v="16514438.470000001"/>
    <n v="9701659"/>
    <n v="4.3820175421403026E-2"/>
    <n v="3"/>
  </r>
  <r>
    <x v="1"/>
    <x v="8"/>
    <n v="1374855.56"/>
    <n v="535969"/>
    <n v="62750614.559999995"/>
    <n v="17415395"/>
    <n v="2.3835844773711101E-2"/>
    <n v="3"/>
  </r>
  <r>
    <x v="2"/>
    <x v="0"/>
    <n v="863.62"/>
    <n v="14439"/>
    <n v="5385037.4299999997"/>
    <n v="74030"/>
    <n v="2.803156435823692E-3"/>
    <n v="3"/>
  </r>
  <r>
    <x v="2"/>
    <x v="9"/>
    <n v="0"/>
    <n v="0"/>
    <n v="95417.83"/>
    <n v="0"/>
    <n v="0"/>
    <n v="3"/>
  </r>
  <r>
    <x v="2"/>
    <x v="1"/>
    <n v="0"/>
    <n v="0"/>
    <n v="105683.72"/>
    <n v="0"/>
    <n v="0"/>
    <n v="3"/>
  </r>
  <r>
    <x v="2"/>
    <x v="3"/>
    <n v="0"/>
    <n v="0"/>
    <n v="826310.55"/>
    <n v="5141"/>
    <n v="0"/>
    <n v="3"/>
  </r>
  <r>
    <x v="2"/>
    <x v="4"/>
    <n v="0"/>
    <n v="0"/>
    <n v="2871257.310000001"/>
    <n v="0"/>
    <n v="0"/>
    <n v="3"/>
  </r>
  <r>
    <x v="2"/>
    <x v="5"/>
    <n v="0"/>
    <n v="0"/>
    <n v="343709.29"/>
    <n v="0"/>
    <n v="0"/>
    <n v="3"/>
  </r>
  <r>
    <x v="2"/>
    <x v="10"/>
    <n v="0"/>
    <n v="0"/>
    <n v="1584233.11"/>
    <n v="0"/>
    <n v="0"/>
    <n v="3"/>
  </r>
  <r>
    <x v="2"/>
    <x v="6"/>
    <n v="0"/>
    <n v="0"/>
    <n v="1844965.35"/>
    <n v="87090"/>
    <n v="0"/>
    <n v="3"/>
  </r>
  <r>
    <x v="2"/>
    <x v="7"/>
    <n v="0"/>
    <n v="0"/>
    <n v="1001479.3500000001"/>
    <n v="62097"/>
    <n v="0"/>
    <n v="3"/>
  </r>
  <r>
    <x v="2"/>
    <x v="8"/>
    <n v="0"/>
    <n v="0"/>
    <n v="77581018.38000001"/>
    <n v="188181"/>
    <n v="0"/>
    <n v="3"/>
  </r>
  <r>
    <x v="3"/>
    <x v="0"/>
    <n v="0"/>
    <n v="0"/>
    <n v="1183.92"/>
    <n v="0"/>
    <n v="0"/>
    <n v="3"/>
  </r>
  <r>
    <x v="3"/>
    <x v="9"/>
    <n v="0"/>
    <n v="0"/>
    <n v="269.79000000000002"/>
    <n v="0"/>
    <n v="0"/>
    <n v="3"/>
  </r>
  <r>
    <x v="3"/>
    <x v="1"/>
    <n v="0"/>
    <n v="0"/>
    <n v="2479.1799999999998"/>
    <n v="0"/>
    <n v="0"/>
    <n v="3"/>
  </r>
  <r>
    <x v="3"/>
    <x v="3"/>
    <n v="0"/>
    <n v="0"/>
    <n v="3004.9"/>
    <n v="0"/>
    <n v="0"/>
    <n v="3"/>
  </r>
  <r>
    <x v="3"/>
    <x v="4"/>
    <n v="0"/>
    <n v="0"/>
    <n v="3138.54"/>
    <n v="0"/>
    <n v="0"/>
    <n v="3"/>
  </r>
  <r>
    <x v="3"/>
    <x v="5"/>
    <n v="0"/>
    <n v="0"/>
    <n v="2832.04"/>
    <n v="0"/>
    <n v="0"/>
    <n v="3"/>
  </r>
  <r>
    <x v="3"/>
    <x v="10"/>
    <n v="0"/>
    <n v="0"/>
    <n v="937.72"/>
    <n v="0"/>
    <n v="0"/>
    <n v="3"/>
  </r>
  <r>
    <x v="3"/>
    <x v="6"/>
    <n v="0"/>
    <n v="0"/>
    <n v="2926.2500000000005"/>
    <n v="0"/>
    <n v="0"/>
    <n v="3"/>
  </r>
  <r>
    <x v="3"/>
    <x v="7"/>
    <n v="0"/>
    <n v="0"/>
    <n v="4407.22"/>
    <n v="0"/>
    <n v="0"/>
    <n v="3"/>
  </r>
  <r>
    <x v="3"/>
    <x v="8"/>
    <n v="0"/>
    <n v="0"/>
    <n v="17070.63"/>
    <n v="0"/>
    <n v="0"/>
    <n v="3"/>
  </r>
  <r>
    <x v="4"/>
    <x v="0"/>
    <n v="1564"/>
    <n v="0"/>
    <n v="142696.56999999998"/>
    <n v="112542"/>
    <n v="6.1276005425042156E-3"/>
    <n v="3"/>
  </r>
  <r>
    <x v="4"/>
    <x v="9"/>
    <n v="0"/>
    <n v="0"/>
    <n v="114670.29"/>
    <n v="23484"/>
    <n v="0"/>
    <n v="3"/>
  </r>
  <r>
    <x v="4"/>
    <x v="1"/>
    <n v="0"/>
    <n v="0"/>
    <n v="21592.29"/>
    <n v="14600"/>
    <n v="0"/>
    <n v="3"/>
  </r>
  <r>
    <x v="4"/>
    <x v="3"/>
    <n v="0"/>
    <n v="0"/>
    <n v="263193.63"/>
    <n v="192154"/>
    <n v="0"/>
    <n v="3"/>
  </r>
  <r>
    <x v="4"/>
    <x v="4"/>
    <n v="1121.31"/>
    <n v="5365"/>
    <n v="531880"/>
    <n v="258854"/>
    <n v="8.2028975610002851E-3"/>
    <n v="3"/>
  </r>
  <r>
    <x v="4"/>
    <x v="5"/>
    <n v="12334.010000000002"/>
    <n v="26914"/>
    <n v="983772.56999999983"/>
    <n v="299582"/>
    <n v="3.0582358856601887E-2"/>
    <n v="3"/>
  </r>
  <r>
    <x v="4"/>
    <x v="10"/>
    <n v="0"/>
    <n v="0"/>
    <n v="76014.289999999994"/>
    <n v="31513"/>
    <n v="0"/>
    <n v="3"/>
  </r>
  <r>
    <x v="4"/>
    <x v="6"/>
    <n v="621.78"/>
    <n v="7501"/>
    <n v="762409.41000000015"/>
    <n v="378766"/>
    <n v="7.1179066152503223E-3"/>
    <n v="3"/>
  </r>
  <r>
    <x v="4"/>
    <x v="7"/>
    <n v="0"/>
    <n v="9094"/>
    <n v="92339.82"/>
    <n v="53055"/>
    <n v="6.2546932552342643E-2"/>
    <n v="1.5"/>
  </r>
  <r>
    <x v="4"/>
    <x v="8"/>
    <n v="0"/>
    <n v="23008"/>
    <n v="430056.91000000003"/>
    <n v="321638"/>
    <n v="3.0608162558929657E-2"/>
    <n v="3"/>
  </r>
  <r>
    <x v="5"/>
    <x v="0"/>
    <n v="1162438.44"/>
    <n v="387786"/>
    <n v="2938594"/>
    <n v="1263859"/>
    <n v="0.36888561038041351"/>
    <n v="0"/>
  </r>
  <r>
    <x v="5"/>
    <x v="9"/>
    <n v="1071731.55"/>
    <n v="3116000"/>
    <n v="28582926"/>
    <n v="9841682"/>
    <n v="0.10898566746601553"/>
    <n v="0"/>
  </r>
  <r>
    <x v="5"/>
    <x v="1"/>
    <n v="383013.36"/>
    <n v="0"/>
    <n v="899393"/>
    <n v="0"/>
    <n v="0.42585761730411509"/>
    <n v="0"/>
  </r>
  <r>
    <x v="5"/>
    <x v="3"/>
    <n v="2371248.52"/>
    <n v="2766051"/>
    <n v="21812679.91"/>
    <n v="8867568"/>
    <n v="0.16744648006333529"/>
    <n v="0"/>
  </r>
  <r>
    <x v="5"/>
    <x v="4"/>
    <n v="743011.15000000014"/>
    <n v="80000"/>
    <n v="2530997.5700000003"/>
    <n v="298027"/>
    <n v="0.2909169325454109"/>
    <n v="0"/>
  </r>
  <r>
    <x v="5"/>
    <x v="5"/>
    <n v="4380080.45"/>
    <n v="0"/>
    <n v="2074929"/>
    <n v="0"/>
    <n v="2.1109543748243915"/>
    <n v="0"/>
  </r>
  <r>
    <x v="5"/>
    <x v="10"/>
    <n v="1026720.5"/>
    <n v="0"/>
    <n v="2896304"/>
    <n v="0"/>
    <n v="0.35449334738342386"/>
    <n v="0"/>
  </r>
  <r>
    <x v="5"/>
    <x v="6"/>
    <n v="2518839.5100000002"/>
    <n v="1803549"/>
    <n v="19164954"/>
    <n v="6178201"/>
    <n v="0.17055447555760125"/>
    <n v="0"/>
  </r>
  <r>
    <x v="5"/>
    <x v="7"/>
    <n v="106297.97"/>
    <n v="0"/>
    <n v="3202486"/>
    <n v="51940"/>
    <n v="3.2662586274814671E-2"/>
    <n v="3"/>
  </r>
  <r>
    <x v="5"/>
    <x v="8"/>
    <n v="2214012.04"/>
    <n v="2096491"/>
    <n v="37122522.380000003"/>
    <n v="3939297"/>
    <n v="0.104975938842581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数据透视表9" cacheId="12" applyNumberFormats="0" applyBorderFormats="0" applyFontFormats="0" applyPatternFormats="0" applyAlignmentFormats="0" applyWidthHeightFormats="1" dataCaption="值" updatedVersion="3" minRefreshableVersion="3" showCalcMbrs="0" useAutoFormatting="1" rowGrandTotals="0" itemPrintTitles="1" createdVersion="3" indent="0" showHeaders="0" outline="1" outlineData="1" multipleFieldFilters="0">
  <location ref="K2:M8" firstHeaderRow="0" firstDataRow="1" firstDataCol="1"/>
  <pivotFields count="7">
    <pivotField axis="axisRow" showAll="0" defaultSubtotal="0">
      <items count="6">
        <item x="4"/>
        <item x="1"/>
        <item x="0"/>
        <item x="2"/>
        <item x="5"/>
        <item x="3"/>
      </items>
    </pivotField>
    <pivotField showAll="0" defaultSubtotal="0"/>
    <pivotField showAll="0" defaultSubtotal="0"/>
    <pivotField showAll="0" defaultSubtotal="0"/>
    <pivotField showAll="0" defaultSubtotal="0"/>
    <pivotField name="离职率2" dataField="1" showAll="0" defaultSubtotal="0"/>
    <pivotField dataField="1" showAll="0" defaultSubtotal="0"/>
  </pivotFields>
  <rowFields count="1">
    <field x="0"/>
  </rowFields>
  <rowItems count="6">
    <i>
      <x/>
    </i>
    <i>
      <x v="1"/>
    </i>
    <i>
      <x v="2"/>
    </i>
    <i>
      <x v="3"/>
    </i>
    <i>
      <x v="4"/>
    </i>
    <i>
      <x v="5"/>
    </i>
  </rowItems>
  <colFields count="1">
    <field x="-2"/>
  </colFields>
  <colItems count="2">
    <i>
      <x/>
    </i>
    <i i="1">
      <x v="1"/>
    </i>
  </colItems>
  <dataFields count="2">
    <dataField name="平均值项:得分" fld="6" subtotal="average" baseField="0" baseItem="0" numFmtId="182"/>
    <dataField name="平均值项:离职率" fld="5" subtotal="average" baseField="0" baseItem="0" numFmtId="10"/>
  </dataFields>
  <formats count="6">
    <format dxfId="415">
      <pivotArea outline="0" collapsedLevelsAreSubtotals="1" fieldPosition="0"/>
    </format>
    <format dxfId="414">
      <pivotArea dataOnly="0" labelOnly="1" grandRow="1" outline="0" fieldPosition="0"/>
    </format>
    <format dxfId="413">
      <pivotArea type="all" dataOnly="0" outline="0" fieldPosition="0"/>
    </format>
    <format dxfId="412">
      <pivotArea type="all" dataOnly="0" outline="0" fieldPosition="0"/>
    </format>
    <format dxfId="411">
      <pivotArea outline="0" collapsedLevelsAreSubtotals="1" fieldPosition="0">
        <references count="1">
          <reference field="4294967294" count="1" selected="0">
            <x v="0"/>
          </reference>
        </references>
      </pivotArea>
    </format>
    <format dxfId="41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数据透视表10" cacheId="11" applyNumberFormats="0" applyBorderFormats="0" applyFontFormats="0" applyPatternFormats="0" applyAlignmentFormats="0" applyWidthHeightFormats="1" dataCaption="0" updatedVersion="3"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defaultSubtotal="0">
      <items count="5">
        <item x="3"/>
        <item x="0"/>
        <item x="1"/>
        <item x="4"/>
        <item x="2"/>
      </items>
    </pivotField>
    <pivotField showAll="0" defaultSubtotal="0"/>
    <pivotField showAll="0" defaultSubtotal="0"/>
    <pivotField showAll="0" defaultSubtotal="0"/>
    <pivotField dataField="1" showAll="0" defaultSubtotal="0"/>
    <pivotField dataField="1" showAll="0" defaultSubtota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dataField name="平均值项:犹豫期内电话回访成功率" fld="4" subtotal="average" baseField="0" baseItem="0" numFmtId="10"/>
  </dataFields>
  <formats count="3">
    <format dxfId="408">
      <pivotArea type="all" dataOnly="0" outline="0" fieldPosition="0"/>
    </format>
    <format dxfId="407">
      <pivotArea outline="0" collapsedLevelsAreSubtotals="1" fieldPosition="0">
        <references count="1">
          <reference field="4294967294" count="1" selected="0">
            <x v="1"/>
          </reference>
        </references>
      </pivotArea>
    </format>
    <format dxfId="406">
      <pivotArea dataOnly="0" fieldPosition="0">
        <references count="1">
          <reference field="0" count="0"/>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数据透视表11" cacheId="10" applyNumberFormats="0" applyBorderFormats="0" applyFontFormats="0" applyPatternFormats="0" applyAlignmentFormats="0" applyWidthHeightFormats="1" dataCaption="值" updatedVersion="3"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items count="6">
        <item x="3"/>
        <item x="0"/>
        <item x="1"/>
        <item x="4"/>
        <item x="2"/>
        <item t="default"/>
      </items>
    </pivotField>
    <pivotField showAll="0"/>
    <pivotField showAll="0"/>
    <pivotField showAll="0"/>
    <pivotField dataField="1" showAll="0"/>
    <pivotField dataField="1" showAl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numFmtId="182"/>
    <dataField name="平均值项:新契约回访完成率" fld="4" subtotal="average" baseField="0" baseItem="0" numFmtId="10"/>
  </dataFields>
  <formats count="10">
    <format dxfId="404">
      <pivotArea outline="0" collapsedLevelsAreSubtotals="1" fieldPosition="0">
        <references count="1">
          <reference field="4294967294" count="1" selected="0">
            <x v="0"/>
          </reference>
        </references>
      </pivotArea>
    </format>
    <format dxfId="403">
      <pivotArea collapsedLevelsAreSubtotals="1" fieldPosition="0">
        <references count="2">
          <reference field="4294967294" count="1" selected="0">
            <x v="0"/>
          </reference>
          <reference field="0" count="4">
            <x v="0"/>
            <x v="1"/>
            <x v="2"/>
            <x v="3"/>
          </reference>
        </references>
      </pivotArea>
    </format>
    <format dxfId="402">
      <pivotArea outline="0" collapsedLevelsAreSubtotals="1" fieldPosition="0">
        <references count="1">
          <reference field="4294967294" count="1" selected="0">
            <x v="1"/>
          </reference>
        </references>
      </pivotArea>
    </format>
    <format dxfId="401">
      <pivotArea outline="0" collapsedLevelsAreSubtotals="1" fieldPosition="0">
        <references count="1">
          <reference field="4294967294" count="1" selected="0">
            <x v="1"/>
          </reference>
        </references>
      </pivotArea>
    </format>
    <format dxfId="400">
      <pivotArea outline="0" collapsedLevelsAreSubtotals="1" fieldPosition="0"/>
    </format>
    <format dxfId="399">
      <pivotArea dataOnly="0" labelOnly="1" fieldPosition="0">
        <references count="1">
          <reference field="0" count="0"/>
        </references>
      </pivotArea>
    </format>
    <format dxfId="398">
      <pivotArea collapsedLevelsAreSubtotals="1" fieldPosition="0">
        <references count="1">
          <reference field="0" count="1">
            <x v="4"/>
          </reference>
        </references>
      </pivotArea>
    </format>
    <format dxfId="397">
      <pivotArea outline="0" collapsedLevelsAreSubtotals="1" fieldPosition="0">
        <references count="1">
          <reference field="4294967294" count="1" selected="0">
            <x v="0"/>
          </reference>
        </references>
      </pivotArea>
    </format>
    <format dxfId="396">
      <pivotArea outline="0" collapsedLevelsAreSubtotals="1" fieldPosition="0">
        <references count="1">
          <reference field="4294967294" count="1" selected="0">
            <x v="0"/>
          </reference>
        </references>
      </pivotArea>
    </format>
    <format dxfId="395">
      <pivotArea type="all" dataOnly="0" outline="0" fieldPosition="0"/>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数据透视表12" cacheId="13" applyNumberFormats="0" applyBorderFormats="0" applyFontFormats="0" applyPatternFormats="0" applyAlignmentFormats="0" applyWidthHeightFormats="1" dataCaption="值" updatedVersion="3" minRefreshableVersion="3" showCalcMbrs="0" useAutoFormatting="1" rowGrandTotals="0" itemPrintTitles="1" createdVersion="3" indent="0" outline="1" outlineData="1" multipleFieldFilters="0">
  <location ref="I5:K10" firstHeaderRow="1" firstDataRow="2" firstDataCol="1"/>
  <pivotFields count="5">
    <pivotField axis="axisRow" showAll="0" defaultSubtotal="0">
      <items count="5">
        <item x="1"/>
        <item x="0"/>
        <item x="3"/>
        <item x="2"/>
        <item h="1" x="4"/>
      </items>
    </pivotField>
    <pivotField showAll="0"/>
    <pivotField showAll="0"/>
    <pivotField dataField="1" showAll="0"/>
    <pivotField dataField="1" showAll="0"/>
  </pivotFields>
  <rowFields count="1">
    <field x="0"/>
  </rowFields>
  <rowItems count="4">
    <i>
      <x/>
    </i>
    <i>
      <x v="1"/>
    </i>
    <i>
      <x v="2"/>
    </i>
    <i>
      <x v="3"/>
    </i>
  </rowItems>
  <colFields count="1">
    <field x="-2"/>
  </colFields>
  <colItems count="2">
    <i>
      <x/>
    </i>
    <i i="1">
      <x v="1"/>
    </i>
  </colItems>
  <dataFields count="2">
    <dataField name="平均值项:保费继续率" fld="3" subtotal="average" baseField="0" baseItem="0" numFmtId="10"/>
    <dataField name="平均值项:得分" fld="4" subtotal="average" baseField="0" baseItem="0" numFmtId="182"/>
  </dataFields>
  <formats count="4">
    <format dxfId="394">
      <pivotArea outline="0" collapsedLevelsAreSubtotals="1" fieldPosition="0">
        <references count="1">
          <reference field="4294967294" count="1" selected="0">
            <x v="1"/>
          </reference>
        </references>
      </pivotArea>
    </format>
    <format dxfId="393">
      <pivotArea outline="0" collapsedLevelsAreSubtotals="1" fieldPosition="0">
        <references count="1">
          <reference field="4294967294" count="1" selected="0">
            <x v="0"/>
          </reference>
        </references>
      </pivotArea>
    </format>
    <format dxfId="392">
      <pivotArea outline="0" collapsedLevelsAreSubtotals="1" fieldPosition="0"/>
    </format>
    <format dxfId="391">
      <pivotArea dataOnly="0" labelOnly="1" fieldPosition="0">
        <references count="1">
          <reference field="0" count="0"/>
        </references>
      </pivotArea>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数据透视表4" cacheId="14" applyNumberFormats="0" applyBorderFormats="0" applyFontFormats="0" applyPatternFormats="0" applyAlignmentFormats="0" applyWidthHeightFormats="1" dataCaption="值" updatedVersion="3" minRefreshableVersion="3" showCalcMbrs="0" useAutoFormatting="1" rowGrandTotals="0" itemPrintTitles="1" createdVersion="3" indent="0" outline="1" outlineData="1" multipleFieldFilters="0">
  <location ref="J2:L8" firstHeaderRow="1" firstDataRow="2" firstDataCol="1"/>
  <pivotFields count="8">
    <pivotField axis="axisRow" showAll="0">
      <items count="7">
        <item x="0"/>
        <item x="1"/>
        <item x="2"/>
        <item h="1" x="3"/>
        <item x="4"/>
        <item x="5"/>
        <item t="default"/>
      </items>
    </pivotField>
    <pivotField showAll="0">
      <items count="12">
        <item x="0"/>
        <item x="9"/>
        <item x="1"/>
        <item x="2"/>
        <item x="3"/>
        <item x="4"/>
        <item x="5"/>
        <item x="10"/>
        <item x="6"/>
        <item x="7"/>
        <item x="8"/>
        <item t="default"/>
      </items>
    </pivotField>
    <pivotField showAll="0"/>
    <pivotField showAll="0"/>
    <pivotField showAll="0"/>
    <pivotField showAll="0"/>
    <pivotField dataField="1" numFmtId="10" showAll="0"/>
    <pivotField dataField="1" showAll="0"/>
  </pivotFields>
  <rowFields count="1">
    <field x="0"/>
  </rowFields>
  <rowItems count="5">
    <i>
      <x/>
    </i>
    <i>
      <x v="1"/>
    </i>
    <i>
      <x v="2"/>
    </i>
    <i>
      <x v="4"/>
    </i>
    <i>
      <x v="5"/>
    </i>
  </rowItems>
  <colFields count="1">
    <field x="-2"/>
  </colFields>
  <colItems count="2">
    <i>
      <x/>
    </i>
    <i i="1">
      <x v="1"/>
    </i>
  </colItems>
  <dataFields count="2">
    <dataField name="平均值项:退撤保率" fld="6" subtotal="average" baseField="0" baseItem="0"/>
    <dataField name="平均值项:分数" fld="7" subtotal="average" baseField="0" baseItem="0"/>
  </dataFields>
  <formats count="6">
    <format dxfId="390">
      <pivotArea collapsedLevelsAreSubtotals="1" fieldPosition="0">
        <references count="2">
          <reference field="4294967294" count="1" selected="0">
            <x v="1"/>
          </reference>
          <reference field="0" count="0"/>
        </references>
      </pivotArea>
    </format>
    <format dxfId="389">
      <pivotArea collapsedLevelsAreSubtotals="1" fieldPosition="0">
        <references count="2">
          <reference field="4294967294" count="1" selected="0">
            <x v="0"/>
          </reference>
          <reference field="0" count="0"/>
        </references>
      </pivotArea>
    </format>
    <format dxfId="388">
      <pivotArea field="0" grandRow="1" outline="0" collapsedLevelsAreSubtotals="1" axis="axisRow" fieldPosition="0">
        <references count="1">
          <reference field="4294967294" count="1" selected="0">
            <x v="0"/>
          </reference>
        </references>
      </pivotArea>
    </format>
    <format dxfId="387">
      <pivotArea outline="0" collapsedLevelsAreSubtotals="1" fieldPosition="0"/>
    </format>
    <format dxfId="386">
      <pivotArea dataOnly="0" labelOnly="1" fieldPosition="0">
        <references count="1">
          <reference field="0" count="0"/>
        </references>
      </pivotArea>
    </format>
    <format dxfId="385">
      <pivotArea dataOnly="0" fieldPosition="0">
        <references count="1">
          <reference field="0" count="1">
            <x v="3"/>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openxmlformats.org/officeDocument/2006/relationships/hyperlink" Target="mailto:JN.LuBao_Guo@hengansl.com" TargetMode="External"/><Relationship Id="rId2" Type="http://schemas.openxmlformats.org/officeDocument/2006/relationships/hyperlink" Target="mailto:dl.shuai_liang@hengansl.com" TargetMode="External"/><Relationship Id="rId1" Type="http://schemas.openxmlformats.org/officeDocument/2006/relationships/hyperlink" Target="mailto:TJ.Alisa_Yu@hengansl.com" TargetMode="External"/><Relationship Id="rId5" Type="http://schemas.openxmlformats.org/officeDocument/2006/relationships/hyperlink" Target="mailto:CD.Summer_Zhao@hengansl.com" TargetMode="External"/><Relationship Id="rId4" Type="http://schemas.openxmlformats.org/officeDocument/2006/relationships/hyperlink" Target="mailto:qd.haisheng_sui@hengansl.com"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88"/>
  <sheetViews>
    <sheetView workbookViewId="0">
      <selection activeCell="D13" sqref="D13"/>
    </sheetView>
  </sheetViews>
  <sheetFormatPr defaultRowHeight="13.5"/>
  <cols>
    <col min="3" max="3" width="21.875" customWidth="1"/>
    <col min="4" max="4" width="20.875" customWidth="1"/>
    <col min="5" max="5" width="23.375" customWidth="1"/>
    <col min="6" max="6" width="7.5" bestFit="1" customWidth="1"/>
    <col min="7" max="7" width="6.5" bestFit="1" customWidth="1"/>
    <col min="10" max="11" width="5.25" customWidth="1"/>
    <col min="12" max="12" width="17.375" customWidth="1"/>
    <col min="13" max="13" width="19.625" customWidth="1"/>
  </cols>
  <sheetData>
    <row r="1" spans="1:13" ht="39" thickBot="1">
      <c r="A1" s="1368" t="s">
        <v>2480</v>
      </c>
      <c r="B1" s="1368" t="s">
        <v>2481</v>
      </c>
      <c r="C1" s="1408" t="s">
        <v>2494</v>
      </c>
      <c r="D1" s="1408" t="s">
        <v>2495</v>
      </c>
      <c r="E1" s="1408" t="s">
        <v>2496</v>
      </c>
      <c r="F1" s="1368" t="s">
        <v>2228</v>
      </c>
      <c r="G1" s="1368" t="s">
        <v>2229</v>
      </c>
      <c r="K1" s="1706"/>
      <c r="L1" s="1706"/>
      <c r="M1" s="1706"/>
    </row>
    <row r="2" spans="1:13" ht="15" thickBot="1">
      <c r="A2" s="1384" t="s">
        <v>2230</v>
      </c>
      <c r="B2" s="1385" t="s">
        <v>2231</v>
      </c>
      <c r="C2" s="1094">
        <v>2</v>
      </c>
      <c r="D2" s="1094">
        <v>4</v>
      </c>
      <c r="E2" s="1396">
        <v>2</v>
      </c>
      <c r="F2" s="1397">
        <f>C2/SUM(D2:E2)</f>
        <v>0.33333333333333331</v>
      </c>
      <c r="G2" s="1398">
        <f>IF(F2&lt;=0.15,3,IF(F2&lt;=0.3,1.5,0))</f>
        <v>0</v>
      </c>
      <c r="K2" s="400"/>
      <c r="L2" s="400" t="s">
        <v>2267</v>
      </c>
      <c r="M2" s="400" t="s">
        <v>2269</v>
      </c>
    </row>
    <row r="3" spans="1:13" ht="15" thickBot="1">
      <c r="A3" s="1387" t="s">
        <v>2232</v>
      </c>
      <c r="B3" s="1381" t="s">
        <v>2231</v>
      </c>
      <c r="C3" s="71">
        <v>3</v>
      </c>
      <c r="D3" s="71">
        <v>14</v>
      </c>
      <c r="E3" s="1399">
        <v>2</v>
      </c>
      <c r="F3" s="1397">
        <f t="shared" ref="F3:F61" si="0">C3/SUM(D3:E3)</f>
        <v>0.1875</v>
      </c>
      <c r="G3" s="1398">
        <f t="shared" ref="G3:G61" si="1">IF(F3&lt;=0.15,3,IF(F3&lt;=0.3,1.5,0))</f>
        <v>1.5</v>
      </c>
      <c r="K3" s="1251" t="s">
        <v>2181</v>
      </c>
      <c r="L3" s="1258">
        <v>2.3571428571428572</v>
      </c>
      <c r="M3" s="1145">
        <v>0.13945578231292516</v>
      </c>
    </row>
    <row r="4" spans="1:13" ht="15" thickBot="1">
      <c r="A4" s="1387" t="s">
        <v>2233</v>
      </c>
      <c r="B4" s="1381" t="s">
        <v>2231</v>
      </c>
      <c r="C4" s="71">
        <v>4</v>
      </c>
      <c r="D4" s="71">
        <v>9</v>
      </c>
      <c r="E4" s="1399">
        <v>5</v>
      </c>
      <c r="F4" s="1397">
        <f t="shared" si="0"/>
        <v>0.2857142857142857</v>
      </c>
      <c r="G4" s="1398">
        <f t="shared" si="1"/>
        <v>1.5</v>
      </c>
      <c r="K4" s="1251" t="s">
        <v>2178</v>
      </c>
      <c r="L4" s="1258">
        <v>1.2</v>
      </c>
      <c r="M4" s="1145">
        <v>0.25817821251293344</v>
      </c>
    </row>
    <row r="5" spans="1:13" ht="15" thickBot="1">
      <c r="A5" s="1387" t="s">
        <v>2234</v>
      </c>
      <c r="B5" s="1381" t="s">
        <v>2231</v>
      </c>
      <c r="C5" s="71">
        <v>2</v>
      </c>
      <c r="D5" s="71">
        <v>8</v>
      </c>
      <c r="E5" s="1399">
        <v>9</v>
      </c>
      <c r="F5" s="1397">
        <f t="shared" si="0"/>
        <v>0.11764705882352941</v>
      </c>
      <c r="G5" s="1398">
        <f t="shared" si="1"/>
        <v>3</v>
      </c>
      <c r="K5" s="1251" t="s">
        <v>2176</v>
      </c>
      <c r="L5" s="1258">
        <v>2.4</v>
      </c>
      <c r="M5" s="1145">
        <v>8.3333333333333343E-2</v>
      </c>
    </row>
    <row r="6" spans="1:13" ht="15" thickBot="1">
      <c r="A6" s="1387" t="s">
        <v>2235</v>
      </c>
      <c r="B6" s="1381" t="s">
        <v>2231</v>
      </c>
      <c r="C6" s="71">
        <v>1</v>
      </c>
      <c r="D6" s="71">
        <v>5</v>
      </c>
      <c r="E6" s="1399">
        <v>4</v>
      </c>
      <c r="F6" s="1397">
        <f t="shared" si="0"/>
        <v>0.1111111111111111</v>
      </c>
      <c r="G6" s="1398">
        <f t="shared" si="1"/>
        <v>3</v>
      </c>
      <c r="K6" s="1251" t="s">
        <v>2179</v>
      </c>
      <c r="L6" s="1258">
        <v>1.3125</v>
      </c>
      <c r="M6" s="1145">
        <v>0.27937061860553242</v>
      </c>
    </row>
    <row r="7" spans="1:13" ht="15" thickBot="1">
      <c r="A7" s="1389" t="s">
        <v>2236</v>
      </c>
      <c r="B7" s="1390" t="s">
        <v>2231</v>
      </c>
      <c r="C7" s="1097">
        <v>1</v>
      </c>
      <c r="D7" s="1097">
        <v>3</v>
      </c>
      <c r="E7" s="1400">
        <v>2</v>
      </c>
      <c r="F7" s="1397">
        <f t="shared" si="0"/>
        <v>0.2</v>
      </c>
      <c r="G7" s="1398">
        <f t="shared" si="1"/>
        <v>1.5</v>
      </c>
      <c r="K7" s="1251" t="s">
        <v>2177</v>
      </c>
      <c r="L7" s="1258">
        <v>2.25</v>
      </c>
      <c r="M7" s="1145">
        <v>0.13814574314574313</v>
      </c>
    </row>
    <row r="8" spans="1:13" ht="15" thickBot="1">
      <c r="A8" s="1384" t="s">
        <v>2230</v>
      </c>
      <c r="B8" s="1401" t="s">
        <v>2237</v>
      </c>
      <c r="C8" s="1094">
        <v>2</v>
      </c>
      <c r="D8" s="1094">
        <v>7</v>
      </c>
      <c r="E8" s="1396">
        <v>2</v>
      </c>
      <c r="F8" s="1397">
        <f t="shared" si="0"/>
        <v>0.22222222222222221</v>
      </c>
      <c r="G8" s="1398">
        <f t="shared" si="1"/>
        <v>1.5</v>
      </c>
      <c r="K8" s="1251" t="s">
        <v>2180</v>
      </c>
      <c r="L8" s="1258">
        <v>0.9</v>
      </c>
      <c r="M8" s="1145">
        <v>0.43447674022482208</v>
      </c>
    </row>
    <row r="9" spans="1:13" ht="15" thickBot="1">
      <c r="A9" s="1387" t="s">
        <v>2238</v>
      </c>
      <c r="B9" s="1381" t="s">
        <v>2237</v>
      </c>
      <c r="C9" s="71">
        <v>22</v>
      </c>
      <c r="D9" s="71">
        <v>72</v>
      </c>
      <c r="E9" s="1399">
        <v>20</v>
      </c>
      <c r="F9" s="1397">
        <f t="shared" si="0"/>
        <v>0.2391304347826087</v>
      </c>
      <c r="G9" s="1398">
        <f t="shared" si="1"/>
        <v>1.5</v>
      </c>
    </row>
    <row r="10" spans="1:13" ht="15" thickBot="1">
      <c r="A10" s="1387" t="s">
        <v>2239</v>
      </c>
      <c r="B10" s="1381" t="s">
        <v>2237</v>
      </c>
      <c r="C10" s="71">
        <v>2</v>
      </c>
      <c r="D10" s="71">
        <v>20</v>
      </c>
      <c r="E10" s="1399">
        <v>6</v>
      </c>
      <c r="F10" s="1397">
        <f t="shared" si="0"/>
        <v>7.6923076923076927E-2</v>
      </c>
      <c r="G10" s="1398">
        <f t="shared" si="1"/>
        <v>3</v>
      </c>
    </row>
    <row r="11" spans="1:13" ht="15" thickBot="1">
      <c r="A11" s="1387" t="s">
        <v>2240</v>
      </c>
      <c r="B11" s="1381" t="s">
        <v>2237</v>
      </c>
      <c r="C11" s="71">
        <v>5</v>
      </c>
      <c r="D11" s="71">
        <v>27</v>
      </c>
      <c r="E11" s="1399">
        <v>6</v>
      </c>
      <c r="F11" s="1397">
        <f t="shared" si="0"/>
        <v>0.15151515151515152</v>
      </c>
      <c r="G11" s="1398">
        <f t="shared" si="1"/>
        <v>1.5</v>
      </c>
    </row>
    <row r="12" spans="1:13" ht="15" thickBot="1">
      <c r="A12" s="1387" t="s">
        <v>2241</v>
      </c>
      <c r="B12" s="1381" t="s">
        <v>2237</v>
      </c>
      <c r="C12" s="71">
        <v>0</v>
      </c>
      <c r="D12" s="71">
        <v>0</v>
      </c>
      <c r="E12" s="1399">
        <v>0</v>
      </c>
      <c r="F12" s="1397"/>
      <c r="G12" s="1398"/>
      <c r="K12" t="s">
        <v>2279</v>
      </c>
    </row>
    <row r="13" spans="1:13" ht="15" thickBot="1">
      <c r="A13" s="1389" t="s">
        <v>2242</v>
      </c>
      <c r="B13" s="1390" t="s">
        <v>2237</v>
      </c>
      <c r="C13" s="1097">
        <v>1</v>
      </c>
      <c r="D13" s="1097">
        <v>7</v>
      </c>
      <c r="E13" s="1400">
        <v>4</v>
      </c>
      <c r="F13" s="1397">
        <f t="shared" si="0"/>
        <v>9.0909090909090912E-2</v>
      </c>
      <c r="G13" s="1398">
        <f t="shared" si="1"/>
        <v>3</v>
      </c>
      <c r="K13" t="s">
        <v>2277</v>
      </c>
    </row>
    <row r="14" spans="1:13" ht="15" thickBot="1">
      <c r="A14" s="1384" t="s">
        <v>2176</v>
      </c>
      <c r="B14" s="1385" t="s">
        <v>2243</v>
      </c>
      <c r="C14" s="1402">
        <v>1</v>
      </c>
      <c r="D14" s="1402">
        <v>8</v>
      </c>
      <c r="E14" s="1403">
        <v>1</v>
      </c>
      <c r="F14" s="1397">
        <f t="shared" si="0"/>
        <v>0.1111111111111111</v>
      </c>
      <c r="G14" s="1398">
        <f t="shared" si="1"/>
        <v>3</v>
      </c>
      <c r="K14" t="s">
        <v>2278</v>
      </c>
    </row>
    <row r="15" spans="1:13" ht="15" thickBot="1">
      <c r="A15" s="1387" t="s">
        <v>2178</v>
      </c>
      <c r="B15" s="1381" t="s">
        <v>2243</v>
      </c>
      <c r="C15" s="1404">
        <v>8</v>
      </c>
      <c r="D15" s="1404">
        <v>58</v>
      </c>
      <c r="E15" s="1405">
        <v>16</v>
      </c>
      <c r="F15" s="1397">
        <f t="shared" si="0"/>
        <v>0.10810810810810811</v>
      </c>
      <c r="G15" s="1398">
        <f t="shared" si="1"/>
        <v>3</v>
      </c>
    </row>
    <row r="16" spans="1:13" ht="15" thickBot="1">
      <c r="A16" s="1387" t="s">
        <v>2179</v>
      </c>
      <c r="B16" s="1381" t="s">
        <v>2243</v>
      </c>
      <c r="C16" s="1404">
        <v>1</v>
      </c>
      <c r="D16" s="1404">
        <v>0</v>
      </c>
      <c r="E16" s="1405">
        <v>2</v>
      </c>
      <c r="F16" s="1397"/>
      <c r="G16" s="1398"/>
    </row>
    <row r="17" spans="1:11" ht="15" thickBot="1">
      <c r="A17" s="1387" t="s">
        <v>2180</v>
      </c>
      <c r="B17" s="1381" t="s">
        <v>2243</v>
      </c>
      <c r="C17" s="1404">
        <v>2</v>
      </c>
      <c r="D17" s="1404">
        <v>2</v>
      </c>
      <c r="E17" s="1405">
        <v>0</v>
      </c>
      <c r="F17" s="1397">
        <f t="shared" si="0"/>
        <v>1</v>
      </c>
      <c r="G17" s="1398">
        <f t="shared" si="1"/>
        <v>0</v>
      </c>
    </row>
    <row r="18" spans="1:11" ht="15" thickBot="1">
      <c r="A18" s="1387" t="s">
        <v>2181</v>
      </c>
      <c r="B18" s="1381" t="s">
        <v>2243</v>
      </c>
      <c r="C18" s="1404">
        <v>0</v>
      </c>
      <c r="D18" s="1404">
        <v>13</v>
      </c>
      <c r="E18" s="1405">
        <v>1</v>
      </c>
      <c r="F18" s="1397">
        <f t="shared" si="0"/>
        <v>0</v>
      </c>
      <c r="G18" s="1398">
        <f t="shared" si="1"/>
        <v>3</v>
      </c>
      <c r="K18" s="843" t="s">
        <v>2337</v>
      </c>
    </row>
    <row r="19" spans="1:11" ht="15" thickBot="1">
      <c r="A19" s="1389" t="s">
        <v>2177</v>
      </c>
      <c r="B19" s="1390" t="s">
        <v>2243</v>
      </c>
      <c r="C19" s="1406">
        <v>5</v>
      </c>
      <c r="D19" s="1406">
        <v>15</v>
      </c>
      <c r="E19" s="1407">
        <v>6</v>
      </c>
      <c r="F19" s="1397">
        <f t="shared" si="0"/>
        <v>0.23809523809523808</v>
      </c>
      <c r="G19" s="1398">
        <f t="shared" si="1"/>
        <v>1.5</v>
      </c>
      <c r="K19" s="843" t="s">
        <v>2338</v>
      </c>
    </row>
    <row r="20" spans="1:11" ht="15" thickBot="1">
      <c r="A20" s="1384" t="s">
        <v>2244</v>
      </c>
      <c r="B20" s="1385" t="s">
        <v>2245</v>
      </c>
      <c r="C20" s="1094">
        <v>0</v>
      </c>
      <c r="D20" s="1094">
        <v>3</v>
      </c>
      <c r="E20" s="1396">
        <v>2</v>
      </c>
      <c r="F20" s="1397">
        <f t="shared" si="0"/>
        <v>0</v>
      </c>
      <c r="G20" s="1398">
        <f t="shared" si="1"/>
        <v>3</v>
      </c>
      <c r="K20" s="843" t="s">
        <v>2339</v>
      </c>
    </row>
    <row r="21" spans="1:11" ht="15" thickBot="1">
      <c r="A21" s="1387" t="s">
        <v>2238</v>
      </c>
      <c r="B21" s="1381" t="s">
        <v>2245</v>
      </c>
      <c r="C21" s="71">
        <v>9</v>
      </c>
      <c r="D21" s="71">
        <v>12</v>
      </c>
      <c r="E21" s="1399">
        <v>8</v>
      </c>
      <c r="F21" s="1397">
        <f t="shared" si="0"/>
        <v>0.45</v>
      </c>
      <c r="G21" s="1398">
        <f t="shared" si="1"/>
        <v>0</v>
      </c>
    </row>
    <row r="22" spans="1:11" ht="15" thickBot="1">
      <c r="A22" s="1387" t="s">
        <v>2239</v>
      </c>
      <c r="B22" s="1381" t="s">
        <v>2245</v>
      </c>
      <c r="C22" s="71">
        <v>0</v>
      </c>
      <c r="D22" s="71">
        <v>0</v>
      </c>
      <c r="E22" s="1399">
        <v>1</v>
      </c>
      <c r="F22" s="1397">
        <f t="shared" si="0"/>
        <v>0</v>
      </c>
      <c r="G22" s="1398">
        <f t="shared" si="1"/>
        <v>3</v>
      </c>
    </row>
    <row r="23" spans="1:11" ht="15" thickBot="1">
      <c r="A23" s="1387" t="s">
        <v>2240</v>
      </c>
      <c r="B23" s="1381" t="s">
        <v>2245</v>
      </c>
      <c r="C23" s="71">
        <v>7</v>
      </c>
      <c r="D23" s="71">
        <v>16</v>
      </c>
      <c r="E23" s="1399">
        <v>14</v>
      </c>
      <c r="F23" s="1397">
        <f t="shared" si="0"/>
        <v>0.23333333333333334</v>
      </c>
      <c r="G23" s="1398">
        <f t="shared" si="1"/>
        <v>1.5</v>
      </c>
    </row>
    <row r="24" spans="1:11" ht="15" thickBot="1">
      <c r="A24" s="1387" t="s">
        <v>2241</v>
      </c>
      <c r="B24" s="1381" t="s">
        <v>2245</v>
      </c>
      <c r="C24" s="71">
        <v>0</v>
      </c>
      <c r="D24" s="71">
        <v>0</v>
      </c>
      <c r="E24" s="1399">
        <v>0</v>
      </c>
      <c r="F24" s="1397"/>
      <c r="G24" s="1398"/>
    </row>
    <row r="25" spans="1:11" ht="15" thickBot="1">
      <c r="A25" s="1389" t="s">
        <v>2242</v>
      </c>
      <c r="B25" s="1390" t="s">
        <v>2245</v>
      </c>
      <c r="C25" s="1097">
        <v>0</v>
      </c>
      <c r="D25" s="1097">
        <v>4</v>
      </c>
      <c r="E25" s="1400">
        <v>0</v>
      </c>
      <c r="F25" s="1397">
        <f t="shared" si="0"/>
        <v>0</v>
      </c>
      <c r="G25" s="1398">
        <f t="shared" si="1"/>
        <v>3</v>
      </c>
    </row>
    <row r="26" spans="1:11" ht="15" thickBot="1">
      <c r="A26" s="1384" t="s">
        <v>2244</v>
      </c>
      <c r="B26" s="1385" t="s">
        <v>2246</v>
      </c>
      <c r="C26" s="1094">
        <v>1</v>
      </c>
      <c r="D26" s="1094">
        <v>4</v>
      </c>
      <c r="E26" s="1396">
        <v>2</v>
      </c>
      <c r="F26" s="1397">
        <f t="shared" si="0"/>
        <v>0.16666666666666666</v>
      </c>
      <c r="G26" s="1398">
        <f t="shared" si="1"/>
        <v>1.5</v>
      </c>
    </row>
    <row r="27" spans="1:11" ht="15" thickBot="1">
      <c r="A27" s="1387" t="s">
        <v>2238</v>
      </c>
      <c r="B27" s="1381" t="s">
        <v>2246</v>
      </c>
      <c r="C27" s="71">
        <v>18</v>
      </c>
      <c r="D27" s="71">
        <v>66</v>
      </c>
      <c r="E27" s="1399">
        <v>14</v>
      </c>
      <c r="F27" s="1397">
        <f t="shared" si="0"/>
        <v>0.22500000000000001</v>
      </c>
      <c r="G27" s="1398">
        <f t="shared" si="1"/>
        <v>1.5</v>
      </c>
    </row>
    <row r="28" spans="1:11" ht="15" thickBot="1">
      <c r="A28" s="1387" t="s">
        <v>2239</v>
      </c>
      <c r="B28" s="1381" t="s">
        <v>2246</v>
      </c>
      <c r="C28" s="71">
        <v>6</v>
      </c>
      <c r="D28" s="71">
        <v>19</v>
      </c>
      <c r="E28" s="1399">
        <v>6</v>
      </c>
      <c r="F28" s="1397">
        <f t="shared" si="0"/>
        <v>0.24</v>
      </c>
      <c r="G28" s="1398">
        <f t="shared" si="1"/>
        <v>1.5</v>
      </c>
    </row>
    <row r="29" spans="1:11" ht="15" thickBot="1">
      <c r="A29" s="1387" t="s">
        <v>2240</v>
      </c>
      <c r="B29" s="1381" t="s">
        <v>2246</v>
      </c>
      <c r="C29" s="71">
        <v>10</v>
      </c>
      <c r="D29" s="71">
        <v>6</v>
      </c>
      <c r="E29" s="1399">
        <v>15</v>
      </c>
      <c r="F29" s="1397">
        <f t="shared" si="0"/>
        <v>0.47619047619047616</v>
      </c>
      <c r="G29" s="1398">
        <f t="shared" si="1"/>
        <v>0</v>
      </c>
    </row>
    <row r="30" spans="1:11" ht="15" thickBot="1">
      <c r="A30" s="1387" t="s">
        <v>2241</v>
      </c>
      <c r="B30" s="1381" t="s">
        <v>2246</v>
      </c>
      <c r="C30" s="71">
        <v>2</v>
      </c>
      <c r="D30" s="71">
        <v>4</v>
      </c>
      <c r="E30" s="1399">
        <v>5</v>
      </c>
      <c r="F30" s="1397">
        <f t="shared" si="0"/>
        <v>0.22222222222222221</v>
      </c>
      <c r="G30" s="1398">
        <f t="shared" si="1"/>
        <v>1.5</v>
      </c>
    </row>
    <row r="31" spans="1:11" ht="15" thickBot="1">
      <c r="A31" s="1389" t="s">
        <v>2242</v>
      </c>
      <c r="B31" s="1390" t="s">
        <v>2246</v>
      </c>
      <c r="C31" s="1097">
        <v>2</v>
      </c>
      <c r="D31" s="1097">
        <v>14</v>
      </c>
      <c r="E31" s="1400">
        <v>4</v>
      </c>
      <c r="F31" s="1397">
        <f t="shared" si="0"/>
        <v>0.1111111111111111</v>
      </c>
      <c r="G31" s="1398">
        <f t="shared" si="1"/>
        <v>3</v>
      </c>
    </row>
    <row r="32" spans="1:11" ht="15" thickBot="1">
      <c r="A32" s="1384" t="s">
        <v>2244</v>
      </c>
      <c r="B32" s="1385" t="s">
        <v>2247</v>
      </c>
      <c r="C32" s="1094">
        <v>0</v>
      </c>
      <c r="D32" s="1094">
        <v>5</v>
      </c>
      <c r="E32" s="1396">
        <v>1</v>
      </c>
      <c r="F32" s="1397">
        <f t="shared" si="0"/>
        <v>0</v>
      </c>
      <c r="G32" s="1398">
        <f t="shared" si="1"/>
        <v>3</v>
      </c>
    </row>
    <row r="33" spans="1:7" ht="15" thickBot="1">
      <c r="A33" s="1387" t="s">
        <v>2238</v>
      </c>
      <c r="B33" s="1381" t="s">
        <v>2247</v>
      </c>
      <c r="C33" s="71">
        <v>29</v>
      </c>
      <c r="D33" s="71">
        <v>91</v>
      </c>
      <c r="E33" s="1399">
        <v>39</v>
      </c>
      <c r="F33" s="1397">
        <f t="shared" si="0"/>
        <v>0.22307692307692309</v>
      </c>
      <c r="G33" s="1398">
        <f t="shared" si="1"/>
        <v>1.5</v>
      </c>
    </row>
    <row r="34" spans="1:7" ht="15" thickBot="1">
      <c r="A34" s="1387" t="s">
        <v>2239</v>
      </c>
      <c r="B34" s="1381" t="s">
        <v>2247</v>
      </c>
      <c r="C34" s="71">
        <v>10</v>
      </c>
      <c r="D34" s="71">
        <v>20</v>
      </c>
      <c r="E34" s="1399">
        <v>9</v>
      </c>
      <c r="F34" s="1397">
        <f t="shared" si="0"/>
        <v>0.34482758620689657</v>
      </c>
      <c r="G34" s="1398">
        <f t="shared" si="1"/>
        <v>0</v>
      </c>
    </row>
    <row r="35" spans="1:7" ht="15" thickBot="1">
      <c r="A35" s="1387" t="s">
        <v>2240</v>
      </c>
      <c r="B35" s="1381" t="s">
        <v>2247</v>
      </c>
      <c r="C35" s="71">
        <v>20</v>
      </c>
      <c r="D35" s="71">
        <v>36</v>
      </c>
      <c r="E35" s="1399">
        <v>12</v>
      </c>
      <c r="F35" s="1397">
        <f t="shared" si="0"/>
        <v>0.41666666666666669</v>
      </c>
      <c r="G35" s="1398">
        <f t="shared" si="1"/>
        <v>0</v>
      </c>
    </row>
    <row r="36" spans="1:7" ht="15" thickBot="1">
      <c r="A36" s="1387" t="s">
        <v>2241</v>
      </c>
      <c r="B36" s="1381" t="s">
        <v>2247</v>
      </c>
      <c r="C36" s="71">
        <v>2</v>
      </c>
      <c r="D36" s="71">
        <v>8</v>
      </c>
      <c r="E36" s="1399">
        <v>6</v>
      </c>
      <c r="F36" s="1397">
        <f t="shared" si="0"/>
        <v>0.14285714285714285</v>
      </c>
      <c r="G36" s="1398">
        <f t="shared" si="1"/>
        <v>3</v>
      </c>
    </row>
    <row r="37" spans="1:7" ht="15" thickBot="1">
      <c r="A37" s="1389" t="s">
        <v>2242</v>
      </c>
      <c r="B37" s="1390" t="s">
        <v>2247</v>
      </c>
      <c r="C37" s="1097">
        <v>3</v>
      </c>
      <c r="D37" s="1097">
        <v>15</v>
      </c>
      <c r="E37" s="1400">
        <v>6</v>
      </c>
      <c r="F37" s="1397">
        <f t="shared" si="0"/>
        <v>0.14285714285714285</v>
      </c>
      <c r="G37" s="1398">
        <f t="shared" si="1"/>
        <v>3</v>
      </c>
    </row>
    <row r="38" spans="1:7" ht="15" thickBot="1">
      <c r="A38" s="1384" t="s">
        <v>2176</v>
      </c>
      <c r="B38" s="1385" t="s">
        <v>2248</v>
      </c>
      <c r="C38" s="1094">
        <v>0</v>
      </c>
      <c r="D38" s="1094">
        <v>3</v>
      </c>
      <c r="E38" s="1396">
        <v>1</v>
      </c>
      <c r="F38" s="1397">
        <f t="shared" si="0"/>
        <v>0</v>
      </c>
      <c r="G38" s="1398">
        <f t="shared" si="1"/>
        <v>3</v>
      </c>
    </row>
    <row r="39" spans="1:7" ht="15" thickBot="1">
      <c r="A39" s="1387" t="s">
        <v>2178</v>
      </c>
      <c r="B39" s="1381" t="s">
        <v>2248</v>
      </c>
      <c r="C39" s="71">
        <v>9</v>
      </c>
      <c r="D39" s="71">
        <v>18</v>
      </c>
      <c r="E39" s="1399">
        <v>10</v>
      </c>
      <c r="F39" s="1397">
        <f t="shared" si="0"/>
        <v>0.32142857142857145</v>
      </c>
      <c r="G39" s="1398">
        <f t="shared" si="1"/>
        <v>0</v>
      </c>
    </row>
    <row r="40" spans="1:7" ht="15" thickBot="1">
      <c r="A40" s="1387" t="s">
        <v>2179</v>
      </c>
      <c r="B40" s="1381" t="s">
        <v>2248</v>
      </c>
      <c r="C40" s="71">
        <v>6</v>
      </c>
      <c r="D40" s="71">
        <v>6</v>
      </c>
      <c r="E40" s="1399">
        <v>4</v>
      </c>
      <c r="F40" s="1397">
        <f t="shared" si="0"/>
        <v>0.6</v>
      </c>
      <c r="G40" s="1398">
        <f t="shared" si="1"/>
        <v>0</v>
      </c>
    </row>
    <row r="41" spans="1:7" ht="15" thickBot="1">
      <c r="A41" s="1387" t="s">
        <v>2180</v>
      </c>
      <c r="B41" s="1381" t="s">
        <v>2248</v>
      </c>
      <c r="C41" s="71">
        <v>0</v>
      </c>
      <c r="D41" s="71">
        <v>1</v>
      </c>
      <c r="E41" s="1399">
        <v>0</v>
      </c>
      <c r="F41" s="1397">
        <f t="shared" si="0"/>
        <v>0</v>
      </c>
      <c r="G41" s="1398">
        <f t="shared" si="1"/>
        <v>3</v>
      </c>
    </row>
    <row r="42" spans="1:7" ht="15" thickBot="1">
      <c r="A42" s="1387" t="s">
        <v>2181</v>
      </c>
      <c r="B42" s="1381" t="s">
        <v>2248</v>
      </c>
      <c r="C42" s="71">
        <v>0</v>
      </c>
      <c r="D42" s="71">
        <v>0</v>
      </c>
      <c r="E42" s="1399">
        <v>0</v>
      </c>
      <c r="F42" s="1397"/>
      <c r="G42" s="1398"/>
    </row>
    <row r="43" spans="1:7" ht="15" thickBot="1">
      <c r="A43" s="1389" t="s">
        <v>2177</v>
      </c>
      <c r="B43" s="1390" t="s">
        <v>2248</v>
      </c>
      <c r="C43" s="1097">
        <v>1</v>
      </c>
      <c r="D43" s="1097">
        <v>4</v>
      </c>
      <c r="E43" s="1400">
        <v>2</v>
      </c>
      <c r="F43" s="1397">
        <f t="shared" si="0"/>
        <v>0.16666666666666666</v>
      </c>
      <c r="G43" s="1398">
        <f t="shared" si="1"/>
        <v>1.5</v>
      </c>
    </row>
    <row r="44" spans="1:7" ht="15" thickBot="1">
      <c r="A44" s="1384" t="s">
        <v>2176</v>
      </c>
      <c r="B44" s="1385" t="s">
        <v>2249</v>
      </c>
      <c r="C44" s="1094">
        <v>0</v>
      </c>
      <c r="D44" s="1094">
        <v>6</v>
      </c>
      <c r="E44" s="1396">
        <v>0</v>
      </c>
      <c r="F44" s="1397">
        <f t="shared" si="0"/>
        <v>0</v>
      </c>
      <c r="G44" s="1398">
        <f t="shared" si="1"/>
        <v>3</v>
      </c>
    </row>
    <row r="45" spans="1:7" ht="15" thickBot="1">
      <c r="A45" s="1387" t="s">
        <v>2238</v>
      </c>
      <c r="B45" s="1381" t="s">
        <v>2249</v>
      </c>
      <c r="C45" s="71">
        <v>14</v>
      </c>
      <c r="D45" s="71">
        <v>61</v>
      </c>
      <c r="E45" s="1399">
        <v>20</v>
      </c>
      <c r="F45" s="1397">
        <f t="shared" si="0"/>
        <v>0.1728395061728395</v>
      </c>
      <c r="G45" s="1398">
        <f t="shared" si="1"/>
        <v>1.5</v>
      </c>
    </row>
    <row r="46" spans="1:7" ht="15" thickBot="1">
      <c r="A46" s="1387" t="s">
        <v>2239</v>
      </c>
      <c r="B46" s="1381" t="s">
        <v>2249</v>
      </c>
      <c r="C46" s="71">
        <v>2</v>
      </c>
      <c r="D46" s="71">
        <v>5</v>
      </c>
      <c r="E46" s="1399">
        <v>3</v>
      </c>
      <c r="F46" s="1397">
        <f t="shared" si="0"/>
        <v>0.25</v>
      </c>
      <c r="G46" s="1398">
        <f t="shared" si="1"/>
        <v>1.5</v>
      </c>
    </row>
    <row r="47" spans="1:7" ht="15" thickBot="1">
      <c r="A47" s="1387" t="s">
        <v>2240</v>
      </c>
      <c r="B47" s="1381" t="s">
        <v>2249</v>
      </c>
      <c r="C47" s="71">
        <v>44</v>
      </c>
      <c r="D47" s="71">
        <v>46</v>
      </c>
      <c r="E47" s="1399">
        <v>46</v>
      </c>
      <c r="F47" s="1397">
        <f t="shared" si="0"/>
        <v>0.47826086956521741</v>
      </c>
      <c r="G47" s="1398">
        <f t="shared" si="1"/>
        <v>0</v>
      </c>
    </row>
    <row r="48" spans="1:7" ht="15" thickBot="1">
      <c r="A48" s="1387" t="s">
        <v>2241</v>
      </c>
      <c r="B48" s="1381" t="s">
        <v>2249</v>
      </c>
      <c r="C48" s="71">
        <v>0</v>
      </c>
      <c r="D48" s="71">
        <v>4</v>
      </c>
      <c r="E48" s="1399">
        <v>3</v>
      </c>
      <c r="F48" s="1397">
        <f t="shared" si="0"/>
        <v>0</v>
      </c>
      <c r="G48" s="1398">
        <f t="shared" si="1"/>
        <v>3</v>
      </c>
    </row>
    <row r="49" spans="1:7" ht="15" thickBot="1">
      <c r="A49" s="1389" t="s">
        <v>2242</v>
      </c>
      <c r="B49" s="1390" t="s">
        <v>2249</v>
      </c>
      <c r="C49" s="1097">
        <v>2</v>
      </c>
      <c r="D49" s="1097">
        <v>8</v>
      </c>
      <c r="E49" s="1400">
        <v>3</v>
      </c>
      <c r="F49" s="1397">
        <f t="shared" si="0"/>
        <v>0.18181818181818182</v>
      </c>
      <c r="G49" s="1398">
        <f t="shared" si="1"/>
        <v>1.5</v>
      </c>
    </row>
    <row r="50" spans="1:7" ht="15" thickBot="1">
      <c r="A50" s="1384" t="s">
        <v>2244</v>
      </c>
      <c r="B50" s="1385" t="s">
        <v>2250</v>
      </c>
      <c r="C50" s="1094">
        <v>0</v>
      </c>
      <c r="D50" s="1094">
        <v>3</v>
      </c>
      <c r="E50" s="1396">
        <v>0</v>
      </c>
      <c r="F50" s="1397">
        <f t="shared" si="0"/>
        <v>0</v>
      </c>
      <c r="G50" s="1398">
        <f t="shared" si="1"/>
        <v>3</v>
      </c>
    </row>
    <row r="51" spans="1:7" ht="15" thickBot="1">
      <c r="A51" s="1387" t="s">
        <v>2238</v>
      </c>
      <c r="B51" s="1394" t="s">
        <v>2250</v>
      </c>
      <c r="C51" s="71">
        <v>20</v>
      </c>
      <c r="D51" s="71">
        <v>28</v>
      </c>
      <c r="E51" s="1399">
        <v>19</v>
      </c>
      <c r="F51" s="1397">
        <f t="shared" si="0"/>
        <v>0.42553191489361702</v>
      </c>
      <c r="G51" s="1398">
        <f t="shared" si="1"/>
        <v>0</v>
      </c>
    </row>
    <row r="52" spans="1:7" ht="15" thickBot="1">
      <c r="A52" s="1387" t="s">
        <v>2239</v>
      </c>
      <c r="B52" s="1394" t="s">
        <v>2250</v>
      </c>
      <c r="C52" s="71">
        <v>0</v>
      </c>
      <c r="D52" s="71">
        <v>0</v>
      </c>
      <c r="E52" s="1399">
        <v>1</v>
      </c>
      <c r="F52" s="1397"/>
      <c r="G52" s="1398"/>
    </row>
    <row r="53" spans="1:7" ht="15" thickBot="1">
      <c r="A53" s="1387" t="s">
        <v>2240</v>
      </c>
      <c r="B53" s="1394" t="s">
        <v>2250</v>
      </c>
      <c r="C53" s="71">
        <v>11</v>
      </c>
      <c r="D53" s="71">
        <v>10</v>
      </c>
      <c r="E53" s="1399">
        <v>3</v>
      </c>
      <c r="F53" s="1397">
        <f t="shared" si="0"/>
        <v>0.84615384615384615</v>
      </c>
      <c r="G53" s="1398">
        <f t="shared" si="1"/>
        <v>0</v>
      </c>
    </row>
    <row r="54" spans="1:7" ht="15" thickBot="1">
      <c r="A54" s="1387" t="s">
        <v>2241</v>
      </c>
      <c r="B54" s="1394" t="s">
        <v>2250</v>
      </c>
      <c r="C54" s="71">
        <v>2</v>
      </c>
      <c r="D54" s="71">
        <v>3</v>
      </c>
      <c r="E54" s="1399">
        <v>1</v>
      </c>
      <c r="F54" s="1397">
        <f t="shared" si="0"/>
        <v>0.5</v>
      </c>
      <c r="G54" s="1398">
        <f t="shared" si="1"/>
        <v>0</v>
      </c>
    </row>
    <row r="55" spans="1:7" ht="15" thickBot="1">
      <c r="A55" s="1389" t="s">
        <v>2242</v>
      </c>
      <c r="B55" s="1395" t="s">
        <v>2250</v>
      </c>
      <c r="C55" s="1097">
        <v>1</v>
      </c>
      <c r="D55" s="1097">
        <v>3</v>
      </c>
      <c r="E55" s="1400">
        <v>1</v>
      </c>
      <c r="F55" s="1397">
        <f t="shared" si="0"/>
        <v>0.25</v>
      </c>
      <c r="G55" s="1398">
        <f t="shared" si="1"/>
        <v>1.5</v>
      </c>
    </row>
    <row r="56" spans="1:7" ht="15" thickBot="1">
      <c r="A56" s="1384" t="s">
        <v>2176</v>
      </c>
      <c r="B56" s="1385" t="s">
        <v>2251</v>
      </c>
      <c r="C56" s="1094">
        <v>0</v>
      </c>
      <c r="D56" s="1094">
        <v>3</v>
      </c>
      <c r="E56" s="1396">
        <v>1</v>
      </c>
      <c r="F56" s="1397">
        <f t="shared" si="0"/>
        <v>0</v>
      </c>
      <c r="G56" s="1398">
        <f t="shared" si="1"/>
        <v>3</v>
      </c>
    </row>
    <row r="57" spans="1:7" ht="15" thickBot="1">
      <c r="A57" s="1387" t="s">
        <v>2178</v>
      </c>
      <c r="B57" s="1381" t="s">
        <v>2251</v>
      </c>
      <c r="C57" s="71">
        <v>11</v>
      </c>
      <c r="D57" s="71">
        <v>26</v>
      </c>
      <c r="E57" s="1399">
        <v>22</v>
      </c>
      <c r="F57" s="1397">
        <f t="shared" si="0"/>
        <v>0.22916666666666666</v>
      </c>
      <c r="G57" s="1398">
        <f t="shared" si="1"/>
        <v>1.5</v>
      </c>
    </row>
    <row r="58" spans="1:7" ht="15" thickBot="1">
      <c r="A58" s="1387" t="s">
        <v>2179</v>
      </c>
      <c r="B58" s="1381" t="s">
        <v>2251</v>
      </c>
      <c r="C58" s="71">
        <v>7</v>
      </c>
      <c r="D58" s="71">
        <v>9</v>
      </c>
      <c r="E58" s="1399">
        <v>7</v>
      </c>
      <c r="F58" s="1397">
        <f t="shared" si="0"/>
        <v>0.4375</v>
      </c>
      <c r="G58" s="1398">
        <f t="shared" si="1"/>
        <v>0</v>
      </c>
    </row>
    <row r="59" spans="1:7" ht="15" thickBot="1">
      <c r="A59" s="1387" t="s">
        <v>2180</v>
      </c>
      <c r="B59" s="1381" t="s">
        <v>2251</v>
      </c>
      <c r="C59" s="71">
        <v>10</v>
      </c>
      <c r="D59" s="71">
        <v>10</v>
      </c>
      <c r="E59" s="1399">
        <v>6</v>
      </c>
      <c r="F59" s="1397">
        <f t="shared" si="0"/>
        <v>0.625</v>
      </c>
      <c r="G59" s="1398">
        <f t="shared" si="1"/>
        <v>0</v>
      </c>
    </row>
    <row r="60" spans="1:7" ht="15" thickBot="1">
      <c r="A60" s="1387" t="s">
        <v>2181</v>
      </c>
      <c r="B60" s="1381" t="s">
        <v>2251</v>
      </c>
      <c r="C60" s="71">
        <v>0</v>
      </c>
      <c r="D60" s="71">
        <v>0</v>
      </c>
      <c r="E60" s="1399">
        <v>2</v>
      </c>
      <c r="F60" s="1397">
        <f t="shared" si="0"/>
        <v>0</v>
      </c>
      <c r="G60" s="1398">
        <f t="shared" si="1"/>
        <v>3</v>
      </c>
    </row>
    <row r="61" spans="1:7" ht="15" thickBot="1">
      <c r="A61" s="1389" t="s">
        <v>2177</v>
      </c>
      <c r="B61" s="1390" t="s">
        <v>2251</v>
      </c>
      <c r="C61" s="1097">
        <v>0</v>
      </c>
      <c r="D61" s="1097">
        <v>5</v>
      </c>
      <c r="E61" s="1400">
        <v>1</v>
      </c>
      <c r="F61" s="1397">
        <f t="shared" si="0"/>
        <v>0</v>
      </c>
      <c r="G61" s="1398">
        <f t="shared" si="1"/>
        <v>3</v>
      </c>
    </row>
    <row r="63" spans="1:7">
      <c r="C63" s="1253"/>
      <c r="D63" s="1254"/>
    </row>
    <row r="64" spans="1:7">
      <c r="C64" s="1253"/>
      <c r="D64" s="1254"/>
    </row>
    <row r="65" spans="2:4">
      <c r="C65" s="1253"/>
      <c r="D65" s="1254"/>
    </row>
    <row r="66" spans="2:4">
      <c r="C66" s="1253"/>
      <c r="D66" s="1254"/>
    </row>
    <row r="67" spans="2:4">
      <c r="C67" s="1253"/>
      <c r="D67" s="1254"/>
    </row>
    <row r="68" spans="2:4">
      <c r="C68" s="1253"/>
      <c r="D68" s="1254"/>
    </row>
    <row r="74" spans="2:4">
      <c r="B74" s="1255"/>
    </row>
    <row r="75" spans="2:4">
      <c r="B75" s="1255"/>
    </row>
    <row r="76" spans="2:4">
      <c r="B76" s="1255"/>
    </row>
    <row r="77" spans="2:4">
      <c r="B77" s="1255"/>
    </row>
    <row r="78" spans="2:4">
      <c r="B78" s="1255"/>
    </row>
    <row r="79" spans="2:4">
      <c r="B79" s="1255"/>
    </row>
    <row r="80" spans="2:4">
      <c r="B80" s="1255"/>
    </row>
    <row r="81" spans="2:2">
      <c r="B81" s="1255"/>
    </row>
    <row r="82" spans="2:2">
      <c r="B82" s="1255"/>
    </row>
    <row r="83" spans="2:2">
      <c r="B83" s="1255"/>
    </row>
    <row r="84" spans="2:2">
      <c r="B84" s="1255"/>
    </row>
    <row r="85" spans="2:2">
      <c r="B85" s="1255"/>
    </row>
    <row r="86" spans="2:2">
      <c r="B86" s="1033"/>
    </row>
    <row r="87" spans="2:2">
      <c r="B87" s="1033"/>
    </row>
    <row r="88" spans="2:2">
      <c r="B88" s="1033"/>
    </row>
  </sheetData>
  <mergeCells count="1">
    <mergeCell ref="K1:M1"/>
  </mergeCells>
  <phoneticPr fontId="3" type="noConversion"/>
  <hyperlinks>
    <hyperlink ref="K18" location="'总公司绩效-II'!A1" display="总公司绩效-II"/>
    <hyperlink ref="K19" location="目录!A1" display="目录"/>
    <hyperlink ref="K20" location="'OR04-分公司销售、承保、保全'!A1" display="OR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7"/>
  <sheetViews>
    <sheetView topLeftCell="E1" workbookViewId="0">
      <selection activeCell="G9" sqref="G9"/>
    </sheetView>
  </sheetViews>
  <sheetFormatPr defaultRowHeight="13.5"/>
  <cols>
    <col min="1" max="1" width="13.125" bestFit="1" customWidth="1"/>
    <col min="2" max="2" width="8.625" style="1234" bestFit="1" customWidth="1"/>
    <col min="3" max="3" width="50.125" style="32" customWidth="1"/>
    <col min="4" max="4" width="52.125" style="32" customWidth="1"/>
    <col min="5" max="5" width="9" bestFit="1" customWidth="1"/>
    <col min="7" max="7" width="41.375" bestFit="1" customWidth="1"/>
    <col min="8" max="8" width="78.125" bestFit="1" customWidth="1"/>
  </cols>
  <sheetData>
    <row r="1" spans="1:8" ht="15">
      <c r="A1" s="1791" t="s">
        <v>2304</v>
      </c>
      <c r="B1" s="1792"/>
      <c r="C1" s="1147" t="s">
        <v>2307</v>
      </c>
      <c r="D1" s="1147" t="s">
        <v>2308</v>
      </c>
      <c r="E1" s="1793" t="s">
        <v>2305</v>
      </c>
      <c r="F1" s="1794"/>
      <c r="G1" s="1147" t="s">
        <v>2307</v>
      </c>
      <c r="H1" s="1147" t="s">
        <v>2306</v>
      </c>
    </row>
    <row r="2" spans="1:8" ht="15">
      <c r="A2" s="1140" t="str">
        <f>'总公司绩效-I'!C133</f>
        <v>投资部</v>
      </c>
      <c r="B2" s="1268">
        <f>'总公司绩效-I'!D133</f>
        <v>99.999999999999986</v>
      </c>
      <c r="C2" s="1251" t="s">
        <v>2328</v>
      </c>
      <c r="D2" s="1251" t="s">
        <v>2324</v>
      </c>
      <c r="E2" s="1140" t="s">
        <v>1573</v>
      </c>
      <c r="F2" s="1269">
        <v>95.873673628007566</v>
      </c>
      <c r="G2" s="1063" t="s">
        <v>2437</v>
      </c>
      <c r="H2" s="1251" t="s">
        <v>2436</v>
      </c>
    </row>
    <row r="3" spans="1:8" ht="28.5">
      <c r="A3" s="1140" t="str">
        <f>'总公司绩效-II'!C87</f>
        <v>多元</v>
      </c>
      <c r="B3" s="1268">
        <f>'总公司绩效-II'!D87</f>
        <v>98.021491538212103</v>
      </c>
      <c r="C3" s="1251" t="s">
        <v>2321</v>
      </c>
      <c r="D3" s="1251" t="s">
        <v>2330</v>
      </c>
      <c r="E3" s="1140" t="s">
        <v>1354</v>
      </c>
      <c r="F3" s="1269">
        <v>95.425888286660637</v>
      </c>
      <c r="G3" s="1063" t="s">
        <v>2439</v>
      </c>
      <c r="H3" s="1251" t="s">
        <v>2435</v>
      </c>
    </row>
    <row r="4" spans="1:8" ht="15">
      <c r="A4" s="1140" t="str">
        <f>'总公司绩效-II'!C88</f>
        <v>续期</v>
      </c>
      <c r="B4" s="1268">
        <f>'总公司绩效-II'!D88</f>
        <v>97.584499815836935</v>
      </c>
      <c r="C4" s="1251" t="s">
        <v>2322</v>
      </c>
      <c r="D4" s="1251" t="s">
        <v>2325</v>
      </c>
      <c r="E4" s="1140" t="s">
        <v>1560</v>
      </c>
      <c r="F4" s="1269">
        <v>95.378943758573385</v>
      </c>
      <c r="G4" s="1063" t="s">
        <v>2440</v>
      </c>
    </row>
    <row r="5" spans="1:8" ht="15">
      <c r="A5" s="1140" t="str">
        <f>'总公司绩效-II'!C89</f>
        <v>客服</v>
      </c>
      <c r="B5" s="1268">
        <f>'总公司绩效-II'!D89</f>
        <v>97.806226032032512</v>
      </c>
      <c r="C5" s="1251" t="s">
        <v>2323</v>
      </c>
      <c r="D5" s="1251" t="s">
        <v>2331</v>
      </c>
      <c r="E5" s="1140" t="s">
        <v>1552</v>
      </c>
      <c r="F5" s="1269">
        <v>95.15625</v>
      </c>
      <c r="G5" s="1063" t="s">
        <v>2441</v>
      </c>
      <c r="H5" s="1251"/>
    </row>
    <row r="6" spans="1:8" ht="15">
      <c r="A6" s="1140" t="str">
        <f>'总公司绩效-I'!C134</f>
        <v>精算部</v>
      </c>
      <c r="B6" s="1268">
        <f>'总公司绩效-I'!D134</f>
        <v>93.764705882352956</v>
      </c>
      <c r="C6" s="1251" t="s">
        <v>2320</v>
      </c>
      <c r="D6" s="1251" t="s">
        <v>2326</v>
      </c>
      <c r="E6" s="1140" t="s">
        <v>1567</v>
      </c>
      <c r="F6" s="1269">
        <v>95.132092033308467</v>
      </c>
      <c r="G6" s="1063" t="s">
        <v>2442</v>
      </c>
      <c r="H6" s="1251"/>
    </row>
    <row r="7" spans="1:8" ht="15">
      <c r="A7" s="1140" t="str">
        <f>'总公司绩效-I'!C135</f>
        <v>会计运营部</v>
      </c>
      <c r="B7" s="1268">
        <f>'总公司绩效-I'!D135</f>
        <v>95.882352941176464</v>
      </c>
      <c r="D7" s="1251" t="s">
        <v>2327</v>
      </c>
      <c r="E7" s="1140" t="s">
        <v>1564</v>
      </c>
      <c r="F7" s="1269">
        <v>94.724773496614901</v>
      </c>
      <c r="G7" s="1054" t="s">
        <v>2443</v>
      </c>
      <c r="H7" s="1251"/>
    </row>
    <row r="8" spans="1:8" ht="15">
      <c r="A8" s="1140" t="str">
        <f>'总公司绩效-II'!C90</f>
        <v>团险</v>
      </c>
      <c r="B8" s="1268">
        <f>'总公司绩效-II'!D90</f>
        <v>97.150069083434161</v>
      </c>
      <c r="D8" s="1251" t="s">
        <v>2312</v>
      </c>
      <c r="E8" s="1140" t="s">
        <v>1556</v>
      </c>
      <c r="F8" s="1269">
        <v>94.481592256447868</v>
      </c>
      <c r="G8" s="1054" t="s">
        <v>2444</v>
      </c>
      <c r="H8" s="1251"/>
    </row>
    <row r="9" spans="1:8" ht="15">
      <c r="A9" s="1140" t="str">
        <f>'总公司绩效-I'!C136</f>
        <v>财务管理部</v>
      </c>
      <c r="B9" s="1268">
        <f>'总公司绩效-I'!D136</f>
        <v>95.686274509803923</v>
      </c>
      <c r="D9" s="1251" t="s">
        <v>2329</v>
      </c>
      <c r="E9" s="1140" t="s">
        <v>1570</v>
      </c>
      <c r="F9" s="1269">
        <v>93.608124253285538</v>
      </c>
      <c r="G9" s="1059" t="s">
        <v>2445</v>
      </c>
      <c r="H9" s="1251"/>
    </row>
    <row r="10" spans="1:8" ht="15">
      <c r="A10" s="1140" t="str">
        <f>'总公司绩效-I'!C137</f>
        <v>IT</v>
      </c>
      <c r="B10" s="1268">
        <f>'总公司绩效-I'!D137</f>
        <v>92.963430012610331</v>
      </c>
      <c r="D10" s="1251" t="s">
        <v>2313</v>
      </c>
      <c r="E10" s="1140" t="s">
        <v>1558</v>
      </c>
      <c r="F10" s="1269">
        <v>93.440393518518519</v>
      </c>
      <c r="G10" s="1059" t="s">
        <v>2446</v>
      </c>
      <c r="H10" s="1251"/>
    </row>
    <row r="11" spans="1:8" ht="15">
      <c r="A11" s="1140" t="str">
        <f>'总公司绩效-II'!C91</f>
        <v>银保</v>
      </c>
      <c r="B11" s="1268">
        <f>'总公司绩效-II'!D91</f>
        <v>93.456991154143438</v>
      </c>
      <c r="D11" s="1251" t="s">
        <v>2314</v>
      </c>
      <c r="E11" s="1140" t="s">
        <v>1554</v>
      </c>
      <c r="F11" s="1269">
        <v>92.03437397574568</v>
      </c>
      <c r="G11" s="1059" t="s">
        <v>2447</v>
      </c>
      <c r="H11" s="1251"/>
    </row>
    <row r="12" spans="1:8" ht="15">
      <c r="A12" s="1271" t="str">
        <f>'总公司绩效-II'!C92</f>
        <v>个险</v>
      </c>
      <c r="B12" s="1272">
        <f>'总公司绩效-II'!D92</f>
        <v>89.647206833719125</v>
      </c>
      <c r="D12" s="1251" t="s">
        <v>2315</v>
      </c>
      <c r="F12" s="1234"/>
      <c r="G12" s="1059" t="s">
        <v>2448</v>
      </c>
      <c r="H12" s="1147"/>
    </row>
    <row r="13" spans="1:8" ht="28.5">
      <c r="A13" s="1139"/>
      <c r="B13" s="1273"/>
      <c r="D13" s="1251" t="s">
        <v>2316</v>
      </c>
      <c r="F13" s="1234"/>
      <c r="G13" s="1059" t="s">
        <v>2449</v>
      </c>
      <c r="H13" s="1147"/>
    </row>
    <row r="14" spans="1:8" ht="28.5">
      <c r="A14" s="1139"/>
      <c r="B14" s="1273"/>
      <c r="D14" s="669" t="s">
        <v>2317</v>
      </c>
      <c r="F14" s="1234"/>
      <c r="G14" s="1059" t="s">
        <v>2451</v>
      </c>
      <c r="H14" s="1147"/>
    </row>
    <row r="15" spans="1:8" ht="28.5">
      <c r="A15" s="1139"/>
      <c r="B15" s="1273"/>
      <c r="D15" s="1251" t="s">
        <v>2310</v>
      </c>
      <c r="F15" s="1234"/>
      <c r="G15" s="1059" t="s">
        <v>2450</v>
      </c>
      <c r="H15" s="1270"/>
    </row>
    <row r="16" spans="1:8" ht="14.25">
      <c r="D16" s="1251" t="s">
        <v>2318</v>
      </c>
      <c r="F16" s="1234"/>
      <c r="G16" s="1059" t="s">
        <v>2453</v>
      </c>
      <c r="H16" s="1147"/>
    </row>
    <row r="17" spans="1:8" ht="28.5">
      <c r="D17" s="669" t="s">
        <v>2319</v>
      </c>
      <c r="G17" s="1372" t="s">
        <v>2454</v>
      </c>
      <c r="H17" s="400"/>
    </row>
    <row r="18" spans="1:8" ht="28.5">
      <c r="D18" s="669" t="s">
        <v>2311</v>
      </c>
      <c r="G18" s="1372" t="s">
        <v>2455</v>
      </c>
      <c r="H18" s="400"/>
    </row>
    <row r="19" spans="1:8" ht="28.5">
      <c r="G19" s="1372" t="s">
        <v>2456</v>
      </c>
      <c r="H19" s="400"/>
    </row>
    <row r="20" spans="1:8" ht="13.5" customHeight="1">
      <c r="G20" s="1373"/>
      <c r="H20" s="400"/>
    </row>
    <row r="24" spans="1:8">
      <c r="A24" s="877" t="s">
        <v>2334</v>
      </c>
    </row>
    <row r="25" spans="1:8">
      <c r="A25" s="877" t="s">
        <v>2335</v>
      </c>
    </row>
    <row r="26" spans="1:8">
      <c r="A26" s="877" t="s">
        <v>2332</v>
      </c>
    </row>
    <row r="27" spans="1:8">
      <c r="A27" s="877" t="s">
        <v>2333</v>
      </c>
    </row>
  </sheetData>
  <sortState ref="A2:B12">
    <sortCondition descending="1" ref="B1"/>
  </sortState>
  <mergeCells count="2">
    <mergeCell ref="A1:B1"/>
    <mergeCell ref="E1:F1"/>
  </mergeCells>
  <phoneticPr fontId="3" type="noConversion"/>
  <hyperlinks>
    <hyperlink ref="A24" location="分公司绩效!A1" display="分公司绩效"/>
    <hyperlink ref="A25" location="'总公司绩效-I'!A1" display="总公司绩效-I"/>
    <hyperlink ref="A26" location="'总公司绩效-II'!A1" display="总公司绩效-II"/>
    <hyperlink ref="A27" location="目录!A1" display="目录"/>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36"/>
  <sheetViews>
    <sheetView workbookViewId="0">
      <pane xSplit="1" ySplit="1" topLeftCell="B2" activePane="bottomRight" state="frozen"/>
      <selection pane="topRight" activeCell="B1" sqref="B1"/>
      <selection pane="bottomLeft" activeCell="A2" sqref="A2"/>
      <selection pane="bottomRight" activeCell="D10" sqref="D10"/>
    </sheetView>
  </sheetViews>
  <sheetFormatPr defaultColWidth="8.875" defaultRowHeight="14.25"/>
  <cols>
    <col min="1" max="1" width="20.5" style="295" bestFit="1" customWidth="1"/>
    <col min="2" max="2" width="22" style="295" customWidth="1"/>
    <col min="3" max="3" width="20.5" style="292" bestFit="1" customWidth="1"/>
    <col min="4" max="6" width="18.875" style="293" customWidth="1"/>
    <col min="7" max="7" width="19.875" style="293" customWidth="1"/>
    <col min="8" max="8" width="19.625" style="293" customWidth="1"/>
    <col min="9" max="9" width="18.875" style="293" customWidth="1"/>
    <col min="10" max="10" width="21.25" style="293" customWidth="1"/>
    <col min="11" max="11" width="20.25" style="293" customWidth="1"/>
    <col min="12" max="16384" width="8.875" style="293"/>
  </cols>
  <sheetData>
    <row r="1" spans="1:11" ht="15">
      <c r="A1" s="1143" t="s">
        <v>1446</v>
      </c>
      <c r="B1" s="1144" t="s">
        <v>2174</v>
      </c>
      <c r="C1" s="293"/>
    </row>
    <row r="2" spans="1:11">
      <c r="A2" s="296" t="s">
        <v>1448</v>
      </c>
      <c r="B2" s="297" t="s">
        <v>2345</v>
      </c>
      <c r="C2" s="297" t="str">
        <f>B2</f>
        <v>2018年第3季度</v>
      </c>
      <c r="D2" s="297" t="str">
        <f>C2</f>
        <v>2018年第3季度</v>
      </c>
      <c r="E2" s="297" t="str">
        <f t="shared" ref="E2:K2" si="0">D2</f>
        <v>2018年第3季度</v>
      </c>
      <c r="F2" s="297" t="str">
        <f t="shared" si="0"/>
        <v>2018年第3季度</v>
      </c>
      <c r="G2" s="297" t="str">
        <f t="shared" si="0"/>
        <v>2018年第3季度</v>
      </c>
      <c r="H2" s="297" t="str">
        <f t="shared" si="0"/>
        <v>2018年第3季度</v>
      </c>
      <c r="I2" s="297" t="str">
        <f t="shared" si="0"/>
        <v>2018年第3季度</v>
      </c>
      <c r="J2" s="297" t="s">
        <v>1971</v>
      </c>
      <c r="K2" s="297" t="str">
        <f t="shared" si="0"/>
        <v>2018年第2季度</v>
      </c>
    </row>
    <row r="3" spans="1:11" ht="28.5">
      <c r="A3" s="296" t="s">
        <v>1450</v>
      </c>
      <c r="B3" s="302" t="s">
        <v>1519</v>
      </c>
      <c r="C3" s="302" t="s">
        <v>1473</v>
      </c>
      <c r="D3" s="297" t="s">
        <v>1483</v>
      </c>
      <c r="E3" s="989" t="s">
        <v>1503</v>
      </c>
      <c r="F3" s="874" t="s">
        <v>1509</v>
      </c>
      <c r="G3" s="874" t="s">
        <v>1526</v>
      </c>
      <c r="H3" s="874" t="s">
        <v>1542</v>
      </c>
      <c r="I3" s="990" t="s">
        <v>1491</v>
      </c>
      <c r="J3" s="874" t="s">
        <v>1524</v>
      </c>
      <c r="K3" s="874" t="s">
        <v>1501</v>
      </c>
    </row>
    <row r="4" spans="1:11" ht="42.75">
      <c r="A4" s="296" t="s">
        <v>1451</v>
      </c>
      <c r="B4" s="302" t="s">
        <v>1520</v>
      </c>
      <c r="C4" s="302" t="s">
        <v>1474</v>
      </c>
      <c r="D4" s="297" t="s">
        <v>1518</v>
      </c>
      <c r="E4" s="306" t="s">
        <v>1994</v>
      </c>
      <c r="F4" s="988" t="s">
        <v>1510</v>
      </c>
      <c r="G4" s="988" t="s">
        <v>1992</v>
      </c>
      <c r="H4" s="988" t="s">
        <v>1995</v>
      </c>
      <c r="I4" s="298" t="s">
        <v>1492</v>
      </c>
      <c r="J4" s="988" t="s">
        <v>1993</v>
      </c>
      <c r="K4" s="988" t="s">
        <v>1502</v>
      </c>
    </row>
    <row r="5" spans="1:11">
      <c r="A5" s="296" t="s">
        <v>1452</v>
      </c>
      <c r="B5" s="297" t="s">
        <v>1453</v>
      </c>
      <c r="C5" s="297" t="s">
        <v>1453</v>
      </c>
      <c r="D5" s="297" t="s">
        <v>2356</v>
      </c>
      <c r="E5" s="297" t="s">
        <v>1453</v>
      </c>
      <c r="F5" s="297" t="s">
        <v>1453</v>
      </c>
      <c r="G5" s="297" t="s">
        <v>1453</v>
      </c>
      <c r="H5" s="297" t="s">
        <v>1453</v>
      </c>
      <c r="I5" s="297" t="s">
        <v>1453</v>
      </c>
      <c r="J5" s="297" t="s">
        <v>1453</v>
      </c>
      <c r="K5" s="297" t="s">
        <v>1453</v>
      </c>
    </row>
    <row r="6" spans="1:11">
      <c r="A6" s="296" t="s">
        <v>1454</v>
      </c>
      <c r="B6" s="297" t="s">
        <v>1521</v>
      </c>
      <c r="C6" s="302" t="s">
        <v>1475</v>
      </c>
      <c r="D6" s="302" t="s">
        <v>2500</v>
      </c>
      <c r="E6" s="297" t="s">
        <v>2395</v>
      </c>
      <c r="F6" s="297" t="s">
        <v>1511</v>
      </c>
      <c r="G6" s="297" t="s">
        <v>1527</v>
      </c>
      <c r="H6" s="297" t="s">
        <v>1543</v>
      </c>
      <c r="I6" s="297" t="s">
        <v>1493</v>
      </c>
      <c r="J6" s="297" t="s">
        <v>1985</v>
      </c>
      <c r="K6" s="297" t="s">
        <v>1534</v>
      </c>
    </row>
    <row r="7" spans="1:11" ht="57">
      <c r="A7" s="296" t="s">
        <v>1456</v>
      </c>
      <c r="B7" s="989" t="s">
        <v>1522</v>
      </c>
      <c r="C7" s="989" t="s">
        <v>1476</v>
      </c>
      <c r="D7" s="874" t="s">
        <v>2501</v>
      </c>
      <c r="E7" s="989" t="s">
        <v>1504</v>
      </c>
      <c r="F7" s="874" t="s">
        <v>1512</v>
      </c>
      <c r="G7" s="874" t="s">
        <v>1528</v>
      </c>
      <c r="H7" s="874" t="s">
        <v>1544</v>
      </c>
      <c r="I7" s="990" t="s">
        <v>1494</v>
      </c>
      <c r="J7" s="990" t="s">
        <v>1991</v>
      </c>
      <c r="K7" s="874" t="s">
        <v>1535</v>
      </c>
    </row>
    <row r="8" spans="1:11" ht="28.5">
      <c r="A8" s="296" t="s">
        <v>1457</v>
      </c>
      <c r="B8" s="299">
        <v>56110000</v>
      </c>
      <c r="C8" s="991" t="s">
        <v>1477</v>
      </c>
      <c r="D8" s="988" t="s">
        <v>1484</v>
      </c>
      <c r="E8" s="299" t="s">
        <v>1550</v>
      </c>
      <c r="F8" s="992" t="s">
        <v>1549</v>
      </c>
      <c r="G8" s="993" t="s">
        <v>1548</v>
      </c>
      <c r="H8" s="994" t="s">
        <v>1545</v>
      </c>
      <c r="I8" s="299" t="s">
        <v>1495</v>
      </c>
      <c r="J8" s="991" t="s">
        <v>1996</v>
      </c>
      <c r="K8" s="995" t="s">
        <v>1536</v>
      </c>
    </row>
    <row r="9" spans="1:11">
      <c r="A9" s="296" t="s">
        <v>1458</v>
      </c>
      <c r="B9" s="303">
        <v>38768</v>
      </c>
      <c r="C9" s="303">
        <v>39568</v>
      </c>
      <c r="D9" s="303">
        <v>39267</v>
      </c>
      <c r="E9" s="303">
        <v>41170</v>
      </c>
      <c r="F9" s="303">
        <v>39007</v>
      </c>
      <c r="G9" s="303">
        <v>39435</v>
      </c>
      <c r="H9" s="307">
        <v>38497</v>
      </c>
      <c r="I9" s="300">
        <v>39709</v>
      </c>
      <c r="J9" s="297" t="s">
        <v>1525</v>
      </c>
      <c r="K9" s="873">
        <v>39476</v>
      </c>
    </row>
    <row r="10" spans="1:11" ht="114">
      <c r="A10" s="875" t="s">
        <v>1459</v>
      </c>
      <c r="B10" s="989" t="s">
        <v>1972</v>
      </c>
      <c r="C10" s="989" t="s">
        <v>1478</v>
      </c>
      <c r="D10" s="874" t="s">
        <v>1485</v>
      </c>
      <c r="E10" s="989" t="s">
        <v>1505</v>
      </c>
      <c r="F10" s="989" t="s">
        <v>1513</v>
      </c>
      <c r="G10" s="874" t="s">
        <v>1529</v>
      </c>
      <c r="H10" s="874" t="s">
        <v>1546</v>
      </c>
      <c r="I10" s="990" t="s">
        <v>1496</v>
      </c>
      <c r="J10" s="874" t="s">
        <v>1986</v>
      </c>
      <c r="K10" s="874" t="s">
        <v>1537</v>
      </c>
    </row>
    <row r="11" spans="1:11">
      <c r="A11" s="296" t="s">
        <v>1461</v>
      </c>
      <c r="B11" s="302" t="s">
        <v>1973</v>
      </c>
      <c r="C11" s="302" t="s">
        <v>1479</v>
      </c>
      <c r="D11" s="297" t="s">
        <v>2357</v>
      </c>
      <c r="E11" s="302" t="s">
        <v>1486</v>
      </c>
      <c r="F11" s="302" t="s">
        <v>1514</v>
      </c>
      <c r="G11" s="297" t="s">
        <v>1530</v>
      </c>
      <c r="H11" s="297" t="s">
        <v>1487</v>
      </c>
      <c r="I11" s="298" t="s">
        <v>1497</v>
      </c>
      <c r="J11" s="298" t="s">
        <v>1987</v>
      </c>
      <c r="K11" s="297" t="s">
        <v>1538</v>
      </c>
    </row>
    <row r="12" spans="1:11">
      <c r="A12" s="296" t="s">
        <v>1462</v>
      </c>
      <c r="B12" s="302" t="s">
        <v>1974</v>
      </c>
      <c r="C12" s="302" t="s">
        <v>1480</v>
      </c>
      <c r="D12" s="297" t="s">
        <v>2358</v>
      </c>
      <c r="E12" s="302" t="s">
        <v>1506</v>
      </c>
      <c r="F12" s="302" t="s">
        <v>1515</v>
      </c>
      <c r="G12" s="297" t="s">
        <v>1531</v>
      </c>
      <c r="H12" s="297" t="s">
        <v>1488</v>
      </c>
      <c r="I12" s="298" t="s">
        <v>1498</v>
      </c>
      <c r="J12" s="297" t="s">
        <v>1988</v>
      </c>
      <c r="K12" s="302" t="s">
        <v>1539</v>
      </c>
    </row>
    <row r="13" spans="1:11">
      <c r="A13" s="296" t="s">
        <v>1463</v>
      </c>
      <c r="B13" s="302">
        <v>15210341251</v>
      </c>
      <c r="C13" s="302">
        <v>13821316199</v>
      </c>
      <c r="D13" s="302">
        <v>18640349623</v>
      </c>
      <c r="E13" s="302">
        <v>14741065816</v>
      </c>
      <c r="F13" s="302">
        <v>18651861196</v>
      </c>
      <c r="G13" s="302">
        <v>18615632891</v>
      </c>
      <c r="H13" s="302">
        <v>15621025971</v>
      </c>
      <c r="I13" s="298">
        <v>15136239636</v>
      </c>
      <c r="J13" s="302">
        <v>18588868174</v>
      </c>
      <c r="K13" s="302">
        <v>18244265821</v>
      </c>
    </row>
    <row r="14" spans="1:11">
      <c r="A14" s="296" t="s">
        <v>1464</v>
      </c>
      <c r="B14" s="302" t="s">
        <v>1523</v>
      </c>
      <c r="C14" s="302" t="s">
        <v>1481</v>
      </c>
      <c r="D14" s="297" t="s">
        <v>1445</v>
      </c>
      <c r="E14" s="302" t="s">
        <v>1507</v>
      </c>
      <c r="F14" s="302" t="s">
        <v>1516</v>
      </c>
      <c r="G14" s="297" t="s">
        <v>1532</v>
      </c>
      <c r="H14" s="297" t="s">
        <v>1489</v>
      </c>
      <c r="I14" s="298" t="s">
        <v>1499</v>
      </c>
      <c r="J14" s="297" t="s">
        <v>1989</v>
      </c>
      <c r="K14" s="302" t="s">
        <v>1540</v>
      </c>
    </row>
    <row r="15" spans="1:11" ht="28.5">
      <c r="A15" s="296" t="s">
        <v>1465</v>
      </c>
      <c r="B15" s="302" t="s">
        <v>1975</v>
      </c>
      <c r="C15" s="302" t="s">
        <v>1482</v>
      </c>
      <c r="D15" s="297" t="s">
        <v>2359</v>
      </c>
      <c r="E15" s="302" t="s">
        <v>1508</v>
      </c>
      <c r="F15" s="302" t="s">
        <v>1517</v>
      </c>
      <c r="G15" s="302" t="s">
        <v>1533</v>
      </c>
      <c r="H15" s="297" t="s">
        <v>1490</v>
      </c>
      <c r="I15" s="298" t="s">
        <v>1500</v>
      </c>
      <c r="J15" s="298" t="s">
        <v>1990</v>
      </c>
      <c r="K15" s="302" t="s">
        <v>1541</v>
      </c>
    </row>
    <row r="16" spans="1:11" ht="15" thickBot="1">
      <c r="A16" s="294" t="s">
        <v>1467</v>
      </c>
      <c r="B16" s="301" t="s">
        <v>1447</v>
      </c>
      <c r="C16" s="304" t="s">
        <v>1449</v>
      </c>
      <c r="D16" s="301" t="s">
        <v>1455</v>
      </c>
      <c r="E16" s="301" t="s">
        <v>1471</v>
      </c>
      <c r="F16" s="301" t="s">
        <v>1460</v>
      </c>
      <c r="G16" s="301" t="s">
        <v>1466</v>
      </c>
      <c r="H16" s="301" t="s">
        <v>1472</v>
      </c>
      <c r="I16" s="301" t="s">
        <v>1468</v>
      </c>
      <c r="J16" s="301" t="s">
        <v>1469</v>
      </c>
      <c r="K16" s="301" t="s">
        <v>1470</v>
      </c>
    </row>
    <row r="17" spans="1:2">
      <c r="A17" s="293"/>
      <c r="B17" s="293"/>
    </row>
    <row r="18" spans="1:2">
      <c r="A18" s="293"/>
      <c r="B18" s="293"/>
    </row>
    <row r="19" spans="1:2">
      <c r="A19" s="293"/>
      <c r="B19" s="293"/>
    </row>
    <row r="20" spans="1:2">
      <c r="A20" s="872" t="s">
        <v>2346</v>
      </c>
      <c r="B20" s="293"/>
    </row>
    <row r="21" spans="1:2">
      <c r="A21" s="293"/>
      <c r="B21" s="293"/>
    </row>
    <row r="22" spans="1:2">
      <c r="A22" s="293"/>
      <c r="B22" s="293"/>
    </row>
    <row r="23" spans="1:2">
      <c r="A23" s="293"/>
      <c r="B23" s="293"/>
    </row>
    <row r="24" spans="1:2">
      <c r="A24" s="293"/>
    </row>
    <row r="25" spans="1:2">
      <c r="A25" s="293"/>
      <c r="B25" s="293"/>
    </row>
    <row r="26" spans="1:2">
      <c r="A26" s="293"/>
      <c r="B26" s="293"/>
    </row>
    <row r="27" spans="1:2">
      <c r="A27" s="293"/>
      <c r="B27" s="293"/>
    </row>
    <row r="28" spans="1:2">
      <c r="A28" s="293"/>
      <c r="B28" s="293"/>
    </row>
    <row r="29" spans="1:2">
      <c r="A29" s="293"/>
      <c r="B29" s="293"/>
    </row>
    <row r="30" spans="1:2">
      <c r="A30" s="293"/>
      <c r="B30" s="293"/>
    </row>
    <row r="31" spans="1:2">
      <c r="A31" s="293"/>
      <c r="B31" s="293"/>
    </row>
    <row r="32" spans="1:2">
      <c r="A32" s="293"/>
      <c r="B32" s="293"/>
    </row>
    <row r="33" spans="1:2">
      <c r="A33" s="293"/>
      <c r="B33" s="293"/>
    </row>
    <row r="34" spans="1:2">
      <c r="A34" s="293"/>
      <c r="B34" s="293"/>
    </row>
    <row r="35" spans="1:2">
      <c r="A35" s="293"/>
      <c r="B35" s="293"/>
    </row>
    <row r="36" spans="1:2">
      <c r="A36" s="293"/>
      <c r="B36" s="293"/>
    </row>
  </sheetData>
  <phoneticPr fontId="12" type="noConversion"/>
  <dataValidations count="2">
    <dataValidation type="list" allowBlank="1" showInputMessage="1" showErrorMessage="1" sqref="D16:K16 B5:K5 B16">
      <formula1>#REF!</formula1>
    </dataValidation>
    <dataValidation type="list" allowBlank="1" showInputMessage="1" showErrorMessage="1" sqref="C16">
      <formula1>隶属保监局</formula1>
    </dataValidation>
  </dataValidations>
  <hyperlinks>
    <hyperlink ref="C15" r:id="rId1"/>
    <hyperlink ref="E15" r:id="rId2"/>
    <hyperlink ref="G15" r:id="rId3"/>
    <hyperlink ref="H15" r:id="rId4"/>
    <hyperlink ref="K15" r:id="rI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147"/>
  <sheetViews>
    <sheetView topLeftCell="A109" workbookViewId="0">
      <selection activeCell="J152" sqref="J152"/>
    </sheetView>
  </sheetViews>
  <sheetFormatPr defaultColWidth="9" defaultRowHeight="13.5" outlineLevelRow="1" outlineLevelCol="1"/>
  <cols>
    <col min="1" max="1" width="13.375" style="743" customWidth="1"/>
    <col min="2" max="2" width="23.75" style="743" bestFit="1" customWidth="1"/>
    <col min="3" max="3" width="13.125" style="813" bestFit="1" customWidth="1"/>
    <col min="4" max="4" width="8.25" style="813" customWidth="1"/>
    <col min="5" max="5" width="8.5" style="813" customWidth="1"/>
    <col min="6" max="6" width="8" style="813" customWidth="1"/>
    <col min="7" max="7" width="7.625" style="813" customWidth="1"/>
    <col min="8" max="8" width="7.375" style="813" bestFit="1" customWidth="1"/>
    <col min="9" max="9" width="8.625" style="813" customWidth="1" outlineLevel="1"/>
    <col min="10" max="10" width="7.75" style="813" customWidth="1" outlineLevel="1"/>
    <col min="11" max="11" width="8.25" style="813" customWidth="1" outlineLevel="1"/>
    <col min="12" max="12" width="8.625" style="813" customWidth="1" outlineLevel="1"/>
    <col min="13" max="13" width="8.375" style="813" customWidth="1" outlineLevel="1"/>
    <col min="14" max="14" width="7.875" style="813" customWidth="1" outlineLevel="1"/>
    <col min="15" max="15" width="8.625" style="813" customWidth="1" outlineLevel="1"/>
    <col min="16" max="16" width="23.75" style="813" bestFit="1" customWidth="1" outlineLevel="1"/>
    <col min="17" max="17" width="9.5" style="813" customWidth="1" outlineLevel="1"/>
    <col min="18" max="18" width="9.875" style="813" customWidth="1" outlineLevel="1"/>
    <col min="19" max="19" width="10.375" style="813" customWidth="1"/>
    <col min="20" max="20" width="17.25" style="813" customWidth="1"/>
    <col min="21" max="21" width="16.5" style="813" customWidth="1"/>
    <col min="22" max="16384" width="9" style="743"/>
  </cols>
  <sheetData>
    <row r="1" spans="1:25">
      <c r="B1" s="955"/>
      <c r="D1" s="871" t="s">
        <v>2011</v>
      </c>
    </row>
    <row r="2" spans="1:25" ht="13.5" customHeight="1">
      <c r="A2" s="1796" t="s">
        <v>1901</v>
      </c>
      <c r="B2" s="1796"/>
      <c r="C2" s="1812" t="s">
        <v>1902</v>
      </c>
      <c r="D2" s="1813" t="s">
        <v>2344</v>
      </c>
      <c r="E2" s="1812" t="s">
        <v>1760</v>
      </c>
      <c r="F2" s="1812" t="s">
        <v>1947</v>
      </c>
      <c r="G2" s="1812" t="s">
        <v>1948</v>
      </c>
      <c r="N2" s="935"/>
      <c r="O2" s="1812" t="s">
        <v>1953</v>
      </c>
      <c r="P2" s="1812" t="s">
        <v>1952</v>
      </c>
      <c r="Q2" s="945" t="s">
        <v>1954</v>
      </c>
      <c r="R2" s="945" t="s">
        <v>1955</v>
      </c>
      <c r="S2" s="945" t="s">
        <v>1956</v>
      </c>
    </row>
    <row r="3" spans="1:25" ht="15.75" customHeight="1">
      <c r="A3" s="1796"/>
      <c r="B3" s="1796"/>
      <c r="C3" s="1812"/>
      <c r="D3" s="1813"/>
      <c r="E3" s="1812"/>
      <c r="F3" s="1812"/>
      <c r="G3" s="1812"/>
      <c r="N3" s="935"/>
      <c r="O3" s="1812"/>
      <c r="P3" s="1812"/>
      <c r="Q3" s="942"/>
      <c r="R3" s="943" t="s">
        <v>1951</v>
      </c>
      <c r="S3" s="944" t="s">
        <v>1950</v>
      </c>
      <c r="Y3" s="813"/>
    </row>
    <row r="4" spans="1:25" ht="15">
      <c r="A4" s="1802" t="s">
        <v>1857</v>
      </c>
      <c r="B4" s="858" t="s">
        <v>1858</v>
      </c>
      <c r="C4" s="818" t="s">
        <v>2384</v>
      </c>
      <c r="D4" s="1341">
        <f>D25</f>
        <v>70.198820677548582</v>
      </c>
      <c r="E4" s="1341">
        <v>68.664550203677209</v>
      </c>
      <c r="F4" s="1342">
        <f>D4-E4</f>
        <v>1.5342704738713735</v>
      </c>
      <c r="G4" s="1343">
        <f>F4/36</f>
        <v>4.2618624274204819E-2</v>
      </c>
      <c r="N4" s="935"/>
      <c r="O4" s="1019">
        <f>$E$19</f>
        <v>91.548459727879916</v>
      </c>
      <c r="P4" s="858" t="str">
        <f>E2</f>
        <v>Q2得分</v>
      </c>
      <c r="Q4" s="948">
        <f>O4</f>
        <v>91.548459727879916</v>
      </c>
      <c r="R4" s="946">
        <v>0</v>
      </c>
      <c r="S4" s="950">
        <v>0</v>
      </c>
    </row>
    <row r="5" spans="1:25" ht="15">
      <c r="A5" s="1802"/>
      <c r="B5" s="859" t="s">
        <v>1863</v>
      </c>
      <c r="C5" s="817" t="s">
        <v>2385</v>
      </c>
      <c r="D5" s="870">
        <f t="shared" ref="D5:D9" si="0">D26</f>
        <v>1729043.1047949996</v>
      </c>
      <c r="E5" s="870">
        <v>68.09</v>
      </c>
      <c r="F5" s="986">
        <f t="shared" ref="F5:F16" si="1">D5-E5</f>
        <v>1728975.0147949995</v>
      </c>
      <c r="G5" s="987">
        <f t="shared" ref="G5:G7" si="2">F5/36</f>
        <v>48027.083744305542</v>
      </c>
      <c r="N5" s="935"/>
      <c r="O5" s="1019">
        <f>$G$4</f>
        <v>4.2618624274204819E-2</v>
      </c>
      <c r="P5" s="858" t="str">
        <f>B4</f>
        <v>销售、承保、保全业务线</v>
      </c>
      <c r="Q5" s="938">
        <f>Q4+R4-S5</f>
        <v>91.548459727879916</v>
      </c>
      <c r="R5" s="947">
        <f t="shared" ref="R5:R7" si="3">IF(O5&gt;0,O5,0)</f>
        <v>4.2618624274204819E-2</v>
      </c>
      <c r="S5" s="949">
        <f t="shared" ref="S5:S7" si="4">IF(O5&lt;0,ABS(O5),0)</f>
        <v>0</v>
      </c>
    </row>
    <row r="6" spans="1:25" ht="15">
      <c r="A6" s="1802"/>
      <c r="B6" s="859" t="s">
        <v>1864</v>
      </c>
      <c r="C6" s="818" t="s">
        <v>1874</v>
      </c>
      <c r="D6" s="870">
        <f t="shared" si="0"/>
        <v>77.239999999999995</v>
      </c>
      <c r="E6" s="870">
        <v>74.66</v>
      </c>
      <c r="F6" s="986">
        <f t="shared" si="1"/>
        <v>2.5799999999999983</v>
      </c>
      <c r="G6" s="987">
        <f t="shared" si="2"/>
        <v>7.1666666666666615E-2</v>
      </c>
      <c r="N6" s="935"/>
      <c r="O6" s="1019">
        <f>$G$5</f>
        <v>48027.083744305542</v>
      </c>
      <c r="P6" s="858" t="str">
        <f>B5</f>
        <v>理赔业务线</v>
      </c>
      <c r="Q6" s="938">
        <f t="shared" ref="Q6:Q7" si="5">Q5+R5-S6</f>
        <v>91.591078352154113</v>
      </c>
      <c r="R6" s="947">
        <f t="shared" si="3"/>
        <v>48027.083744305542</v>
      </c>
      <c r="S6" s="949">
        <f t="shared" si="4"/>
        <v>0</v>
      </c>
    </row>
    <row r="7" spans="1:25" ht="15">
      <c r="A7" s="1802"/>
      <c r="B7" s="859" t="s">
        <v>1865</v>
      </c>
      <c r="C7" s="817" t="s">
        <v>1874</v>
      </c>
      <c r="D7" s="870">
        <f t="shared" si="0"/>
        <v>80</v>
      </c>
      <c r="E7" s="870">
        <v>80</v>
      </c>
      <c r="F7" s="870">
        <f t="shared" si="1"/>
        <v>0</v>
      </c>
      <c r="G7" s="256">
        <f t="shared" si="2"/>
        <v>0</v>
      </c>
      <c r="N7" s="935"/>
      <c r="O7" s="1019">
        <f>$G$6</f>
        <v>7.1666666666666615E-2</v>
      </c>
      <c r="P7" s="858" t="str">
        <f>B6</f>
        <v>财务管理</v>
      </c>
      <c r="Q7" s="938">
        <f t="shared" si="5"/>
        <v>48118.674822657696</v>
      </c>
      <c r="R7" s="947">
        <f t="shared" si="3"/>
        <v>7.1666666666666615E-2</v>
      </c>
      <c r="S7" s="949">
        <f t="shared" si="4"/>
        <v>0</v>
      </c>
    </row>
    <row r="8" spans="1:25" ht="27.75" customHeight="1">
      <c r="A8" s="1802"/>
      <c r="B8" s="859" t="s">
        <v>1867</v>
      </c>
      <c r="C8" s="818" t="s">
        <v>1874</v>
      </c>
      <c r="D8" s="1347" t="str">
        <f t="shared" si="0"/>
        <v>监管扣分不确定</v>
      </c>
      <c r="E8" s="870" t="s">
        <v>2354</v>
      </c>
      <c r="F8" s="941"/>
      <c r="G8" s="941"/>
      <c r="N8" s="935"/>
      <c r="O8" s="1019">
        <f>$G$11</f>
        <v>6.9444444444444441E-3</v>
      </c>
      <c r="P8" s="858" t="str">
        <f>B11</f>
        <v>信息系统</v>
      </c>
      <c r="Q8" s="938">
        <f>Q11+R11-S8</f>
        <v>48118.74648932436</v>
      </c>
      <c r="R8" s="947">
        <f>IF(O8&gt;0,O8,0)</f>
        <v>6.9444444444444441E-3</v>
      </c>
      <c r="S8" s="949">
        <f>IF(O8&lt;0,ABS(O8),0)</f>
        <v>0</v>
      </c>
    </row>
    <row r="9" spans="1:25" ht="15">
      <c r="A9" s="1802"/>
      <c r="B9" s="859" t="s">
        <v>1868</v>
      </c>
      <c r="C9" s="817" t="s">
        <v>1874</v>
      </c>
      <c r="D9" s="870">
        <f t="shared" si="0"/>
        <v>88</v>
      </c>
      <c r="E9" s="870">
        <v>88</v>
      </c>
      <c r="F9" s="870">
        <f t="shared" si="1"/>
        <v>0</v>
      </c>
      <c r="G9" s="256">
        <f t="shared" ref="G9:G12" si="6">F9/36</f>
        <v>0</v>
      </c>
      <c r="N9" s="935"/>
      <c r="O9" s="1020">
        <f>SUM(O4:O8)</f>
        <v>48118.753433768805</v>
      </c>
      <c r="P9" s="858" t="str">
        <f>D2</f>
        <v>Q3得分</v>
      </c>
      <c r="Q9" s="948">
        <f>O9</f>
        <v>48118.753433768805</v>
      </c>
      <c r="R9" s="946">
        <v>0</v>
      </c>
      <c r="S9" s="950">
        <v>0</v>
      </c>
    </row>
    <row r="10" spans="1:25" ht="15">
      <c r="A10" s="1802"/>
      <c r="B10" s="859" t="s">
        <v>1869</v>
      </c>
      <c r="C10" s="818" t="s">
        <v>1874</v>
      </c>
      <c r="D10" s="870">
        <f t="shared" ref="D10:D18" si="7">D31</f>
        <v>70</v>
      </c>
      <c r="E10" s="870">
        <v>70</v>
      </c>
      <c r="F10" s="870">
        <f t="shared" si="1"/>
        <v>0</v>
      </c>
      <c r="G10" s="256">
        <f>F10/18</f>
        <v>0</v>
      </c>
      <c r="N10" s="935"/>
      <c r="O10" s="1021"/>
      <c r="P10" s="972"/>
      <c r="Q10" s="972"/>
      <c r="R10" s="972"/>
      <c r="S10" s="972"/>
    </row>
    <row r="11" spans="1:25" ht="15">
      <c r="A11" s="1802"/>
      <c r="B11" s="859" t="s">
        <v>1871</v>
      </c>
      <c r="C11" s="817" t="s">
        <v>1874</v>
      </c>
      <c r="D11" s="870">
        <f t="shared" si="7"/>
        <v>89.679999999999993</v>
      </c>
      <c r="E11" s="870">
        <v>89.429999999999993</v>
      </c>
      <c r="F11" s="986">
        <f t="shared" si="1"/>
        <v>0.25</v>
      </c>
      <c r="G11" s="987">
        <f t="shared" si="6"/>
        <v>6.9444444444444441E-3</v>
      </c>
      <c r="N11" s="935"/>
      <c r="O11" s="1019">
        <f>$G$12</f>
        <v>0</v>
      </c>
      <c r="P11" s="858" t="str">
        <f>B12</f>
        <v>案件管理</v>
      </c>
      <c r="Q11" s="938">
        <f>Q14+R14-S11</f>
        <v>48118.74648932436</v>
      </c>
      <c r="R11" s="947">
        <f>IF(O11&gt;0,O11,0)</f>
        <v>0</v>
      </c>
      <c r="S11" s="949">
        <f>IF(O11&lt;0,ABS(O11),0)</f>
        <v>0</v>
      </c>
    </row>
    <row r="12" spans="1:25" ht="15">
      <c r="A12" s="1802"/>
      <c r="B12" s="859" t="s">
        <v>1872</v>
      </c>
      <c r="C12" s="818" t="s">
        <v>1874</v>
      </c>
      <c r="D12" s="870">
        <f t="shared" si="7"/>
        <v>76.5</v>
      </c>
      <c r="E12" s="870">
        <v>76.5</v>
      </c>
      <c r="F12" s="870">
        <f t="shared" si="1"/>
        <v>0</v>
      </c>
      <c r="G12" s="256">
        <f t="shared" si="6"/>
        <v>0</v>
      </c>
      <c r="N12" s="935"/>
      <c r="O12" s="1019">
        <f>$G$15</f>
        <v>0</v>
      </c>
      <c r="P12" s="858" t="str">
        <f>A15</f>
        <v>声誉风险</v>
      </c>
      <c r="Q12" s="938">
        <f>Q14+R14-S12</f>
        <v>48118.74648932436</v>
      </c>
      <c r="R12" s="947">
        <f>IF(O12&gt;0,O12,0)</f>
        <v>0</v>
      </c>
      <c r="S12" s="949">
        <f>IF(O12&lt;0,ABS(O12),0)</f>
        <v>0</v>
      </c>
    </row>
    <row r="13" spans="1:25" ht="15">
      <c r="A13" s="1803"/>
      <c r="B13" s="861" t="s">
        <v>1929</v>
      </c>
      <c r="C13" s="817" t="s">
        <v>2384</v>
      </c>
      <c r="D13" s="870">
        <f>D34</f>
        <v>192184.96929063078</v>
      </c>
      <c r="E13" s="870">
        <v>76.14939446707524</v>
      </c>
      <c r="F13" s="941"/>
      <c r="G13" s="941"/>
      <c r="N13" s="935"/>
      <c r="O13" s="1019">
        <f>$G$9</f>
        <v>0</v>
      </c>
      <c r="P13" s="858" t="str">
        <f>B9</f>
        <v>公司治理业务线</v>
      </c>
      <c r="Q13" s="938">
        <f>Q7+R7-S13</f>
        <v>48118.74648932436</v>
      </c>
      <c r="R13" s="947">
        <f>IF(O13&gt;0,O13,0)</f>
        <v>0</v>
      </c>
      <c r="S13" s="949">
        <f>IF(O13&lt;0,ABS(O13),0)</f>
        <v>0</v>
      </c>
    </row>
    <row r="14" spans="1:25" ht="15">
      <c r="A14" s="1797" t="s">
        <v>1876</v>
      </c>
      <c r="B14" s="1798"/>
      <c r="C14" s="817" t="s">
        <v>2384</v>
      </c>
      <c r="D14" s="870">
        <f t="shared" si="7"/>
        <v>92</v>
      </c>
      <c r="E14" s="870">
        <v>92</v>
      </c>
      <c r="F14" s="870">
        <f t="shared" si="1"/>
        <v>0</v>
      </c>
      <c r="G14" s="256">
        <f>F14*U35</f>
        <v>0</v>
      </c>
      <c r="N14" s="935"/>
      <c r="O14" s="1019">
        <f>$G$10</f>
        <v>0</v>
      </c>
      <c r="P14" s="858" t="str">
        <f>B10</f>
        <v>准备金、再保险管理</v>
      </c>
      <c r="Q14" s="938">
        <f>Q13+R13-S14</f>
        <v>48118.74648932436</v>
      </c>
      <c r="R14" s="947">
        <f>IF(O14&gt;0,O14,0)</f>
        <v>0</v>
      </c>
      <c r="S14" s="949">
        <f>IF(O14&lt;0,ABS(O14),0)</f>
        <v>0</v>
      </c>
    </row>
    <row r="15" spans="1:25" ht="15">
      <c r="A15" s="1797" t="s">
        <v>1877</v>
      </c>
      <c r="B15" s="1798"/>
      <c r="C15" s="817" t="s">
        <v>2384</v>
      </c>
      <c r="D15" s="870">
        <f t="shared" si="7"/>
        <v>90</v>
      </c>
      <c r="E15" s="870">
        <v>90</v>
      </c>
      <c r="F15" s="870">
        <f t="shared" si="1"/>
        <v>0</v>
      </c>
      <c r="G15" s="256">
        <f>F15*U36</f>
        <v>0</v>
      </c>
      <c r="I15" s="937"/>
      <c r="J15" s="935"/>
      <c r="K15" s="936"/>
      <c r="L15" s="936"/>
      <c r="M15" s="936"/>
      <c r="N15" s="935"/>
      <c r="O15" s="1019">
        <f>$G$16</f>
        <v>0</v>
      </c>
      <c r="P15" s="858" t="str">
        <f>A16</f>
        <v>流动性风险</v>
      </c>
      <c r="Q15" s="938">
        <f>Q12+R12-S15</f>
        <v>48118.74648932436</v>
      </c>
      <c r="R15" s="947">
        <f>IF(O15&gt;0,O15,0)</f>
        <v>0</v>
      </c>
      <c r="S15" s="949">
        <f>IF(O15&lt;0,ABS(O15),0)</f>
        <v>0</v>
      </c>
    </row>
    <row r="16" spans="1:25" ht="15">
      <c r="A16" s="1797" t="s">
        <v>1878</v>
      </c>
      <c r="B16" s="1798"/>
      <c r="C16" s="763" t="s">
        <v>2384</v>
      </c>
      <c r="D16" s="870">
        <f t="shared" si="7"/>
        <v>88.888888888888886</v>
      </c>
      <c r="E16" s="870">
        <v>88.888888888888886</v>
      </c>
      <c r="F16" s="870">
        <f t="shared" si="1"/>
        <v>0</v>
      </c>
      <c r="G16" s="256">
        <f>F16*U37</f>
        <v>0</v>
      </c>
      <c r="I16" s="936"/>
      <c r="J16" s="935"/>
      <c r="K16" s="936"/>
      <c r="L16" s="936"/>
      <c r="M16" s="936"/>
      <c r="N16" s="935"/>
    </row>
    <row r="17" spans="1:21" ht="15">
      <c r="A17" s="1795" t="s">
        <v>1926</v>
      </c>
      <c r="B17" s="1795"/>
      <c r="C17" s="817" t="s">
        <v>2404</v>
      </c>
      <c r="D17" s="870">
        <f t="shared" si="7"/>
        <v>96137.50686753761</v>
      </c>
      <c r="E17" s="870">
        <v>83.096919455759831</v>
      </c>
      <c r="F17" s="941"/>
      <c r="G17" s="941"/>
      <c r="I17" s="936"/>
      <c r="J17" s="935"/>
      <c r="K17" s="936"/>
      <c r="L17" s="936"/>
      <c r="M17" s="936"/>
      <c r="N17" s="935"/>
    </row>
    <row r="18" spans="1:21" ht="15">
      <c r="A18" s="1799" t="s">
        <v>1880</v>
      </c>
      <c r="B18" s="1799"/>
      <c r="C18" s="817" t="s">
        <v>1874</v>
      </c>
      <c r="D18" s="870">
        <f t="shared" si="7"/>
        <v>100</v>
      </c>
      <c r="E18" s="870">
        <v>100</v>
      </c>
      <c r="F18" s="941"/>
      <c r="G18" s="941"/>
      <c r="I18" s="939"/>
      <c r="J18" s="940"/>
      <c r="K18" s="939"/>
      <c r="L18" s="939"/>
      <c r="M18" s="939"/>
      <c r="N18" s="935"/>
    </row>
    <row r="19" spans="1:21" ht="15">
      <c r="A19" s="1795" t="s">
        <v>1881</v>
      </c>
      <c r="B19" s="1795"/>
      <c r="C19" s="817"/>
      <c r="D19" s="1346">
        <f>D40</f>
        <v>48118.753433768805</v>
      </c>
      <c r="E19" s="870">
        <v>91.548459727879916</v>
      </c>
      <c r="F19" s="986">
        <f>D19-E19</f>
        <v>48027.204974040927</v>
      </c>
      <c r="G19" s="870"/>
      <c r="I19" s="939"/>
      <c r="J19" s="940"/>
      <c r="K19" s="939"/>
      <c r="L19" s="939"/>
      <c r="M19" s="939"/>
      <c r="N19" s="935"/>
      <c r="S19" s="953"/>
    </row>
    <row r="20" spans="1:21">
      <c r="I20" s="939"/>
      <c r="J20" s="940"/>
      <c r="K20" s="939"/>
      <c r="L20" s="939"/>
      <c r="M20" s="939"/>
      <c r="N20" s="935"/>
    </row>
    <row r="22" spans="1:21">
      <c r="A22" s="1801" t="s">
        <v>1900</v>
      </c>
      <c r="B22" s="1801"/>
      <c r="D22" s="878">
        <f>D40</f>
        <v>48118.753433768805</v>
      </c>
      <c r="E22" s="878">
        <f>D22-F22</f>
        <v>0</v>
      </c>
      <c r="F22" s="878">
        <f>D42+D62</f>
        <v>48118.753433768805</v>
      </c>
      <c r="G22" s="869"/>
      <c r="H22" s="869"/>
    </row>
    <row r="23" spans="1:21" ht="15" customHeight="1" outlineLevel="1">
      <c r="A23" s="1806" t="s">
        <v>1901</v>
      </c>
      <c r="B23" s="1806"/>
      <c r="C23" s="1804" t="s">
        <v>1902</v>
      </c>
      <c r="D23" s="1800" t="s">
        <v>1903</v>
      </c>
      <c r="E23" s="1804" t="s">
        <v>1904</v>
      </c>
      <c r="F23" s="1804" t="s">
        <v>1905</v>
      </c>
      <c r="G23" s="1800" t="s">
        <v>1906</v>
      </c>
      <c r="H23" s="1800"/>
      <c r="I23" s="933"/>
      <c r="J23" s="933"/>
      <c r="K23" s="933"/>
      <c r="L23" s="933"/>
      <c r="M23" s="933"/>
      <c r="N23" s="933"/>
      <c r="O23" s="933"/>
      <c r="P23" s="933"/>
      <c r="Q23" s="933"/>
      <c r="R23" s="933"/>
      <c r="S23" s="1808" t="s">
        <v>1907</v>
      </c>
      <c r="T23" s="1808" t="s">
        <v>1908</v>
      </c>
      <c r="U23" s="1808" t="s">
        <v>1909</v>
      </c>
    </row>
    <row r="24" spans="1:21" ht="15" customHeight="1" outlineLevel="1">
      <c r="A24" s="1807"/>
      <c r="B24" s="1807"/>
      <c r="C24" s="1804"/>
      <c r="D24" s="1800"/>
      <c r="E24" s="1804"/>
      <c r="F24" s="1804"/>
      <c r="G24" s="857" t="s">
        <v>1910</v>
      </c>
      <c r="H24" s="857" t="s">
        <v>1911</v>
      </c>
      <c r="I24" s="933" t="s">
        <v>1912</v>
      </c>
      <c r="J24" s="933" t="s">
        <v>1913</v>
      </c>
      <c r="K24" s="933" t="s">
        <v>1914</v>
      </c>
      <c r="L24" s="933" t="s">
        <v>1915</v>
      </c>
      <c r="M24" s="933" t="s">
        <v>1916</v>
      </c>
      <c r="N24" s="933" t="s">
        <v>1917</v>
      </c>
      <c r="O24" s="933" t="s">
        <v>1918</v>
      </c>
      <c r="P24" s="933" t="s">
        <v>1919</v>
      </c>
      <c r="Q24" s="933" t="s">
        <v>1920</v>
      </c>
      <c r="R24" s="933" t="s">
        <v>1921</v>
      </c>
      <c r="S24" s="1805"/>
      <c r="T24" s="1805"/>
      <c r="U24" s="1805"/>
    </row>
    <row r="25" spans="1:21" ht="16.5" outlineLevel="1">
      <c r="A25" s="1802" t="s">
        <v>1928</v>
      </c>
      <c r="B25" s="858" t="s">
        <v>1858</v>
      </c>
      <c r="C25" s="818" t="s">
        <v>1859</v>
      </c>
      <c r="D25" s="853">
        <f>E25*G25+F25*H25</f>
        <v>70.198820677548582</v>
      </c>
      <c r="E25" s="853">
        <f>'OR02-销售承保'!Y38</f>
        <v>57.778552325836287</v>
      </c>
      <c r="F25" s="853">
        <f>AVERAGE(I25:R25)</f>
        <v>75.521792828282415</v>
      </c>
      <c r="G25" s="855">
        <v>0.3</v>
      </c>
      <c r="H25" s="855">
        <v>0.7</v>
      </c>
      <c r="I25" s="854">
        <f>'OR04-分公司销售、承保、保全'!Y76</f>
        <v>77.400000000000006</v>
      </c>
      <c r="J25" s="854">
        <f>'OR04-分公司销售、承保、保全'!AG76</f>
        <v>73.948844884488452</v>
      </c>
      <c r="K25" s="854">
        <f>'OR04-分公司销售、承保、保全'!AN76</f>
        <v>76.483221476510067</v>
      </c>
      <c r="L25" s="854">
        <f>'OR04-分公司销售、承保、保全'!AV76</f>
        <v>70.836283185840699</v>
      </c>
      <c r="M25" s="854">
        <f>'OR04-分公司销售、承保、保全'!BD76</f>
        <v>75.763440860215056</v>
      </c>
      <c r="N25" s="854">
        <f>'OR04-分公司销售、承保、保全'!BL76</f>
        <v>71.006912442396313</v>
      </c>
      <c r="O25" s="854">
        <f>'OR04-分公司销售、承保、保全'!BT76</f>
        <v>80.95</v>
      </c>
      <c r="P25" s="854">
        <f>'OR04-分公司销售、承保、保全'!CB76</f>
        <v>71.592592592592595</v>
      </c>
      <c r="Q25" s="854">
        <f>'OR04-分公司销售、承保、保全'!CJ76</f>
        <v>82.313868613138681</v>
      </c>
      <c r="R25" s="854">
        <f>'OR04-分公司销售、承保、保全'!CR76</f>
        <v>74.922764227642276</v>
      </c>
      <c r="S25" s="856" t="s">
        <v>1860</v>
      </c>
      <c r="T25" s="856" t="s">
        <v>1861</v>
      </c>
      <c r="U25" s="856" t="s">
        <v>1862</v>
      </c>
    </row>
    <row r="26" spans="1:21" ht="16.5" outlineLevel="1">
      <c r="A26" s="1802"/>
      <c r="B26" s="859" t="s">
        <v>1863</v>
      </c>
      <c r="C26" s="817" t="s">
        <v>1859</v>
      </c>
      <c r="D26" s="806">
        <f>E26*G26+F26*H26</f>
        <v>1729043.1047949996</v>
      </c>
      <c r="E26" s="806">
        <f>'OR06-理赔保全'!O22</f>
        <v>48</v>
      </c>
      <c r="F26" s="806">
        <f>AVERAGE(I26:R26)</f>
        <v>2470041.0068499995</v>
      </c>
      <c r="G26" s="808">
        <v>0.3</v>
      </c>
      <c r="H26" s="808">
        <v>0.7</v>
      </c>
      <c r="I26" s="807">
        <f>'OR08-分公司理赔'!W41</f>
        <v>814753.99349999998</v>
      </c>
      <c r="J26" s="807">
        <f>'OR08-分公司理赔'!AC41</f>
        <v>3662009.341</v>
      </c>
      <c r="K26" s="807">
        <f>'OR08-分公司理赔'!AI41</f>
        <v>5506946.0968000004</v>
      </c>
      <c r="L26" s="807">
        <f>'OR08-分公司理赔'!AO41</f>
        <v>822289.17299999995</v>
      </c>
      <c r="M26" s="807">
        <f>'OR08-分公司理赔'!AU41</f>
        <v>4686780.7943000002</v>
      </c>
      <c r="N26" s="807">
        <f>'OR08-分公司理赔'!BA41</f>
        <v>4515682.6298999991</v>
      </c>
      <c r="O26" s="807">
        <f>'OR08-分公司理赔'!BG41</f>
        <v>1032870.8411</v>
      </c>
      <c r="P26" s="807">
        <f>'OR08-分公司理赔'!BM41</f>
        <v>2507569.6938999998</v>
      </c>
      <c r="Q26" s="807">
        <f>'OR08-分公司理赔'!BS41</f>
        <v>792263.59020000009</v>
      </c>
      <c r="R26" s="807">
        <f>'OR08-分公司理赔'!BY41</f>
        <v>359243.91480000003</v>
      </c>
      <c r="S26" s="809" t="s">
        <v>1860</v>
      </c>
      <c r="T26" s="809" t="s">
        <v>1861</v>
      </c>
      <c r="U26" s="809" t="s">
        <v>1862</v>
      </c>
    </row>
    <row r="27" spans="1:21" ht="16.5" outlineLevel="1">
      <c r="A27" s="1802"/>
      <c r="B27" s="859" t="s">
        <v>1864</v>
      </c>
      <c r="C27" s="817" t="s">
        <v>1859</v>
      </c>
      <c r="D27" s="806">
        <f>E27*G27+F27*H27</f>
        <v>77.239999999999995</v>
      </c>
      <c r="E27" s="806">
        <f>'OR12-财务管理'!P42</f>
        <v>72</v>
      </c>
      <c r="F27" s="806">
        <f>AVERAGE(I27:R27)</f>
        <v>85.1</v>
      </c>
      <c r="G27" s="808">
        <v>0.6</v>
      </c>
      <c r="H27" s="808">
        <v>0.4</v>
      </c>
      <c r="I27" s="807">
        <f>'OR13-分公司财务管理'!X57</f>
        <v>85</v>
      </c>
      <c r="J27" s="807">
        <f>'OR13-分公司财务管理'!AF57</f>
        <v>79.5</v>
      </c>
      <c r="K27" s="807">
        <f>'OR13-分公司财务管理'!AN57</f>
        <v>88</v>
      </c>
      <c r="L27" s="807">
        <f>'OR13-分公司财务管理'!AV57</f>
        <v>77</v>
      </c>
      <c r="M27" s="807">
        <f>'OR13-分公司财务管理'!BD57</f>
        <v>89</v>
      </c>
      <c r="N27" s="807">
        <f>'OR13-分公司财务管理'!BL57</f>
        <v>79.5</v>
      </c>
      <c r="O27" s="807">
        <f>'OR13-分公司财务管理'!BT57</f>
        <v>88</v>
      </c>
      <c r="P27" s="807">
        <f>'OR13-分公司财务管理'!CB57</f>
        <v>88</v>
      </c>
      <c r="Q27" s="807">
        <f>'OR13-分公司财务管理'!CJ57</f>
        <v>90</v>
      </c>
      <c r="R27" s="807">
        <f>'OR13-分公司财务管理'!CR57</f>
        <v>87</v>
      </c>
      <c r="S27" s="809" t="s">
        <v>1860</v>
      </c>
      <c r="T27" s="809" t="s">
        <v>1861</v>
      </c>
      <c r="U27" s="809" t="s">
        <v>1862</v>
      </c>
    </row>
    <row r="28" spans="1:21" ht="16.5" outlineLevel="1">
      <c r="A28" s="1802"/>
      <c r="B28" s="859" t="s">
        <v>1865</v>
      </c>
      <c r="C28" s="817" t="s">
        <v>1859</v>
      </c>
      <c r="D28" s="806">
        <f t="shared" ref="D28:D33" si="8">E28</f>
        <v>80</v>
      </c>
      <c r="E28" s="806">
        <f>'OR10-资金运用'!M63</f>
        <v>80</v>
      </c>
      <c r="F28" s="810"/>
      <c r="G28" s="808">
        <v>1</v>
      </c>
      <c r="H28" s="811" t="s">
        <v>1866</v>
      </c>
      <c r="I28" s="811"/>
      <c r="J28" s="811"/>
      <c r="K28" s="811"/>
      <c r="L28" s="811"/>
      <c r="M28" s="811"/>
      <c r="N28" s="811"/>
      <c r="O28" s="811"/>
      <c r="P28" s="811"/>
      <c r="Q28" s="811"/>
      <c r="R28" s="811"/>
      <c r="S28" s="809" t="s">
        <v>1860</v>
      </c>
      <c r="T28" s="809" t="s">
        <v>1861</v>
      </c>
      <c r="U28" s="809" t="s">
        <v>1862</v>
      </c>
    </row>
    <row r="29" spans="1:21" ht="44.25" customHeight="1" outlineLevel="1">
      <c r="A29" s="1802"/>
      <c r="B29" s="859" t="s">
        <v>1867</v>
      </c>
      <c r="C29" s="817" t="s">
        <v>1859</v>
      </c>
      <c r="D29" s="1345" t="str">
        <f>E29</f>
        <v>监管扣分不确定</v>
      </c>
      <c r="E29" s="1345" t="s">
        <v>2392</v>
      </c>
      <c r="F29" s="810"/>
      <c r="G29" s="808">
        <v>1</v>
      </c>
      <c r="H29" s="811" t="s">
        <v>1866</v>
      </c>
      <c r="I29" s="811"/>
      <c r="J29" s="811"/>
      <c r="K29" s="811"/>
      <c r="L29" s="811"/>
      <c r="M29" s="811"/>
      <c r="N29" s="811"/>
      <c r="O29" s="811"/>
      <c r="P29" s="811"/>
      <c r="Q29" s="811"/>
      <c r="R29" s="811"/>
      <c r="S29" s="809" t="s">
        <v>1860</v>
      </c>
      <c r="T29" s="809" t="s">
        <v>1861</v>
      </c>
      <c r="U29" s="809" t="s">
        <v>1862</v>
      </c>
    </row>
    <row r="30" spans="1:21" ht="16.5" outlineLevel="1">
      <c r="A30" s="1802"/>
      <c r="B30" s="859" t="s">
        <v>1868</v>
      </c>
      <c r="C30" s="817" t="s">
        <v>1859</v>
      </c>
      <c r="D30" s="806">
        <f>E30</f>
        <v>88</v>
      </c>
      <c r="E30" s="806">
        <f>公司治理!H81</f>
        <v>88</v>
      </c>
      <c r="F30" s="810"/>
      <c r="G30" s="808">
        <v>1</v>
      </c>
      <c r="H30" s="811" t="s">
        <v>1866</v>
      </c>
      <c r="I30" s="811"/>
      <c r="J30" s="811"/>
      <c r="K30" s="811"/>
      <c r="L30" s="811"/>
      <c r="M30" s="811"/>
      <c r="N30" s="811"/>
      <c r="O30" s="811"/>
      <c r="P30" s="811"/>
      <c r="Q30" s="811"/>
      <c r="R30" s="811"/>
      <c r="S30" s="809" t="s">
        <v>1860</v>
      </c>
      <c r="T30" s="809" t="s">
        <v>1861</v>
      </c>
      <c r="U30" s="809" t="s">
        <v>1862</v>
      </c>
    </row>
    <row r="31" spans="1:21" ht="16.5" outlineLevel="1">
      <c r="A31" s="1802"/>
      <c r="B31" s="859" t="s">
        <v>1869</v>
      </c>
      <c r="C31" s="817" t="s">
        <v>1859</v>
      </c>
      <c r="D31" s="806">
        <f t="shared" si="8"/>
        <v>70</v>
      </c>
      <c r="E31" s="806">
        <f>'OR15-准备金再保险'!M19</f>
        <v>70</v>
      </c>
      <c r="F31" s="810"/>
      <c r="G31" s="808">
        <v>1</v>
      </c>
      <c r="H31" s="811" t="s">
        <v>1866</v>
      </c>
      <c r="I31" s="811"/>
      <c r="J31" s="811"/>
      <c r="K31" s="811"/>
      <c r="L31" s="811"/>
      <c r="M31" s="811"/>
      <c r="N31" s="811"/>
      <c r="O31" s="811"/>
      <c r="P31" s="811"/>
      <c r="Q31" s="811"/>
      <c r="R31" s="811"/>
      <c r="S31" s="860" t="s">
        <v>1870</v>
      </c>
      <c r="T31" s="809" t="s">
        <v>1860</v>
      </c>
      <c r="U31" s="809" t="s">
        <v>1861</v>
      </c>
    </row>
    <row r="32" spans="1:21" ht="16.5" outlineLevel="1">
      <c r="A32" s="1802"/>
      <c r="B32" s="859" t="s">
        <v>1871</v>
      </c>
      <c r="C32" s="817" t="s">
        <v>1859</v>
      </c>
      <c r="D32" s="806">
        <f t="shared" si="8"/>
        <v>89.679999999999993</v>
      </c>
      <c r="E32" s="806">
        <f>信息系统!K137</f>
        <v>89.679999999999993</v>
      </c>
      <c r="F32" s="810"/>
      <c r="G32" s="808">
        <v>1</v>
      </c>
      <c r="H32" s="811" t="s">
        <v>1866</v>
      </c>
      <c r="I32" s="811"/>
      <c r="J32" s="811"/>
      <c r="K32" s="811"/>
      <c r="L32" s="811"/>
      <c r="M32" s="811"/>
      <c r="N32" s="811"/>
      <c r="O32" s="811"/>
      <c r="P32" s="811"/>
      <c r="Q32" s="811"/>
      <c r="R32" s="811"/>
      <c r="S32" s="809" t="s">
        <v>1860</v>
      </c>
      <c r="T32" s="809" t="s">
        <v>1861</v>
      </c>
      <c r="U32" s="809" t="s">
        <v>1862</v>
      </c>
    </row>
    <row r="33" spans="1:21" ht="16.5" outlineLevel="1">
      <c r="A33" s="1802"/>
      <c r="B33" s="859" t="s">
        <v>1872</v>
      </c>
      <c r="C33" s="817" t="s">
        <v>1859</v>
      </c>
      <c r="D33" s="806">
        <f t="shared" si="8"/>
        <v>76.5</v>
      </c>
      <c r="E33" s="806">
        <f>案件管理!J21</f>
        <v>76.5</v>
      </c>
      <c r="F33" s="810"/>
      <c r="G33" s="808">
        <v>1</v>
      </c>
      <c r="H33" s="811" t="s">
        <v>1866</v>
      </c>
      <c r="I33" s="811"/>
      <c r="J33" s="811"/>
      <c r="K33" s="811"/>
      <c r="L33" s="811"/>
      <c r="M33" s="811"/>
      <c r="N33" s="811"/>
      <c r="O33" s="811"/>
      <c r="P33" s="811"/>
      <c r="Q33" s="811"/>
      <c r="R33" s="811"/>
      <c r="S33" s="809" t="s">
        <v>1860</v>
      </c>
      <c r="T33" s="809" t="s">
        <v>1861</v>
      </c>
      <c r="U33" s="809" t="s">
        <v>1862</v>
      </c>
    </row>
    <row r="34" spans="1:21" ht="16.5" outlineLevel="1">
      <c r="A34" s="1803"/>
      <c r="B34" s="861" t="s">
        <v>1873</v>
      </c>
      <c r="C34" s="817" t="s">
        <v>1874</v>
      </c>
      <c r="D34" s="806">
        <f>(SUM(D25:D33)+D31)/9</f>
        <v>192184.96929063078</v>
      </c>
      <c r="E34" s="810"/>
      <c r="F34" s="810"/>
      <c r="G34" s="808">
        <v>1</v>
      </c>
      <c r="H34" s="811" t="s">
        <v>1866</v>
      </c>
      <c r="I34" s="811"/>
      <c r="J34" s="811"/>
      <c r="K34" s="811"/>
      <c r="L34" s="811"/>
      <c r="M34" s="811"/>
      <c r="N34" s="811"/>
      <c r="O34" s="811"/>
      <c r="P34" s="811"/>
      <c r="Q34" s="811"/>
      <c r="R34" s="811"/>
      <c r="S34" s="809" t="s">
        <v>1875</v>
      </c>
      <c r="T34" s="808">
        <v>0.5</v>
      </c>
      <c r="U34" s="808">
        <v>0.25</v>
      </c>
    </row>
    <row r="35" spans="1:21" ht="16.5" outlineLevel="1">
      <c r="A35" s="1797" t="s">
        <v>1923</v>
      </c>
      <c r="B35" s="1798"/>
      <c r="C35" s="817" t="s">
        <v>1874</v>
      </c>
      <c r="D35" s="806">
        <f>战略风险!G32</f>
        <v>92</v>
      </c>
      <c r="E35" s="810"/>
      <c r="F35" s="810"/>
      <c r="G35" s="808">
        <v>1</v>
      </c>
      <c r="H35" s="811" t="s">
        <v>1866</v>
      </c>
      <c r="I35" s="811"/>
      <c r="J35" s="811"/>
      <c r="K35" s="811"/>
      <c r="L35" s="811"/>
      <c r="M35" s="811"/>
      <c r="N35" s="811"/>
      <c r="O35" s="811"/>
      <c r="P35" s="811"/>
      <c r="Q35" s="811"/>
      <c r="R35" s="811"/>
      <c r="S35" s="808" t="s">
        <v>1866</v>
      </c>
      <c r="T35" s="808">
        <v>0.15</v>
      </c>
      <c r="U35" s="812">
        <v>7.4999999999999997E-2</v>
      </c>
    </row>
    <row r="36" spans="1:21" ht="16.5" outlineLevel="1">
      <c r="A36" s="1797" t="s">
        <v>1924</v>
      </c>
      <c r="B36" s="1798"/>
      <c r="C36" s="817" t="s">
        <v>1874</v>
      </c>
      <c r="D36" s="806">
        <f>'RR01-声誉风险'!L20</f>
        <v>90</v>
      </c>
      <c r="E36" s="810"/>
      <c r="F36" s="810"/>
      <c r="G36" s="808">
        <v>1</v>
      </c>
      <c r="H36" s="808" t="s">
        <v>1866</v>
      </c>
      <c r="I36" s="808"/>
      <c r="J36" s="808"/>
      <c r="K36" s="808"/>
      <c r="L36" s="808"/>
      <c r="M36" s="808"/>
      <c r="N36" s="808"/>
      <c r="O36" s="808"/>
      <c r="P36" s="808"/>
      <c r="Q36" s="808"/>
      <c r="R36" s="808"/>
      <c r="S36" s="808" t="s">
        <v>1866</v>
      </c>
      <c r="T36" s="808">
        <v>0.1</v>
      </c>
      <c r="U36" s="808">
        <v>0.05</v>
      </c>
    </row>
    <row r="37" spans="1:21" ht="16.5" outlineLevel="1">
      <c r="A37" s="1797" t="s">
        <v>1925</v>
      </c>
      <c r="B37" s="1798"/>
      <c r="C37" s="763" t="s">
        <v>1874</v>
      </c>
      <c r="D37" s="806">
        <f>流动性风险!G33</f>
        <v>88.888888888888886</v>
      </c>
      <c r="E37" s="810"/>
      <c r="F37" s="810"/>
      <c r="G37" s="808">
        <v>1</v>
      </c>
      <c r="H37" s="811" t="s">
        <v>1866</v>
      </c>
      <c r="I37" s="811"/>
      <c r="J37" s="811"/>
      <c r="K37" s="811"/>
      <c r="L37" s="811"/>
      <c r="M37" s="811"/>
      <c r="N37" s="811"/>
      <c r="O37" s="811"/>
      <c r="P37" s="811"/>
      <c r="Q37" s="811"/>
      <c r="R37" s="811"/>
      <c r="S37" s="808" t="s">
        <v>1866</v>
      </c>
      <c r="T37" s="808">
        <v>0.25</v>
      </c>
      <c r="U37" s="812">
        <v>0.125</v>
      </c>
    </row>
    <row r="38" spans="1:21" ht="16.5" outlineLevel="1">
      <c r="A38" s="1795" t="s">
        <v>1926</v>
      </c>
      <c r="B38" s="1795"/>
      <c r="C38" s="817" t="s">
        <v>1879</v>
      </c>
      <c r="D38" s="806">
        <f>D34*T34+D35*T35+D36*T36+D37*T37</f>
        <v>96137.50686753761</v>
      </c>
      <c r="E38" s="810"/>
      <c r="F38" s="810"/>
      <c r="G38" s="808">
        <v>1</v>
      </c>
      <c r="H38" s="811" t="s">
        <v>1866</v>
      </c>
      <c r="I38" s="811"/>
      <c r="J38" s="811"/>
      <c r="K38" s="811"/>
      <c r="L38" s="811"/>
      <c r="M38" s="811"/>
      <c r="N38" s="811"/>
      <c r="O38" s="811"/>
      <c r="P38" s="811"/>
      <c r="Q38" s="811"/>
      <c r="R38" s="811"/>
      <c r="S38" s="808" t="s">
        <v>1866</v>
      </c>
      <c r="T38" s="808">
        <v>1</v>
      </c>
      <c r="U38" s="808">
        <v>0.5</v>
      </c>
    </row>
    <row r="39" spans="1:21" ht="16.5" outlineLevel="1">
      <c r="A39" s="1799" t="s">
        <v>1927</v>
      </c>
      <c r="B39" s="1799"/>
      <c r="C39" s="817" t="s">
        <v>1879</v>
      </c>
      <c r="D39" s="806">
        <v>100</v>
      </c>
      <c r="E39" s="810"/>
      <c r="F39" s="810"/>
      <c r="G39" s="808">
        <v>1</v>
      </c>
      <c r="H39" s="811" t="s">
        <v>1866</v>
      </c>
      <c r="I39" s="811"/>
      <c r="J39" s="811"/>
      <c r="K39" s="811"/>
      <c r="L39" s="811"/>
      <c r="M39" s="811"/>
      <c r="N39" s="811"/>
      <c r="O39" s="811"/>
      <c r="P39" s="811"/>
      <c r="Q39" s="811"/>
      <c r="R39" s="811"/>
      <c r="S39" s="808" t="s">
        <v>1866</v>
      </c>
      <c r="T39" s="811" t="s">
        <v>1866</v>
      </c>
      <c r="U39" s="808">
        <v>0.5</v>
      </c>
    </row>
    <row r="40" spans="1:21" ht="16.5" outlineLevel="1">
      <c r="A40" s="1795" t="s">
        <v>1922</v>
      </c>
      <c r="B40" s="1795"/>
      <c r="C40" s="817" t="s">
        <v>1882</v>
      </c>
      <c r="D40" s="806">
        <f>D38*U38+D39*U39</f>
        <v>48118.753433768805</v>
      </c>
      <c r="E40" s="810"/>
      <c r="F40" s="810"/>
      <c r="G40" s="811" t="s">
        <v>1866</v>
      </c>
      <c r="H40" s="811" t="s">
        <v>1866</v>
      </c>
      <c r="I40" s="811"/>
      <c r="J40" s="811"/>
      <c r="K40" s="811"/>
      <c r="L40" s="811"/>
      <c r="M40" s="811"/>
      <c r="N40" s="811"/>
      <c r="O40" s="811"/>
      <c r="P40" s="811"/>
      <c r="Q40" s="811"/>
      <c r="R40" s="811"/>
      <c r="S40" s="808" t="s">
        <v>1866</v>
      </c>
      <c r="T40" s="811" t="s">
        <v>1866</v>
      </c>
      <c r="U40" s="808">
        <v>1</v>
      </c>
    </row>
    <row r="42" spans="1:21">
      <c r="A42" s="1801" t="s">
        <v>1930</v>
      </c>
      <c r="B42" s="1801"/>
      <c r="D42" s="954">
        <f>D60</f>
        <v>48118.233989324362</v>
      </c>
    </row>
    <row r="43" spans="1:21" ht="16.149999999999999" customHeight="1" outlineLevel="1">
      <c r="A43" s="1806" t="s">
        <v>1901</v>
      </c>
      <c r="B43" s="1806"/>
      <c r="C43" s="1804" t="s">
        <v>1902</v>
      </c>
      <c r="D43" s="1805" t="s">
        <v>1903</v>
      </c>
      <c r="E43" s="1804" t="s">
        <v>1904</v>
      </c>
      <c r="F43" s="1804" t="s">
        <v>1905</v>
      </c>
      <c r="G43" s="1800" t="s">
        <v>1906</v>
      </c>
      <c r="H43" s="1800"/>
      <c r="I43" s="857"/>
      <c r="J43" s="857"/>
      <c r="K43" s="857"/>
      <c r="L43" s="857"/>
      <c r="M43" s="857"/>
      <c r="N43" s="857"/>
      <c r="O43" s="857"/>
      <c r="P43" s="857"/>
      <c r="Q43" s="857"/>
      <c r="R43" s="857"/>
      <c r="S43" s="1800" t="s">
        <v>1907</v>
      </c>
      <c r="T43" s="1800" t="s">
        <v>1908</v>
      </c>
      <c r="U43" s="1800" t="s">
        <v>1909</v>
      </c>
    </row>
    <row r="44" spans="1:21" ht="15" customHeight="1" outlineLevel="1">
      <c r="A44" s="1807"/>
      <c r="B44" s="1807"/>
      <c r="C44" s="1804"/>
      <c r="D44" s="1800"/>
      <c r="E44" s="1804"/>
      <c r="F44" s="1804"/>
      <c r="G44" s="857" t="s">
        <v>1910</v>
      </c>
      <c r="H44" s="857" t="s">
        <v>1911</v>
      </c>
      <c r="I44" s="857" t="s">
        <v>1912</v>
      </c>
      <c r="J44" s="857" t="s">
        <v>1913</v>
      </c>
      <c r="K44" s="857" t="s">
        <v>1914</v>
      </c>
      <c r="L44" s="857" t="s">
        <v>1915</v>
      </c>
      <c r="M44" s="857" t="s">
        <v>1916</v>
      </c>
      <c r="N44" s="857" t="s">
        <v>1917</v>
      </c>
      <c r="O44" s="857" t="s">
        <v>1918</v>
      </c>
      <c r="P44" s="857" t="s">
        <v>1919</v>
      </c>
      <c r="Q44" s="857" t="s">
        <v>1920</v>
      </c>
      <c r="R44" s="857" t="s">
        <v>1921</v>
      </c>
      <c r="S44" s="1800"/>
      <c r="T44" s="1800"/>
      <c r="U44" s="1800"/>
    </row>
    <row r="45" spans="1:21" ht="16.5" outlineLevel="1">
      <c r="A45" s="1802" t="s">
        <v>1928</v>
      </c>
      <c r="B45" s="858" t="s">
        <v>1858</v>
      </c>
      <c r="C45" s="818" t="s">
        <v>1859</v>
      </c>
      <c r="D45" s="853">
        <f>E45*G45+F45*H45</f>
        <v>64.598820677548574</v>
      </c>
      <c r="E45" s="853">
        <f>'OR02-销售承保'!Y39</f>
        <v>43.778552325836287</v>
      </c>
      <c r="F45" s="853">
        <f>AVERAGE(I45:R45)</f>
        <v>73.521792828282415</v>
      </c>
      <c r="G45" s="855">
        <v>0.3</v>
      </c>
      <c r="H45" s="855">
        <v>0.7</v>
      </c>
      <c r="I45" s="854">
        <f>'OR04-分公司销售、承保、保全'!Y80</f>
        <v>77.400000000000006</v>
      </c>
      <c r="J45" s="854">
        <f>'OR04-分公司销售、承保、保全'!AG80</f>
        <v>73.948844884488452</v>
      </c>
      <c r="K45" s="854">
        <f>'OR04-分公司销售、承保、保全'!AN80</f>
        <v>76.483221476510067</v>
      </c>
      <c r="L45" s="854">
        <f>'OR04-分公司销售、承保、保全'!AV80</f>
        <v>70.836283185840699</v>
      </c>
      <c r="M45" s="854">
        <f>'OR04-分公司销售、承保、保全'!BD80</f>
        <v>75.763440860215056</v>
      </c>
      <c r="N45" s="854">
        <f>'OR04-分公司销售、承保、保全'!BL80</f>
        <v>71.006912442396313</v>
      </c>
      <c r="O45" s="854">
        <f>'OR04-分公司销售、承保、保全'!BT80</f>
        <v>70.95</v>
      </c>
      <c r="P45" s="854">
        <f>'OR04-分公司销售、承保、保全'!CB80</f>
        <v>71.592592592592595</v>
      </c>
      <c r="Q45" s="854">
        <f>'OR04-分公司销售、承保、保全'!CJ80</f>
        <v>72.313868613138681</v>
      </c>
      <c r="R45" s="854">
        <f>'OR04-分公司销售、承保、保全'!CR80</f>
        <v>74.922764227642276</v>
      </c>
      <c r="S45" s="856" t="s">
        <v>1860</v>
      </c>
      <c r="T45" s="856" t="s">
        <v>1861</v>
      </c>
      <c r="U45" s="856" t="s">
        <v>1862</v>
      </c>
    </row>
    <row r="46" spans="1:21" ht="16.5" outlineLevel="1">
      <c r="A46" s="1802"/>
      <c r="B46" s="859" t="s">
        <v>1863</v>
      </c>
      <c r="C46" s="817" t="s">
        <v>1859</v>
      </c>
      <c r="D46" s="806">
        <f>E46*G46+F46*H46</f>
        <v>1729032.8047949998</v>
      </c>
      <c r="E46" s="806">
        <f>'OR06-理赔保全'!O23</f>
        <v>37</v>
      </c>
      <c r="F46" s="806">
        <f>AVERAGE(I46:R46)</f>
        <v>2470031.0068499995</v>
      </c>
      <c r="G46" s="808">
        <v>0.3</v>
      </c>
      <c r="H46" s="808">
        <v>0.7</v>
      </c>
      <c r="I46" s="807">
        <f>'OR08-分公司理赔'!W45</f>
        <v>814743.99349999998</v>
      </c>
      <c r="J46" s="807">
        <f>'OR08-分公司理赔'!AC45</f>
        <v>3661999.341</v>
      </c>
      <c r="K46" s="807">
        <f>'OR08-分公司理赔'!AI45</f>
        <v>5506936.0968000004</v>
      </c>
      <c r="L46" s="807">
        <f>'OR08-分公司理赔'!AO45</f>
        <v>822279.17299999995</v>
      </c>
      <c r="M46" s="807">
        <f>'OR08-分公司理赔'!AU45</f>
        <v>4686770.7943000002</v>
      </c>
      <c r="N46" s="807">
        <f>'OR08-分公司理赔'!BA45</f>
        <v>4515672.6298999991</v>
      </c>
      <c r="O46" s="807">
        <f>'OR08-分公司理赔'!BG45</f>
        <v>1032860.8411</v>
      </c>
      <c r="P46" s="807">
        <f>'OR08-分公司理赔'!BM45</f>
        <v>2507559.6938999998</v>
      </c>
      <c r="Q46" s="807">
        <f>'OR08-分公司理赔'!BS45</f>
        <v>792253.59020000009</v>
      </c>
      <c r="R46" s="807">
        <f>'OR08-分公司理赔'!BY45</f>
        <v>359233.91480000003</v>
      </c>
      <c r="S46" s="809" t="s">
        <v>1860</v>
      </c>
      <c r="T46" s="809" t="s">
        <v>1861</v>
      </c>
      <c r="U46" s="809" t="s">
        <v>1862</v>
      </c>
    </row>
    <row r="47" spans="1:21" ht="16.5" outlineLevel="1">
      <c r="A47" s="1802"/>
      <c r="B47" s="859" t="s">
        <v>1864</v>
      </c>
      <c r="C47" s="817" t="s">
        <v>1859</v>
      </c>
      <c r="D47" s="806">
        <f>E47*G47+F47*H47</f>
        <v>74.44</v>
      </c>
      <c r="E47" s="806">
        <f>'OR12-财务管理'!P43</f>
        <v>72</v>
      </c>
      <c r="F47" s="806">
        <f>AVERAGE(I47:R47)</f>
        <v>78.099999999999994</v>
      </c>
      <c r="G47" s="808">
        <v>0.6</v>
      </c>
      <c r="H47" s="808">
        <v>0.4</v>
      </c>
      <c r="I47" s="807">
        <f>'OR13-分公司财务管理'!X61</f>
        <v>75</v>
      </c>
      <c r="J47" s="807">
        <f>'OR13-分公司财务管理'!AF61</f>
        <v>79.5</v>
      </c>
      <c r="K47" s="807">
        <f>'OR13-分公司财务管理'!AN61</f>
        <v>78</v>
      </c>
      <c r="L47" s="807">
        <f>'OR13-分公司财务管理'!AV61</f>
        <v>77</v>
      </c>
      <c r="M47" s="807">
        <f>'OR13-分公司财务管理'!BD61</f>
        <v>79</v>
      </c>
      <c r="N47" s="807">
        <f>'OR13-分公司财务管理'!BL61</f>
        <v>79.5</v>
      </c>
      <c r="O47" s="807">
        <f>'OR13-分公司财务管理'!BT61</f>
        <v>78</v>
      </c>
      <c r="P47" s="807">
        <f>'OR13-分公司财务管理'!CB61</f>
        <v>78</v>
      </c>
      <c r="Q47" s="807">
        <f>'OR13-分公司财务管理'!CJ61</f>
        <v>80</v>
      </c>
      <c r="R47" s="807">
        <f>'OR13-分公司财务管理'!CR61</f>
        <v>77</v>
      </c>
      <c r="S47" s="809" t="s">
        <v>1860</v>
      </c>
      <c r="T47" s="809" t="s">
        <v>1861</v>
      </c>
      <c r="U47" s="809" t="s">
        <v>1862</v>
      </c>
    </row>
    <row r="48" spans="1:21" ht="16.5" outlineLevel="1">
      <c r="A48" s="1802"/>
      <c r="B48" s="859" t="s">
        <v>1865</v>
      </c>
      <c r="C48" s="817" t="s">
        <v>1859</v>
      </c>
      <c r="D48" s="806">
        <f t="shared" ref="D48:D53" si="9">E48</f>
        <v>80</v>
      </c>
      <c r="E48" s="806">
        <f>'OR10-资金运用'!M64</f>
        <v>80</v>
      </c>
      <c r="F48" s="810"/>
      <c r="G48" s="808">
        <v>1</v>
      </c>
      <c r="H48" s="811" t="s">
        <v>1866</v>
      </c>
      <c r="I48" s="811"/>
      <c r="J48" s="811"/>
      <c r="K48" s="811"/>
      <c r="L48" s="811"/>
      <c r="M48" s="811"/>
      <c r="N48" s="811"/>
      <c r="O48" s="811"/>
      <c r="P48" s="811"/>
      <c r="Q48" s="811"/>
      <c r="R48" s="811"/>
      <c r="S48" s="809" t="s">
        <v>1860</v>
      </c>
      <c r="T48" s="809" t="s">
        <v>1861</v>
      </c>
      <c r="U48" s="809" t="s">
        <v>1862</v>
      </c>
    </row>
    <row r="49" spans="1:21" ht="33.75" customHeight="1" outlineLevel="1">
      <c r="A49" s="1802"/>
      <c r="B49" s="859" t="s">
        <v>1867</v>
      </c>
      <c r="C49" s="817" t="s">
        <v>1859</v>
      </c>
      <c r="D49" s="1345" t="str">
        <f t="shared" si="9"/>
        <v>监管扣分不确定</v>
      </c>
      <c r="E49" s="1345" t="s">
        <v>2392</v>
      </c>
      <c r="F49" s="810"/>
      <c r="G49" s="808">
        <v>1</v>
      </c>
      <c r="H49" s="811" t="s">
        <v>1866</v>
      </c>
      <c r="I49" s="811"/>
      <c r="J49" s="811"/>
      <c r="K49" s="811"/>
      <c r="L49" s="811"/>
      <c r="M49" s="811"/>
      <c r="N49" s="811"/>
      <c r="O49" s="811"/>
      <c r="P49" s="811"/>
      <c r="Q49" s="811"/>
      <c r="R49" s="811"/>
      <c r="S49" s="809" t="s">
        <v>1860</v>
      </c>
      <c r="T49" s="809" t="s">
        <v>1861</v>
      </c>
      <c r="U49" s="809" t="s">
        <v>1862</v>
      </c>
    </row>
    <row r="50" spans="1:21" ht="16.5" outlineLevel="1">
      <c r="A50" s="1802"/>
      <c r="B50" s="859" t="s">
        <v>1868</v>
      </c>
      <c r="C50" s="817" t="s">
        <v>1859</v>
      </c>
      <c r="D50" s="806">
        <f>E50</f>
        <v>88</v>
      </c>
      <c r="E50" s="806">
        <f>公司治理!H81</f>
        <v>88</v>
      </c>
      <c r="F50" s="810"/>
      <c r="G50" s="808">
        <v>1</v>
      </c>
      <c r="H50" s="811" t="s">
        <v>1866</v>
      </c>
      <c r="I50" s="811"/>
      <c r="J50" s="811"/>
      <c r="K50" s="811"/>
      <c r="L50" s="811"/>
      <c r="M50" s="811"/>
      <c r="N50" s="811"/>
      <c r="O50" s="811"/>
      <c r="P50" s="811"/>
      <c r="Q50" s="811"/>
      <c r="R50" s="811"/>
      <c r="S50" s="809" t="s">
        <v>1860</v>
      </c>
      <c r="T50" s="809" t="s">
        <v>1861</v>
      </c>
      <c r="U50" s="809" t="s">
        <v>1862</v>
      </c>
    </row>
    <row r="51" spans="1:21" ht="16.5" outlineLevel="1">
      <c r="A51" s="1802"/>
      <c r="B51" s="859" t="s">
        <v>1869</v>
      </c>
      <c r="C51" s="817" t="s">
        <v>1859</v>
      </c>
      <c r="D51" s="806">
        <f t="shared" si="9"/>
        <v>70</v>
      </c>
      <c r="E51" s="806">
        <f>'OR15-准备金再保险'!M20</f>
        <v>70</v>
      </c>
      <c r="F51" s="810"/>
      <c r="G51" s="808">
        <v>1</v>
      </c>
      <c r="H51" s="811" t="s">
        <v>1866</v>
      </c>
      <c r="I51" s="811"/>
      <c r="J51" s="811"/>
      <c r="K51" s="811"/>
      <c r="L51" s="811"/>
      <c r="M51" s="811"/>
      <c r="N51" s="811"/>
      <c r="O51" s="811"/>
      <c r="P51" s="811"/>
      <c r="Q51" s="811"/>
      <c r="R51" s="811"/>
      <c r="S51" s="860" t="s">
        <v>1870</v>
      </c>
      <c r="T51" s="809" t="s">
        <v>1860</v>
      </c>
      <c r="U51" s="809" t="s">
        <v>1861</v>
      </c>
    </row>
    <row r="52" spans="1:21" ht="16.5" outlineLevel="1">
      <c r="A52" s="1802"/>
      <c r="B52" s="859" t="s">
        <v>1871</v>
      </c>
      <c r="C52" s="817" t="s">
        <v>1859</v>
      </c>
      <c r="D52" s="806">
        <f t="shared" si="9"/>
        <v>89.679999999999993</v>
      </c>
      <c r="E52" s="806">
        <f>信息系统!K137</f>
        <v>89.679999999999993</v>
      </c>
      <c r="F52" s="810"/>
      <c r="G52" s="808">
        <v>1</v>
      </c>
      <c r="H52" s="811" t="s">
        <v>1866</v>
      </c>
      <c r="I52" s="811"/>
      <c r="J52" s="811"/>
      <c r="K52" s="811"/>
      <c r="L52" s="811"/>
      <c r="M52" s="811"/>
      <c r="N52" s="811"/>
      <c r="O52" s="811"/>
      <c r="P52" s="811"/>
      <c r="Q52" s="811"/>
      <c r="R52" s="811"/>
      <c r="S52" s="809" t="s">
        <v>1860</v>
      </c>
      <c r="T52" s="809" t="s">
        <v>1861</v>
      </c>
      <c r="U52" s="809" t="s">
        <v>1862</v>
      </c>
    </row>
    <row r="53" spans="1:21" ht="16.5" outlineLevel="1">
      <c r="A53" s="1802"/>
      <c r="B53" s="859" t="s">
        <v>1872</v>
      </c>
      <c r="C53" s="817" t="s">
        <v>1859</v>
      </c>
      <c r="D53" s="806">
        <f t="shared" si="9"/>
        <v>76.5</v>
      </c>
      <c r="E53" s="806">
        <f>案件管理!J24</f>
        <v>76.5</v>
      </c>
      <c r="F53" s="810"/>
      <c r="G53" s="808">
        <v>1</v>
      </c>
      <c r="H53" s="811" t="s">
        <v>1866</v>
      </c>
      <c r="I53" s="811"/>
      <c r="J53" s="811"/>
      <c r="K53" s="811"/>
      <c r="L53" s="811"/>
      <c r="M53" s="811"/>
      <c r="N53" s="811"/>
      <c r="O53" s="811"/>
      <c r="P53" s="811"/>
      <c r="Q53" s="811"/>
      <c r="R53" s="811"/>
      <c r="S53" s="809" t="s">
        <v>1860</v>
      </c>
      <c r="T53" s="809" t="s">
        <v>1861</v>
      </c>
      <c r="U53" s="809" t="s">
        <v>1862</v>
      </c>
    </row>
    <row r="54" spans="1:21" ht="16.5" outlineLevel="1">
      <c r="A54" s="1803"/>
      <c r="B54" s="861" t="s">
        <v>1873</v>
      </c>
      <c r="C54" s="817" t="s">
        <v>1874</v>
      </c>
      <c r="D54" s="806">
        <f>(SUM(D45:D53)+D51)/9</f>
        <v>192182.89151285301</v>
      </c>
      <c r="E54" s="810"/>
      <c r="F54" s="810"/>
      <c r="G54" s="808">
        <v>1</v>
      </c>
      <c r="H54" s="811" t="s">
        <v>1866</v>
      </c>
      <c r="I54" s="811"/>
      <c r="J54" s="811"/>
      <c r="K54" s="811"/>
      <c r="L54" s="811"/>
      <c r="M54" s="811"/>
      <c r="N54" s="811"/>
      <c r="O54" s="811"/>
      <c r="P54" s="811"/>
      <c r="Q54" s="811"/>
      <c r="R54" s="811"/>
      <c r="S54" s="809" t="s">
        <v>1875</v>
      </c>
      <c r="T54" s="808">
        <v>0.5</v>
      </c>
      <c r="U54" s="808">
        <v>0.25</v>
      </c>
    </row>
    <row r="55" spans="1:21" ht="16.5" outlineLevel="1">
      <c r="A55" s="1797" t="s">
        <v>1923</v>
      </c>
      <c r="B55" s="1798"/>
      <c r="C55" s="817" t="s">
        <v>1874</v>
      </c>
      <c r="D55" s="806">
        <f>战略风险!G35</f>
        <v>92</v>
      </c>
      <c r="E55" s="810"/>
      <c r="F55" s="810"/>
      <c r="G55" s="808">
        <v>1</v>
      </c>
      <c r="H55" s="811" t="s">
        <v>1866</v>
      </c>
      <c r="I55" s="811"/>
      <c r="J55" s="811"/>
      <c r="K55" s="811"/>
      <c r="L55" s="811"/>
      <c r="M55" s="811"/>
      <c r="N55" s="811"/>
      <c r="O55" s="811"/>
      <c r="P55" s="811"/>
      <c r="Q55" s="811"/>
      <c r="R55" s="811"/>
      <c r="S55" s="808" t="s">
        <v>1866</v>
      </c>
      <c r="T55" s="808">
        <v>0.15</v>
      </c>
      <c r="U55" s="812">
        <v>7.4999999999999997E-2</v>
      </c>
    </row>
    <row r="56" spans="1:21" ht="16.5" outlineLevel="1">
      <c r="A56" s="1797" t="s">
        <v>1924</v>
      </c>
      <c r="B56" s="1798"/>
      <c r="C56" s="817" t="s">
        <v>1874</v>
      </c>
      <c r="D56" s="806">
        <f>'RR01-声誉风险'!L21</f>
        <v>90</v>
      </c>
      <c r="E56" s="810"/>
      <c r="F56" s="810"/>
      <c r="G56" s="808">
        <v>1</v>
      </c>
      <c r="H56" s="808" t="s">
        <v>1866</v>
      </c>
      <c r="I56" s="808"/>
      <c r="J56" s="808"/>
      <c r="K56" s="808"/>
      <c r="L56" s="808"/>
      <c r="M56" s="808"/>
      <c r="N56" s="808"/>
      <c r="O56" s="808"/>
      <c r="P56" s="808"/>
      <c r="Q56" s="808"/>
      <c r="R56" s="808"/>
      <c r="S56" s="808" t="s">
        <v>1866</v>
      </c>
      <c r="T56" s="808">
        <v>0.1</v>
      </c>
      <c r="U56" s="808">
        <v>0.05</v>
      </c>
    </row>
    <row r="57" spans="1:21" ht="16.5" outlineLevel="1">
      <c r="A57" s="1797" t="s">
        <v>1925</v>
      </c>
      <c r="B57" s="1798"/>
      <c r="C57" s="763" t="s">
        <v>1874</v>
      </c>
      <c r="D57" s="806">
        <f>D37</f>
        <v>88.888888888888886</v>
      </c>
      <c r="E57" s="810"/>
      <c r="F57" s="810"/>
      <c r="G57" s="808">
        <v>1</v>
      </c>
      <c r="H57" s="811" t="s">
        <v>1866</v>
      </c>
      <c r="I57" s="811"/>
      <c r="J57" s="811"/>
      <c r="K57" s="811"/>
      <c r="L57" s="811"/>
      <c r="M57" s="811"/>
      <c r="N57" s="811"/>
      <c r="O57" s="811"/>
      <c r="P57" s="811"/>
      <c r="Q57" s="811"/>
      <c r="R57" s="811"/>
      <c r="S57" s="808" t="s">
        <v>1866</v>
      </c>
      <c r="T57" s="808">
        <v>0.25</v>
      </c>
      <c r="U57" s="812">
        <v>0.125</v>
      </c>
    </row>
    <row r="58" spans="1:21" ht="16.5" outlineLevel="1">
      <c r="A58" s="1795" t="s">
        <v>1926</v>
      </c>
      <c r="B58" s="1795"/>
      <c r="C58" s="817" t="s">
        <v>1879</v>
      </c>
      <c r="D58" s="806">
        <f>D54*T54+D55*T55+D56*T56+D57*T57</f>
        <v>96136.467978648725</v>
      </c>
      <c r="E58" s="810"/>
      <c r="F58" s="810"/>
      <c r="G58" s="808">
        <v>1</v>
      </c>
      <c r="H58" s="811" t="s">
        <v>1866</v>
      </c>
      <c r="I58" s="811"/>
      <c r="J58" s="811"/>
      <c r="K58" s="811"/>
      <c r="L58" s="811"/>
      <c r="M58" s="811"/>
      <c r="N58" s="811"/>
      <c r="O58" s="811"/>
      <c r="P58" s="811"/>
      <c r="Q58" s="811"/>
      <c r="R58" s="811"/>
      <c r="S58" s="808" t="s">
        <v>1866</v>
      </c>
      <c r="T58" s="808">
        <v>1</v>
      </c>
      <c r="U58" s="808">
        <v>0.5</v>
      </c>
    </row>
    <row r="59" spans="1:21" ht="16.5" outlineLevel="1">
      <c r="A59" s="1799" t="s">
        <v>1927</v>
      </c>
      <c r="B59" s="1799"/>
      <c r="C59" s="817" t="s">
        <v>1879</v>
      </c>
      <c r="D59" s="806">
        <v>100</v>
      </c>
      <c r="E59" s="810"/>
      <c r="F59" s="810"/>
      <c r="G59" s="808">
        <v>1</v>
      </c>
      <c r="H59" s="811" t="s">
        <v>1866</v>
      </c>
      <c r="I59" s="811"/>
      <c r="J59" s="811"/>
      <c r="K59" s="811"/>
      <c r="L59" s="811"/>
      <c r="M59" s="811"/>
      <c r="N59" s="811"/>
      <c r="O59" s="811"/>
      <c r="P59" s="811"/>
      <c r="Q59" s="811"/>
      <c r="R59" s="811"/>
      <c r="S59" s="808" t="s">
        <v>1866</v>
      </c>
      <c r="T59" s="811" t="s">
        <v>1866</v>
      </c>
      <c r="U59" s="808">
        <v>0.5</v>
      </c>
    </row>
    <row r="60" spans="1:21" ht="16.5" outlineLevel="1">
      <c r="A60" s="1795" t="s">
        <v>1922</v>
      </c>
      <c r="B60" s="1795"/>
      <c r="C60" s="817" t="s">
        <v>1882</v>
      </c>
      <c r="D60" s="806">
        <f>D58*U58+D59*U59</f>
        <v>48118.233989324362</v>
      </c>
      <c r="E60" s="810"/>
      <c r="F60" s="810"/>
      <c r="G60" s="811" t="s">
        <v>1866</v>
      </c>
      <c r="H60" s="811" t="s">
        <v>1866</v>
      </c>
      <c r="I60" s="811"/>
      <c r="J60" s="811"/>
      <c r="K60" s="811"/>
      <c r="L60" s="811"/>
      <c r="M60" s="811"/>
      <c r="N60" s="811"/>
      <c r="O60" s="811"/>
      <c r="P60" s="811"/>
      <c r="Q60" s="811"/>
      <c r="R60" s="811"/>
      <c r="S60" s="808" t="s">
        <v>1866</v>
      </c>
      <c r="T60" s="811" t="s">
        <v>1866</v>
      </c>
      <c r="U60" s="808">
        <v>1</v>
      </c>
    </row>
    <row r="62" spans="1:21">
      <c r="A62" s="1801" t="s">
        <v>1931</v>
      </c>
      <c r="B62" s="1801"/>
      <c r="D62" s="954">
        <f>D80</f>
        <v>0.51944444444444438</v>
      </c>
    </row>
    <row r="63" spans="1:21" ht="16.149999999999999" customHeight="1" outlineLevel="1">
      <c r="A63" s="1806" t="s">
        <v>1901</v>
      </c>
      <c r="B63" s="1806"/>
      <c r="C63" s="1804" t="s">
        <v>1902</v>
      </c>
      <c r="D63" s="1805" t="s">
        <v>1903</v>
      </c>
      <c r="E63" s="1804" t="s">
        <v>1904</v>
      </c>
      <c r="F63" s="1804" t="s">
        <v>1905</v>
      </c>
      <c r="G63" s="1800" t="s">
        <v>1906</v>
      </c>
      <c r="H63" s="1800"/>
      <c r="I63" s="857"/>
      <c r="J63" s="857"/>
      <c r="K63" s="857"/>
      <c r="L63" s="857"/>
      <c r="M63" s="857"/>
      <c r="N63" s="857"/>
      <c r="O63" s="857"/>
      <c r="P63" s="857"/>
      <c r="Q63" s="857"/>
      <c r="R63" s="857"/>
      <c r="S63" s="1800" t="s">
        <v>1907</v>
      </c>
      <c r="T63" s="1800" t="s">
        <v>1908</v>
      </c>
      <c r="U63" s="1800" t="s">
        <v>1909</v>
      </c>
    </row>
    <row r="64" spans="1:21" ht="15" customHeight="1" outlineLevel="1">
      <c r="A64" s="1807"/>
      <c r="B64" s="1807"/>
      <c r="C64" s="1804"/>
      <c r="D64" s="1800"/>
      <c r="E64" s="1804"/>
      <c r="F64" s="1804"/>
      <c r="G64" s="857" t="s">
        <v>1910</v>
      </c>
      <c r="H64" s="857" t="s">
        <v>1911</v>
      </c>
      <c r="I64" s="857" t="s">
        <v>1912</v>
      </c>
      <c r="J64" s="857" t="s">
        <v>1913</v>
      </c>
      <c r="K64" s="857" t="s">
        <v>1914</v>
      </c>
      <c r="L64" s="857" t="s">
        <v>1915</v>
      </c>
      <c r="M64" s="857" t="s">
        <v>1916</v>
      </c>
      <c r="N64" s="857" t="s">
        <v>1917</v>
      </c>
      <c r="O64" s="857" t="s">
        <v>1918</v>
      </c>
      <c r="P64" s="857" t="s">
        <v>1919</v>
      </c>
      <c r="Q64" s="857" t="s">
        <v>1920</v>
      </c>
      <c r="R64" s="857" t="s">
        <v>1921</v>
      </c>
      <c r="S64" s="1800"/>
      <c r="T64" s="1800"/>
      <c r="U64" s="1800"/>
    </row>
    <row r="65" spans="1:21" ht="16.5" outlineLevel="1">
      <c r="A65" s="1802" t="s">
        <v>1857</v>
      </c>
      <c r="B65" s="858" t="s">
        <v>1858</v>
      </c>
      <c r="C65" s="818" t="s">
        <v>1859</v>
      </c>
      <c r="D65" s="853">
        <f>E65*G65+F65*H65</f>
        <v>5.6</v>
      </c>
      <c r="E65" s="853">
        <f>'OR02-销售承保'!Y42</f>
        <v>14</v>
      </c>
      <c r="F65" s="853">
        <f>AVERAGE(I65:R65)</f>
        <v>2</v>
      </c>
      <c r="G65" s="855">
        <v>0.3</v>
      </c>
      <c r="H65" s="855">
        <v>0.7</v>
      </c>
      <c r="I65" s="854">
        <f>'OR04-分公司销售、承保、保全'!Y81</f>
        <v>0</v>
      </c>
      <c r="J65" s="854">
        <f>'OR04-分公司销售、承保、保全'!AG81</f>
        <v>0</v>
      </c>
      <c r="K65" s="854">
        <f>'OR04-分公司销售、承保、保全'!AN81</f>
        <v>0</v>
      </c>
      <c r="L65" s="854">
        <f>'OR04-分公司销售、承保、保全'!AV81</f>
        <v>0</v>
      </c>
      <c r="M65" s="854">
        <f>'OR04-分公司销售、承保、保全'!BD81</f>
        <v>0</v>
      </c>
      <c r="N65" s="854">
        <f>'OR04-分公司销售、承保、保全'!BL81</f>
        <v>0</v>
      </c>
      <c r="O65" s="854">
        <f>'OR04-分公司销售、承保、保全'!BT81</f>
        <v>10</v>
      </c>
      <c r="P65" s="854">
        <f>'OR04-分公司销售、承保、保全'!CB81</f>
        <v>0</v>
      </c>
      <c r="Q65" s="854">
        <f>'OR04-分公司销售、承保、保全'!CJ81</f>
        <v>10</v>
      </c>
      <c r="R65" s="854">
        <f>'OR04-分公司销售、承保、保全'!CR81</f>
        <v>0</v>
      </c>
      <c r="S65" s="856" t="s">
        <v>1860</v>
      </c>
      <c r="T65" s="856" t="s">
        <v>1861</v>
      </c>
      <c r="U65" s="856" t="s">
        <v>1862</v>
      </c>
    </row>
    <row r="66" spans="1:21" ht="16.5" outlineLevel="1">
      <c r="A66" s="1802"/>
      <c r="B66" s="859" t="s">
        <v>1863</v>
      </c>
      <c r="C66" s="817" t="s">
        <v>1859</v>
      </c>
      <c r="D66" s="806">
        <f>E66*G66+F66*H66</f>
        <v>10.3</v>
      </c>
      <c r="E66" s="806">
        <f>'OR06-理赔保全'!O26</f>
        <v>11</v>
      </c>
      <c r="F66" s="806">
        <f>AVERAGE(I66:R66)</f>
        <v>10</v>
      </c>
      <c r="G66" s="808">
        <v>0.3</v>
      </c>
      <c r="H66" s="808">
        <v>0.7</v>
      </c>
      <c r="I66" s="807">
        <f>'OR08-分公司理赔'!W46</f>
        <v>10</v>
      </c>
      <c r="J66" s="807">
        <f>'OR08-分公司理赔'!AC46</f>
        <v>10</v>
      </c>
      <c r="K66" s="807">
        <f>'OR08-分公司理赔'!AI46</f>
        <v>10</v>
      </c>
      <c r="L66" s="807">
        <f>'OR08-分公司理赔'!AO46</f>
        <v>10</v>
      </c>
      <c r="M66" s="807">
        <f>'OR08-分公司理赔'!AU46</f>
        <v>10</v>
      </c>
      <c r="N66" s="807">
        <f>'OR08-分公司理赔'!BA46</f>
        <v>10</v>
      </c>
      <c r="O66" s="807">
        <f>'OR08-分公司理赔'!BG46</f>
        <v>10</v>
      </c>
      <c r="P66" s="807">
        <f>'OR08-分公司理赔'!BM46</f>
        <v>10</v>
      </c>
      <c r="Q66" s="807">
        <f>'OR08-分公司理赔'!BM46</f>
        <v>10</v>
      </c>
      <c r="R66" s="807">
        <f>'OR08-分公司理赔'!BY46</f>
        <v>10</v>
      </c>
      <c r="S66" s="809" t="s">
        <v>1860</v>
      </c>
      <c r="T66" s="809" t="s">
        <v>1861</v>
      </c>
      <c r="U66" s="809" t="s">
        <v>1862</v>
      </c>
    </row>
    <row r="67" spans="1:21" ht="16.5" outlineLevel="1">
      <c r="A67" s="1802"/>
      <c r="B67" s="859" t="s">
        <v>1864</v>
      </c>
      <c r="C67" s="817" t="s">
        <v>1859</v>
      </c>
      <c r="D67" s="806">
        <f>E67*G67+F67*H67</f>
        <v>2.8000000000000003</v>
      </c>
      <c r="E67" s="806">
        <f>'OR12-财务管理'!P45</f>
        <v>0</v>
      </c>
      <c r="F67" s="806">
        <f>AVERAGE(I67:R67)</f>
        <v>7</v>
      </c>
      <c r="G67" s="808">
        <v>0.6</v>
      </c>
      <c r="H67" s="808">
        <v>0.4</v>
      </c>
      <c r="I67" s="807">
        <f>'OR13-分公司财务管理'!X62</f>
        <v>10</v>
      </c>
      <c r="J67" s="807">
        <f>'OR13-分公司财务管理'!AF62</f>
        <v>0</v>
      </c>
      <c r="K67" s="807">
        <f>'OR13-分公司财务管理'!AN62</f>
        <v>10</v>
      </c>
      <c r="L67" s="807">
        <f>'OR13-分公司财务管理'!AV62</f>
        <v>0</v>
      </c>
      <c r="M67" s="807">
        <f>'OR13-分公司财务管理'!BD62</f>
        <v>10</v>
      </c>
      <c r="N67" s="807">
        <f>'OR13-分公司财务管理'!BL62</f>
        <v>0</v>
      </c>
      <c r="O67" s="807">
        <f>'OR13-分公司财务管理'!BT62</f>
        <v>10</v>
      </c>
      <c r="P67" s="807">
        <f>'OR13-分公司财务管理'!CB62</f>
        <v>10</v>
      </c>
      <c r="Q67" s="807">
        <f>'OR13-分公司财务管理'!CJ62</f>
        <v>10</v>
      </c>
      <c r="R67" s="807">
        <f>'OR13-分公司财务管理'!CR62</f>
        <v>10</v>
      </c>
      <c r="S67" s="809" t="s">
        <v>1860</v>
      </c>
      <c r="T67" s="809" t="s">
        <v>1861</v>
      </c>
      <c r="U67" s="809" t="s">
        <v>1862</v>
      </c>
    </row>
    <row r="68" spans="1:21" ht="16.5" outlineLevel="1">
      <c r="A68" s="1802"/>
      <c r="B68" s="859" t="s">
        <v>1865</v>
      </c>
      <c r="C68" s="817" t="s">
        <v>1859</v>
      </c>
      <c r="D68" s="806">
        <f t="shared" ref="D68:D73" si="10">E68</f>
        <v>0</v>
      </c>
      <c r="E68" s="810"/>
      <c r="F68" s="810"/>
      <c r="G68" s="808">
        <v>1</v>
      </c>
      <c r="H68" s="811" t="s">
        <v>1866</v>
      </c>
      <c r="I68" s="811"/>
      <c r="J68" s="811"/>
      <c r="K68" s="811"/>
      <c r="L68" s="811"/>
      <c r="M68" s="811"/>
      <c r="N68" s="811"/>
      <c r="O68" s="811"/>
      <c r="P68" s="811"/>
      <c r="Q68" s="811"/>
      <c r="R68" s="811"/>
      <c r="S68" s="809" t="s">
        <v>1860</v>
      </c>
      <c r="T68" s="809" t="s">
        <v>1861</v>
      </c>
      <c r="U68" s="809" t="s">
        <v>1862</v>
      </c>
    </row>
    <row r="69" spans="1:21" ht="41.25" customHeight="1" outlineLevel="1">
      <c r="A69" s="1802"/>
      <c r="B69" s="859" t="s">
        <v>1867</v>
      </c>
      <c r="C69" s="817" t="s">
        <v>1859</v>
      </c>
      <c r="D69" s="1345" t="str">
        <f t="shared" si="10"/>
        <v>监管扣分不确定</v>
      </c>
      <c r="E69" s="1345" t="s">
        <v>2392</v>
      </c>
      <c r="F69" s="810"/>
      <c r="G69" s="808">
        <v>1</v>
      </c>
      <c r="H69" s="811" t="s">
        <v>1866</v>
      </c>
      <c r="I69" s="811"/>
      <c r="J69" s="811"/>
      <c r="K69" s="811"/>
      <c r="L69" s="811"/>
      <c r="M69" s="811"/>
      <c r="N69" s="811"/>
      <c r="O69" s="811"/>
      <c r="P69" s="811"/>
      <c r="Q69" s="811"/>
      <c r="R69" s="811"/>
      <c r="S69" s="809" t="s">
        <v>1860</v>
      </c>
      <c r="T69" s="809" t="s">
        <v>1861</v>
      </c>
      <c r="U69" s="809" t="s">
        <v>1862</v>
      </c>
    </row>
    <row r="70" spans="1:21" ht="16.5" outlineLevel="1">
      <c r="A70" s="1802"/>
      <c r="B70" s="859" t="s">
        <v>1868</v>
      </c>
      <c r="C70" s="817" t="s">
        <v>1859</v>
      </c>
      <c r="D70" s="806">
        <f t="shared" si="10"/>
        <v>0</v>
      </c>
      <c r="E70" s="810"/>
      <c r="F70" s="810"/>
      <c r="G70" s="808">
        <v>1</v>
      </c>
      <c r="H70" s="811" t="s">
        <v>1866</v>
      </c>
      <c r="I70" s="811"/>
      <c r="J70" s="811"/>
      <c r="K70" s="811"/>
      <c r="L70" s="811"/>
      <c r="M70" s="811"/>
      <c r="N70" s="811"/>
      <c r="O70" s="811"/>
      <c r="P70" s="811"/>
      <c r="Q70" s="811"/>
      <c r="R70" s="811"/>
      <c r="S70" s="809" t="s">
        <v>1860</v>
      </c>
      <c r="T70" s="809" t="s">
        <v>1861</v>
      </c>
      <c r="U70" s="809" t="s">
        <v>1862</v>
      </c>
    </row>
    <row r="71" spans="1:21" ht="16.5" outlineLevel="1">
      <c r="A71" s="1802"/>
      <c r="B71" s="859" t="s">
        <v>1869</v>
      </c>
      <c r="C71" s="817" t="s">
        <v>1859</v>
      </c>
      <c r="D71" s="806">
        <f t="shared" si="10"/>
        <v>0</v>
      </c>
      <c r="E71" s="806">
        <f>'OR15-准备金再保险'!M22</f>
        <v>0</v>
      </c>
      <c r="F71" s="810"/>
      <c r="G71" s="808">
        <v>1</v>
      </c>
      <c r="H71" s="811" t="s">
        <v>1866</v>
      </c>
      <c r="I71" s="811"/>
      <c r="J71" s="811"/>
      <c r="K71" s="811"/>
      <c r="L71" s="811"/>
      <c r="M71" s="811"/>
      <c r="N71" s="811"/>
      <c r="O71" s="811"/>
      <c r="P71" s="811"/>
      <c r="Q71" s="811"/>
      <c r="R71" s="811"/>
      <c r="S71" s="860" t="s">
        <v>1870</v>
      </c>
      <c r="T71" s="809" t="s">
        <v>1860</v>
      </c>
      <c r="U71" s="809" t="s">
        <v>1861</v>
      </c>
    </row>
    <row r="72" spans="1:21" ht="16.5" outlineLevel="1">
      <c r="A72" s="1802"/>
      <c r="B72" s="859" t="s">
        <v>1871</v>
      </c>
      <c r="C72" s="817" t="s">
        <v>1859</v>
      </c>
      <c r="D72" s="806">
        <f t="shared" si="10"/>
        <v>0</v>
      </c>
      <c r="E72" s="810"/>
      <c r="F72" s="810"/>
      <c r="G72" s="808">
        <v>1</v>
      </c>
      <c r="H72" s="811" t="s">
        <v>1866</v>
      </c>
      <c r="I72" s="811"/>
      <c r="J72" s="811"/>
      <c r="K72" s="811"/>
      <c r="L72" s="811"/>
      <c r="M72" s="811"/>
      <c r="N72" s="811"/>
      <c r="O72" s="811"/>
      <c r="P72" s="811"/>
      <c r="Q72" s="811"/>
      <c r="R72" s="811"/>
      <c r="S72" s="809" t="s">
        <v>1860</v>
      </c>
      <c r="T72" s="809" t="s">
        <v>1861</v>
      </c>
      <c r="U72" s="809" t="s">
        <v>1862</v>
      </c>
    </row>
    <row r="73" spans="1:21" ht="16.5" outlineLevel="1">
      <c r="A73" s="1802"/>
      <c r="B73" s="859" t="s">
        <v>1872</v>
      </c>
      <c r="C73" s="817" t="s">
        <v>1859</v>
      </c>
      <c r="D73" s="806">
        <f t="shared" si="10"/>
        <v>0</v>
      </c>
      <c r="E73" s="806">
        <f>案件管理!J25</f>
        <v>0</v>
      </c>
      <c r="F73" s="810"/>
      <c r="G73" s="808">
        <v>1</v>
      </c>
      <c r="H73" s="811" t="s">
        <v>1866</v>
      </c>
      <c r="I73" s="811"/>
      <c r="J73" s="811"/>
      <c r="K73" s="811"/>
      <c r="L73" s="811"/>
      <c r="M73" s="811"/>
      <c r="N73" s="811"/>
      <c r="O73" s="811"/>
      <c r="P73" s="811"/>
      <c r="Q73" s="811"/>
      <c r="R73" s="811"/>
      <c r="S73" s="809" t="s">
        <v>1860</v>
      </c>
      <c r="T73" s="809" t="s">
        <v>1861</v>
      </c>
      <c r="U73" s="809" t="s">
        <v>1862</v>
      </c>
    </row>
    <row r="74" spans="1:21" ht="16.5" outlineLevel="1">
      <c r="A74" s="1803"/>
      <c r="B74" s="861" t="s">
        <v>1929</v>
      </c>
      <c r="C74" s="817" t="s">
        <v>1874</v>
      </c>
      <c r="D74" s="806">
        <f>(SUM(D65:D73)+D71)/9</f>
        <v>2.0777777777777775</v>
      </c>
      <c r="E74" s="810"/>
      <c r="F74" s="810"/>
      <c r="G74" s="808">
        <v>1</v>
      </c>
      <c r="H74" s="811" t="s">
        <v>1866</v>
      </c>
      <c r="I74" s="811"/>
      <c r="J74" s="811"/>
      <c r="K74" s="811"/>
      <c r="L74" s="811"/>
      <c r="M74" s="811"/>
      <c r="N74" s="811"/>
      <c r="O74" s="811"/>
      <c r="P74" s="811"/>
      <c r="Q74" s="811"/>
      <c r="R74" s="811"/>
      <c r="S74" s="809" t="s">
        <v>1875</v>
      </c>
      <c r="T74" s="808">
        <v>0.5</v>
      </c>
      <c r="U74" s="808">
        <v>0.25</v>
      </c>
    </row>
    <row r="75" spans="1:21" ht="16.5" outlineLevel="1">
      <c r="A75" s="1797" t="s">
        <v>1876</v>
      </c>
      <c r="B75" s="1798"/>
      <c r="C75" s="817" t="s">
        <v>1874</v>
      </c>
      <c r="D75" s="806">
        <v>0</v>
      </c>
      <c r="E75" s="810"/>
      <c r="F75" s="810"/>
      <c r="G75" s="808">
        <v>1</v>
      </c>
      <c r="H75" s="811" t="s">
        <v>1866</v>
      </c>
      <c r="I75" s="811"/>
      <c r="J75" s="811"/>
      <c r="K75" s="811"/>
      <c r="L75" s="811"/>
      <c r="M75" s="811"/>
      <c r="N75" s="811"/>
      <c r="O75" s="811"/>
      <c r="P75" s="811"/>
      <c r="Q75" s="811"/>
      <c r="R75" s="811"/>
      <c r="S75" s="808" t="s">
        <v>1866</v>
      </c>
      <c r="T75" s="808">
        <v>0.15</v>
      </c>
      <c r="U75" s="812">
        <v>7.4999999999999997E-2</v>
      </c>
    </row>
    <row r="76" spans="1:21" ht="16.5" outlineLevel="1">
      <c r="A76" s="1797" t="s">
        <v>1877</v>
      </c>
      <c r="B76" s="1798"/>
      <c r="C76" s="817" t="s">
        <v>1874</v>
      </c>
      <c r="D76" s="806">
        <v>0</v>
      </c>
      <c r="E76" s="810"/>
      <c r="F76" s="810"/>
      <c r="G76" s="808">
        <v>1</v>
      </c>
      <c r="H76" s="808" t="s">
        <v>1866</v>
      </c>
      <c r="I76" s="808"/>
      <c r="J76" s="808"/>
      <c r="K76" s="808"/>
      <c r="L76" s="808"/>
      <c r="M76" s="808"/>
      <c r="N76" s="808"/>
      <c r="O76" s="808"/>
      <c r="P76" s="808"/>
      <c r="Q76" s="808"/>
      <c r="R76" s="808"/>
      <c r="S76" s="808" t="s">
        <v>1866</v>
      </c>
      <c r="T76" s="808">
        <v>0.1</v>
      </c>
      <c r="U76" s="808">
        <v>0.05</v>
      </c>
    </row>
    <row r="77" spans="1:21" ht="16.5" outlineLevel="1">
      <c r="A77" s="1797" t="s">
        <v>1878</v>
      </c>
      <c r="B77" s="1798"/>
      <c r="C77" s="763" t="s">
        <v>1874</v>
      </c>
      <c r="D77" s="806">
        <v>0</v>
      </c>
      <c r="E77" s="810"/>
      <c r="F77" s="810"/>
      <c r="G77" s="808">
        <v>1</v>
      </c>
      <c r="H77" s="811" t="s">
        <v>1866</v>
      </c>
      <c r="I77" s="811"/>
      <c r="J77" s="811"/>
      <c r="K77" s="811"/>
      <c r="L77" s="811"/>
      <c r="M77" s="811"/>
      <c r="N77" s="811"/>
      <c r="O77" s="811"/>
      <c r="P77" s="811"/>
      <c r="Q77" s="811"/>
      <c r="R77" s="811"/>
      <c r="S77" s="808" t="s">
        <v>1866</v>
      </c>
      <c r="T77" s="808">
        <v>0.25</v>
      </c>
      <c r="U77" s="812">
        <v>0.125</v>
      </c>
    </row>
    <row r="78" spans="1:21" ht="16.5" outlineLevel="1">
      <c r="A78" s="1795" t="s">
        <v>1926</v>
      </c>
      <c r="B78" s="1795"/>
      <c r="C78" s="817" t="s">
        <v>1879</v>
      </c>
      <c r="D78" s="806">
        <f>D74*T74+D75*T75+D76*T76+D77*T77</f>
        <v>1.0388888888888888</v>
      </c>
      <c r="E78" s="810"/>
      <c r="F78" s="810"/>
      <c r="G78" s="808">
        <v>1</v>
      </c>
      <c r="H78" s="811" t="s">
        <v>1866</v>
      </c>
      <c r="I78" s="811"/>
      <c r="J78" s="811"/>
      <c r="K78" s="811"/>
      <c r="L78" s="811"/>
      <c r="M78" s="811"/>
      <c r="N78" s="811"/>
      <c r="O78" s="811"/>
      <c r="P78" s="811"/>
      <c r="Q78" s="811"/>
      <c r="R78" s="811"/>
      <c r="S78" s="808" t="s">
        <v>1866</v>
      </c>
      <c r="T78" s="808">
        <v>1</v>
      </c>
      <c r="U78" s="808">
        <v>0.5</v>
      </c>
    </row>
    <row r="79" spans="1:21" ht="16.5" outlineLevel="1">
      <c r="A79" s="1799" t="s">
        <v>1880</v>
      </c>
      <c r="B79" s="1799"/>
      <c r="C79" s="817" t="s">
        <v>1879</v>
      </c>
      <c r="D79" s="806">
        <v>0</v>
      </c>
      <c r="E79" s="810"/>
      <c r="F79" s="810"/>
      <c r="G79" s="808">
        <v>1</v>
      </c>
      <c r="H79" s="811" t="s">
        <v>1866</v>
      </c>
      <c r="I79" s="811"/>
      <c r="J79" s="811"/>
      <c r="K79" s="811"/>
      <c r="L79" s="811"/>
      <c r="M79" s="811"/>
      <c r="N79" s="811"/>
      <c r="O79" s="811"/>
      <c r="P79" s="811"/>
      <c r="Q79" s="811"/>
      <c r="R79" s="811"/>
      <c r="S79" s="808" t="s">
        <v>1866</v>
      </c>
      <c r="T79" s="811" t="s">
        <v>1866</v>
      </c>
      <c r="U79" s="808">
        <v>0.5</v>
      </c>
    </row>
    <row r="80" spans="1:21" ht="16.5" outlineLevel="1">
      <c r="A80" s="1795" t="s">
        <v>1881</v>
      </c>
      <c r="B80" s="1795"/>
      <c r="C80" s="817" t="s">
        <v>1882</v>
      </c>
      <c r="D80" s="806">
        <f>D78*U78+D79*U79</f>
        <v>0.51944444444444438</v>
      </c>
      <c r="E80" s="810"/>
      <c r="F80" s="810"/>
      <c r="G80" s="811" t="s">
        <v>1866</v>
      </c>
      <c r="H80" s="811" t="s">
        <v>1866</v>
      </c>
      <c r="I80" s="811"/>
      <c r="J80" s="811"/>
      <c r="K80" s="811"/>
      <c r="L80" s="811"/>
      <c r="M80" s="811"/>
      <c r="N80" s="811"/>
      <c r="O80" s="811"/>
      <c r="P80" s="811"/>
      <c r="Q80" s="811"/>
      <c r="R80" s="811"/>
      <c r="S80" s="808" t="s">
        <v>1866</v>
      </c>
      <c r="T80" s="811" t="s">
        <v>1866</v>
      </c>
      <c r="U80" s="808">
        <v>1</v>
      </c>
    </row>
    <row r="82" spans="1:21">
      <c r="A82" s="1801" t="s">
        <v>1932</v>
      </c>
      <c r="B82" s="1801"/>
      <c r="D82" s="954">
        <f>D100</f>
        <v>3.2055555555555557</v>
      </c>
    </row>
    <row r="83" spans="1:21" ht="16.149999999999999" customHeight="1" outlineLevel="1">
      <c r="A83" s="1806" t="s">
        <v>1901</v>
      </c>
      <c r="B83" s="1806"/>
      <c r="C83" s="1804" t="s">
        <v>1902</v>
      </c>
      <c r="D83" s="1805" t="s">
        <v>1903</v>
      </c>
      <c r="E83" s="1804" t="s">
        <v>1904</v>
      </c>
      <c r="F83" s="1804" t="s">
        <v>1905</v>
      </c>
      <c r="G83" s="1800" t="s">
        <v>1906</v>
      </c>
      <c r="H83" s="1800"/>
      <c r="I83" s="857"/>
      <c r="J83" s="857"/>
      <c r="K83" s="857"/>
      <c r="L83" s="857"/>
      <c r="M83" s="857"/>
      <c r="N83" s="857"/>
      <c r="O83" s="857"/>
      <c r="P83" s="857"/>
      <c r="Q83" s="857"/>
      <c r="R83" s="857"/>
      <c r="S83" s="1800" t="s">
        <v>1907</v>
      </c>
      <c r="T83" s="1800" t="s">
        <v>1908</v>
      </c>
      <c r="U83" s="1800" t="s">
        <v>1909</v>
      </c>
    </row>
    <row r="84" spans="1:21" ht="15" customHeight="1" outlineLevel="1">
      <c r="A84" s="1807"/>
      <c r="B84" s="1807"/>
      <c r="C84" s="1804"/>
      <c r="D84" s="1800"/>
      <c r="E84" s="1804"/>
      <c r="F84" s="1804"/>
      <c r="G84" s="857" t="s">
        <v>1910</v>
      </c>
      <c r="H84" s="857" t="s">
        <v>1911</v>
      </c>
      <c r="I84" s="857" t="s">
        <v>1912</v>
      </c>
      <c r="J84" s="857" t="s">
        <v>1913</v>
      </c>
      <c r="K84" s="857" t="s">
        <v>1914</v>
      </c>
      <c r="L84" s="857" t="s">
        <v>1915</v>
      </c>
      <c r="M84" s="857" t="s">
        <v>1916</v>
      </c>
      <c r="N84" s="857" t="s">
        <v>1917</v>
      </c>
      <c r="O84" s="857" t="s">
        <v>1918</v>
      </c>
      <c r="P84" s="857" t="s">
        <v>1919</v>
      </c>
      <c r="Q84" s="857" t="s">
        <v>1920</v>
      </c>
      <c r="R84" s="857" t="s">
        <v>1921</v>
      </c>
      <c r="S84" s="1800"/>
      <c r="T84" s="1800"/>
      <c r="U84" s="1800"/>
    </row>
    <row r="85" spans="1:21" ht="16.5" outlineLevel="1">
      <c r="A85" s="1802" t="s">
        <v>1857</v>
      </c>
      <c r="B85" s="858" t="s">
        <v>1858</v>
      </c>
      <c r="C85" s="818" t="s">
        <v>1859</v>
      </c>
      <c r="D85" s="853">
        <f>E85*G85+F85*H85</f>
        <v>15.5</v>
      </c>
      <c r="E85" s="853">
        <f>'OR02-销售承保'!Y43</f>
        <v>33</v>
      </c>
      <c r="F85" s="853">
        <f>AVERAGE(I85:R85)</f>
        <v>8</v>
      </c>
      <c r="G85" s="855">
        <v>0.3</v>
      </c>
      <c r="H85" s="855">
        <v>0.7</v>
      </c>
      <c r="I85" s="854">
        <f>'OR04-分公司销售、承保、保全'!Y82</f>
        <v>10</v>
      </c>
      <c r="J85" s="854">
        <f>'OR04-分公司销售、承保、保全'!AG82</f>
        <v>10</v>
      </c>
      <c r="K85" s="854">
        <f>'OR04-分公司销售、承保、保全'!AN82</f>
        <v>10</v>
      </c>
      <c r="L85" s="854">
        <f>'OR04-分公司销售、承保、保全'!AV82</f>
        <v>10</v>
      </c>
      <c r="M85" s="854">
        <f>'OR04-分公司销售、承保、保全'!BD82</f>
        <v>10</v>
      </c>
      <c r="N85" s="854">
        <f>'OR04-分公司销售、承保、保全'!BL82</f>
        <v>10</v>
      </c>
      <c r="O85" s="854">
        <f>'OR04-分公司销售、承保、保全'!BT82</f>
        <v>0</v>
      </c>
      <c r="P85" s="854">
        <f>'OR04-分公司销售、承保、保全'!CB82</f>
        <v>10</v>
      </c>
      <c r="Q85" s="854">
        <f>'OR04-分公司销售、承保、保全'!CJ82</f>
        <v>0</v>
      </c>
      <c r="R85" s="854">
        <f>'OR04-分公司销售、承保、保全'!CR82</f>
        <v>10</v>
      </c>
      <c r="S85" s="856" t="s">
        <v>1860</v>
      </c>
      <c r="T85" s="856" t="s">
        <v>1861</v>
      </c>
      <c r="U85" s="856" t="s">
        <v>1862</v>
      </c>
    </row>
    <row r="86" spans="1:21" ht="16.5" outlineLevel="1">
      <c r="A86" s="1802"/>
      <c r="B86" s="859" t="s">
        <v>1863</v>
      </c>
      <c r="C86" s="817" t="s">
        <v>1859</v>
      </c>
      <c r="D86" s="806">
        <f>E86*G86+F86*H86</f>
        <v>19.7</v>
      </c>
      <c r="E86" s="806">
        <f>'OR06-理赔保全'!O27</f>
        <v>47</v>
      </c>
      <c r="F86" s="806">
        <f>AVERAGE(I86:R86)</f>
        <v>8</v>
      </c>
      <c r="G86" s="808">
        <v>0.3</v>
      </c>
      <c r="H86" s="808">
        <v>0.7</v>
      </c>
      <c r="I86" s="807">
        <f>'OR08-分公司理赔'!W47</f>
        <v>8</v>
      </c>
      <c r="J86" s="807">
        <f>'OR08-分公司理赔'!AC47</f>
        <v>8</v>
      </c>
      <c r="K86" s="807">
        <f>'OR08-分公司理赔'!AI47</f>
        <v>8</v>
      </c>
      <c r="L86" s="807">
        <f>'OR08-分公司理赔'!AO47</f>
        <v>8</v>
      </c>
      <c r="M86" s="807">
        <f>'OR08-分公司理赔'!AU47</f>
        <v>8</v>
      </c>
      <c r="N86" s="807">
        <f>'OR08-分公司理赔'!AU47</f>
        <v>8</v>
      </c>
      <c r="O86" s="807">
        <f>'OR08-分公司理赔'!BA47</f>
        <v>8</v>
      </c>
      <c r="P86" s="807">
        <f>'OR08-分公司理赔'!BM47</f>
        <v>8</v>
      </c>
      <c r="Q86" s="807">
        <f>'OR08-分公司理赔'!BS47</f>
        <v>8</v>
      </c>
      <c r="R86" s="807">
        <f>'OR08-分公司理赔'!BY47</f>
        <v>8</v>
      </c>
      <c r="S86" s="809" t="s">
        <v>1860</v>
      </c>
      <c r="T86" s="809" t="s">
        <v>1861</v>
      </c>
      <c r="U86" s="809" t="s">
        <v>1862</v>
      </c>
    </row>
    <row r="87" spans="1:21" ht="16.5" outlineLevel="1">
      <c r="A87" s="1802"/>
      <c r="B87" s="859" t="s">
        <v>1864</v>
      </c>
      <c r="C87" s="817" t="s">
        <v>1859</v>
      </c>
      <c r="D87" s="806">
        <f>E87*G87+F87*H87</f>
        <v>7.2</v>
      </c>
      <c r="E87" s="806">
        <f>'OR12-财务管理'!P46</f>
        <v>10</v>
      </c>
      <c r="F87" s="806">
        <f>AVERAGE(I87:R87)</f>
        <v>3</v>
      </c>
      <c r="G87" s="808">
        <v>0.6</v>
      </c>
      <c r="H87" s="808">
        <v>0.4</v>
      </c>
      <c r="I87" s="807">
        <f>'OR13-分公司财务管理'!X63</f>
        <v>0</v>
      </c>
      <c r="J87" s="807">
        <f>'OR13-分公司财务管理'!AF63</f>
        <v>10</v>
      </c>
      <c r="K87" s="807">
        <f>'OR13-分公司财务管理'!AN63</f>
        <v>0</v>
      </c>
      <c r="L87" s="807">
        <f>'OR13-分公司财务管理'!AV63</f>
        <v>10</v>
      </c>
      <c r="M87" s="807">
        <f>'OR13-分公司财务管理'!BD63</f>
        <v>0</v>
      </c>
      <c r="N87" s="807">
        <f>'OR13-分公司财务管理'!BL63</f>
        <v>10</v>
      </c>
      <c r="O87" s="807">
        <f>'OR13-分公司财务管理'!BT63</f>
        <v>0</v>
      </c>
      <c r="P87" s="807">
        <f>'OR13-分公司财务管理'!CB63</f>
        <v>0</v>
      </c>
      <c r="Q87" s="807">
        <f>'OR13-分公司财务管理'!CJ63</f>
        <v>0</v>
      </c>
      <c r="R87" s="807">
        <f>'OR13-分公司财务管理'!CR63</f>
        <v>0</v>
      </c>
      <c r="S87" s="809" t="s">
        <v>1860</v>
      </c>
      <c r="T87" s="809" t="s">
        <v>1861</v>
      </c>
      <c r="U87" s="809" t="s">
        <v>1862</v>
      </c>
    </row>
    <row r="88" spans="1:21" ht="16.5" outlineLevel="1">
      <c r="A88" s="1802"/>
      <c r="B88" s="859" t="s">
        <v>1865</v>
      </c>
      <c r="C88" s="817" t="s">
        <v>1859</v>
      </c>
      <c r="D88" s="806">
        <f t="shared" ref="D88:D93" si="11">E88</f>
        <v>0</v>
      </c>
      <c r="E88" s="810"/>
      <c r="F88" s="810"/>
      <c r="G88" s="808">
        <v>1</v>
      </c>
      <c r="H88" s="811" t="s">
        <v>1866</v>
      </c>
      <c r="I88" s="811"/>
      <c r="J88" s="811"/>
      <c r="K88" s="811"/>
      <c r="L88" s="811"/>
      <c r="M88" s="811"/>
      <c r="N88" s="811"/>
      <c r="O88" s="811"/>
      <c r="P88" s="811"/>
      <c r="Q88" s="811"/>
      <c r="R88" s="811"/>
      <c r="S88" s="809" t="s">
        <v>1860</v>
      </c>
      <c r="T88" s="809" t="s">
        <v>1861</v>
      </c>
      <c r="U88" s="809" t="s">
        <v>1862</v>
      </c>
    </row>
    <row r="89" spans="1:21" ht="33" customHeight="1" outlineLevel="1">
      <c r="A89" s="1802"/>
      <c r="B89" s="859" t="s">
        <v>1867</v>
      </c>
      <c r="C89" s="817" t="s">
        <v>1859</v>
      </c>
      <c r="D89" s="1345" t="str">
        <f t="shared" si="11"/>
        <v>监管扣分不确定</v>
      </c>
      <c r="E89" s="1345" t="s">
        <v>2392</v>
      </c>
      <c r="F89" s="810"/>
      <c r="G89" s="808">
        <v>1</v>
      </c>
      <c r="H89" s="811" t="s">
        <v>1866</v>
      </c>
      <c r="I89" s="811"/>
      <c r="J89" s="811"/>
      <c r="K89" s="811"/>
      <c r="L89" s="811"/>
      <c r="M89" s="811"/>
      <c r="N89" s="811"/>
      <c r="O89" s="811"/>
      <c r="P89" s="811"/>
      <c r="Q89" s="811"/>
      <c r="R89" s="811"/>
      <c r="S89" s="809" t="s">
        <v>1860</v>
      </c>
      <c r="T89" s="809" t="s">
        <v>1861</v>
      </c>
      <c r="U89" s="809" t="s">
        <v>1862</v>
      </c>
    </row>
    <row r="90" spans="1:21" ht="16.5" outlineLevel="1">
      <c r="A90" s="1802"/>
      <c r="B90" s="859" t="s">
        <v>1868</v>
      </c>
      <c r="C90" s="817" t="s">
        <v>1859</v>
      </c>
      <c r="D90" s="806">
        <f t="shared" si="11"/>
        <v>0</v>
      </c>
      <c r="E90" s="810"/>
      <c r="F90" s="810"/>
      <c r="G90" s="808">
        <v>1</v>
      </c>
      <c r="H90" s="811" t="s">
        <v>1866</v>
      </c>
      <c r="I90" s="811"/>
      <c r="J90" s="811"/>
      <c r="K90" s="811"/>
      <c r="L90" s="811"/>
      <c r="M90" s="811"/>
      <c r="N90" s="811"/>
      <c r="O90" s="811"/>
      <c r="P90" s="811"/>
      <c r="Q90" s="811"/>
      <c r="R90" s="811"/>
      <c r="S90" s="809" t="s">
        <v>1860</v>
      </c>
      <c r="T90" s="809" t="s">
        <v>1861</v>
      </c>
      <c r="U90" s="809" t="s">
        <v>1862</v>
      </c>
    </row>
    <row r="91" spans="1:21" ht="16.5" outlineLevel="1">
      <c r="A91" s="1802"/>
      <c r="B91" s="859" t="s">
        <v>1869</v>
      </c>
      <c r="C91" s="817" t="s">
        <v>1859</v>
      </c>
      <c r="D91" s="806">
        <f t="shared" si="11"/>
        <v>26</v>
      </c>
      <c r="E91" s="806">
        <f>'OR15-准备金再保险'!M23</f>
        <v>26</v>
      </c>
      <c r="F91" s="810"/>
      <c r="G91" s="808">
        <v>1</v>
      </c>
      <c r="H91" s="811" t="s">
        <v>1866</v>
      </c>
      <c r="I91" s="811"/>
      <c r="J91" s="811"/>
      <c r="K91" s="811"/>
      <c r="L91" s="811"/>
      <c r="M91" s="811"/>
      <c r="N91" s="811"/>
      <c r="O91" s="811"/>
      <c r="P91" s="811"/>
      <c r="Q91" s="811"/>
      <c r="R91" s="811"/>
      <c r="S91" s="860" t="s">
        <v>1870</v>
      </c>
      <c r="T91" s="809" t="s">
        <v>1860</v>
      </c>
      <c r="U91" s="809" t="s">
        <v>1861</v>
      </c>
    </row>
    <row r="92" spans="1:21" ht="16.5" outlineLevel="1">
      <c r="A92" s="1802"/>
      <c r="B92" s="859" t="s">
        <v>1871</v>
      </c>
      <c r="C92" s="817" t="s">
        <v>1859</v>
      </c>
      <c r="D92" s="806">
        <f t="shared" si="11"/>
        <v>0</v>
      </c>
      <c r="E92" s="810"/>
      <c r="F92" s="810"/>
      <c r="G92" s="808">
        <v>1</v>
      </c>
      <c r="H92" s="811" t="s">
        <v>1866</v>
      </c>
      <c r="I92" s="811"/>
      <c r="J92" s="811"/>
      <c r="K92" s="811"/>
      <c r="L92" s="811"/>
      <c r="M92" s="811"/>
      <c r="N92" s="811"/>
      <c r="O92" s="811"/>
      <c r="P92" s="811"/>
      <c r="Q92" s="811"/>
      <c r="R92" s="811"/>
      <c r="S92" s="809" t="s">
        <v>1860</v>
      </c>
      <c r="T92" s="809" t="s">
        <v>1861</v>
      </c>
      <c r="U92" s="809" t="s">
        <v>1862</v>
      </c>
    </row>
    <row r="93" spans="1:21" ht="16.5" outlineLevel="1">
      <c r="A93" s="1802"/>
      <c r="B93" s="859" t="s">
        <v>1872</v>
      </c>
      <c r="C93" s="817" t="s">
        <v>1859</v>
      </c>
      <c r="D93" s="806">
        <f t="shared" si="11"/>
        <v>21</v>
      </c>
      <c r="E93" s="806">
        <f>案件管理!J26</f>
        <v>21</v>
      </c>
      <c r="F93" s="810"/>
      <c r="G93" s="808">
        <v>1</v>
      </c>
      <c r="H93" s="811" t="s">
        <v>1866</v>
      </c>
      <c r="I93" s="811"/>
      <c r="J93" s="811"/>
      <c r="K93" s="811"/>
      <c r="L93" s="811"/>
      <c r="M93" s="811"/>
      <c r="N93" s="811"/>
      <c r="O93" s="811"/>
      <c r="P93" s="811"/>
      <c r="Q93" s="811"/>
      <c r="R93" s="811"/>
      <c r="S93" s="809" t="s">
        <v>1860</v>
      </c>
      <c r="T93" s="809" t="s">
        <v>1861</v>
      </c>
      <c r="U93" s="809" t="s">
        <v>1862</v>
      </c>
    </row>
    <row r="94" spans="1:21" ht="16.5" outlineLevel="1">
      <c r="A94" s="1803"/>
      <c r="B94" s="861" t="s">
        <v>1929</v>
      </c>
      <c r="C94" s="817" t="s">
        <v>1874</v>
      </c>
      <c r="D94" s="806">
        <f>(SUM(D85:D93)+D91)/9</f>
        <v>12.822222222222223</v>
      </c>
      <c r="E94" s="810"/>
      <c r="F94" s="810"/>
      <c r="G94" s="808">
        <v>1</v>
      </c>
      <c r="H94" s="811" t="s">
        <v>1866</v>
      </c>
      <c r="I94" s="811"/>
      <c r="J94" s="811"/>
      <c r="K94" s="811"/>
      <c r="L94" s="811"/>
      <c r="M94" s="811"/>
      <c r="N94" s="811"/>
      <c r="O94" s="811"/>
      <c r="P94" s="811"/>
      <c r="Q94" s="811"/>
      <c r="R94" s="811"/>
      <c r="S94" s="809" t="s">
        <v>1875</v>
      </c>
      <c r="T94" s="808">
        <v>0.5</v>
      </c>
      <c r="U94" s="808">
        <v>0.25</v>
      </c>
    </row>
    <row r="95" spans="1:21" ht="16.5" outlineLevel="1">
      <c r="A95" s="1797" t="s">
        <v>1876</v>
      </c>
      <c r="B95" s="1798"/>
      <c r="C95" s="817" t="s">
        <v>1874</v>
      </c>
      <c r="D95" s="806">
        <v>0</v>
      </c>
      <c r="E95" s="810"/>
      <c r="F95" s="810"/>
      <c r="G95" s="808">
        <v>1</v>
      </c>
      <c r="H95" s="811" t="s">
        <v>1866</v>
      </c>
      <c r="I95" s="811"/>
      <c r="J95" s="811"/>
      <c r="K95" s="811"/>
      <c r="L95" s="811"/>
      <c r="M95" s="811"/>
      <c r="N95" s="811"/>
      <c r="O95" s="811"/>
      <c r="P95" s="811"/>
      <c r="Q95" s="811"/>
      <c r="R95" s="811"/>
      <c r="S95" s="808" t="s">
        <v>1866</v>
      </c>
      <c r="T95" s="808">
        <v>0.15</v>
      </c>
      <c r="U95" s="812">
        <v>7.4999999999999997E-2</v>
      </c>
    </row>
    <row r="96" spans="1:21" ht="16.5" outlineLevel="1">
      <c r="A96" s="1797" t="s">
        <v>1877</v>
      </c>
      <c r="B96" s="1798"/>
      <c r="C96" s="817" t="s">
        <v>1874</v>
      </c>
      <c r="D96" s="806">
        <v>0</v>
      </c>
      <c r="E96" s="810"/>
      <c r="F96" s="810"/>
      <c r="G96" s="808">
        <v>1</v>
      </c>
      <c r="H96" s="808" t="s">
        <v>1866</v>
      </c>
      <c r="I96" s="808"/>
      <c r="J96" s="808"/>
      <c r="K96" s="808"/>
      <c r="L96" s="808"/>
      <c r="M96" s="808"/>
      <c r="N96" s="808"/>
      <c r="O96" s="808"/>
      <c r="P96" s="808"/>
      <c r="Q96" s="808"/>
      <c r="R96" s="808"/>
      <c r="S96" s="808" t="s">
        <v>1866</v>
      </c>
      <c r="T96" s="808">
        <v>0.1</v>
      </c>
      <c r="U96" s="808">
        <v>0.05</v>
      </c>
    </row>
    <row r="97" spans="1:21" ht="16.5" outlineLevel="1">
      <c r="A97" s="1797" t="s">
        <v>1878</v>
      </c>
      <c r="B97" s="1798"/>
      <c r="C97" s="763" t="s">
        <v>1874</v>
      </c>
      <c r="D97" s="806">
        <v>0</v>
      </c>
      <c r="E97" s="810"/>
      <c r="F97" s="810"/>
      <c r="G97" s="808">
        <v>1</v>
      </c>
      <c r="H97" s="811" t="s">
        <v>1866</v>
      </c>
      <c r="I97" s="811"/>
      <c r="J97" s="811"/>
      <c r="K97" s="811"/>
      <c r="L97" s="811"/>
      <c r="M97" s="811"/>
      <c r="N97" s="811"/>
      <c r="O97" s="811"/>
      <c r="P97" s="811"/>
      <c r="Q97" s="811"/>
      <c r="R97" s="811"/>
      <c r="S97" s="808" t="s">
        <v>1866</v>
      </c>
      <c r="T97" s="808">
        <v>0.25</v>
      </c>
      <c r="U97" s="812">
        <v>0.125</v>
      </c>
    </row>
    <row r="98" spans="1:21" ht="16.5" outlineLevel="1">
      <c r="A98" s="1795" t="s">
        <v>1926</v>
      </c>
      <c r="B98" s="1795"/>
      <c r="C98" s="817" t="s">
        <v>1879</v>
      </c>
      <c r="D98" s="806">
        <f>D94*T94+D95*T95+D96*T96+D97*T97</f>
        <v>6.4111111111111114</v>
      </c>
      <c r="E98" s="810"/>
      <c r="F98" s="810"/>
      <c r="G98" s="808">
        <v>1</v>
      </c>
      <c r="H98" s="811" t="s">
        <v>1866</v>
      </c>
      <c r="I98" s="811"/>
      <c r="J98" s="811"/>
      <c r="K98" s="811"/>
      <c r="L98" s="811"/>
      <c r="M98" s="811"/>
      <c r="N98" s="811"/>
      <c r="O98" s="811"/>
      <c r="P98" s="811"/>
      <c r="Q98" s="811"/>
      <c r="R98" s="811"/>
      <c r="S98" s="808" t="s">
        <v>1866</v>
      </c>
      <c r="T98" s="808">
        <v>1</v>
      </c>
      <c r="U98" s="808">
        <v>0.5</v>
      </c>
    </row>
    <row r="99" spans="1:21" ht="16.5" outlineLevel="1">
      <c r="A99" s="1799" t="s">
        <v>1880</v>
      </c>
      <c r="B99" s="1799"/>
      <c r="C99" s="817" t="s">
        <v>1879</v>
      </c>
      <c r="D99" s="806">
        <v>0</v>
      </c>
      <c r="E99" s="810"/>
      <c r="F99" s="810"/>
      <c r="G99" s="808">
        <v>1</v>
      </c>
      <c r="H99" s="811" t="s">
        <v>1866</v>
      </c>
      <c r="I99" s="811"/>
      <c r="J99" s="811"/>
      <c r="K99" s="811"/>
      <c r="L99" s="811"/>
      <c r="M99" s="811"/>
      <c r="N99" s="811"/>
      <c r="O99" s="811"/>
      <c r="P99" s="811"/>
      <c r="Q99" s="811"/>
      <c r="R99" s="811"/>
      <c r="S99" s="808" t="s">
        <v>1866</v>
      </c>
      <c r="T99" s="811" t="s">
        <v>1866</v>
      </c>
      <c r="U99" s="808">
        <v>0.5</v>
      </c>
    </row>
    <row r="100" spans="1:21" ht="16.5" outlineLevel="1">
      <c r="A100" s="1795" t="s">
        <v>1881</v>
      </c>
      <c r="B100" s="1795"/>
      <c r="C100" s="817" t="s">
        <v>1882</v>
      </c>
      <c r="D100" s="806">
        <f>D98*U98+D99*U99</f>
        <v>3.2055555555555557</v>
      </c>
      <c r="E100" s="810"/>
      <c r="F100" s="810"/>
      <c r="G100" s="811" t="s">
        <v>1866</v>
      </c>
      <c r="H100" s="811" t="s">
        <v>1866</v>
      </c>
      <c r="I100" s="811"/>
      <c r="J100" s="811"/>
      <c r="K100" s="811"/>
      <c r="L100" s="811"/>
      <c r="M100" s="811"/>
      <c r="N100" s="811"/>
      <c r="O100" s="811"/>
      <c r="P100" s="811"/>
      <c r="Q100" s="811"/>
      <c r="R100" s="811"/>
      <c r="S100" s="808" t="s">
        <v>1866</v>
      </c>
      <c r="T100" s="811" t="s">
        <v>1866</v>
      </c>
      <c r="U100" s="808">
        <v>1</v>
      </c>
    </row>
    <row r="102" spans="1:21">
      <c r="A102" s="1801" t="s">
        <v>1933</v>
      </c>
      <c r="B102" s="1801"/>
      <c r="D102" s="954">
        <f>D120</f>
        <v>1.7472222222222222</v>
      </c>
    </row>
    <row r="103" spans="1:21" ht="16.149999999999999" customHeight="1" outlineLevel="1">
      <c r="A103" s="1806" t="s">
        <v>1901</v>
      </c>
      <c r="B103" s="1806"/>
      <c r="C103" s="1804" t="s">
        <v>1902</v>
      </c>
      <c r="D103" s="1805" t="s">
        <v>1903</v>
      </c>
      <c r="E103" s="1804" t="s">
        <v>1904</v>
      </c>
      <c r="F103" s="1804" t="s">
        <v>1905</v>
      </c>
      <c r="G103" s="1800" t="s">
        <v>1906</v>
      </c>
      <c r="H103" s="1800"/>
      <c r="I103" s="857"/>
      <c r="J103" s="857"/>
      <c r="K103" s="857"/>
      <c r="L103" s="857"/>
      <c r="M103" s="857"/>
      <c r="N103" s="857"/>
      <c r="O103" s="857"/>
      <c r="P103" s="857"/>
      <c r="Q103" s="857"/>
      <c r="R103" s="857"/>
      <c r="S103" s="1800" t="s">
        <v>1907</v>
      </c>
      <c r="T103" s="1800" t="s">
        <v>1908</v>
      </c>
      <c r="U103" s="1800" t="s">
        <v>1909</v>
      </c>
    </row>
    <row r="104" spans="1:21" ht="15" customHeight="1" outlineLevel="1">
      <c r="A104" s="1807"/>
      <c r="B104" s="1807"/>
      <c r="C104" s="1804"/>
      <c r="D104" s="1800"/>
      <c r="E104" s="1804"/>
      <c r="F104" s="1804"/>
      <c r="G104" s="857" t="s">
        <v>1910</v>
      </c>
      <c r="H104" s="857" t="s">
        <v>1911</v>
      </c>
      <c r="I104" s="857" t="s">
        <v>1912</v>
      </c>
      <c r="J104" s="857" t="s">
        <v>1913</v>
      </c>
      <c r="K104" s="857" t="s">
        <v>1914</v>
      </c>
      <c r="L104" s="857" t="s">
        <v>1915</v>
      </c>
      <c r="M104" s="857" t="s">
        <v>1916</v>
      </c>
      <c r="N104" s="857" t="s">
        <v>1917</v>
      </c>
      <c r="O104" s="857" t="s">
        <v>1918</v>
      </c>
      <c r="P104" s="857" t="s">
        <v>1919</v>
      </c>
      <c r="Q104" s="857" t="s">
        <v>1920</v>
      </c>
      <c r="R104" s="857" t="s">
        <v>1921</v>
      </c>
      <c r="S104" s="1800"/>
      <c r="T104" s="1800"/>
      <c r="U104" s="1800"/>
    </row>
    <row r="105" spans="1:21" ht="16.5" outlineLevel="1">
      <c r="A105" s="1802" t="s">
        <v>1857</v>
      </c>
      <c r="B105" s="858" t="s">
        <v>1858</v>
      </c>
      <c r="C105" s="818" t="s">
        <v>1859</v>
      </c>
      <c r="D105" s="853">
        <f>E105*G105+F105*H105</f>
        <v>7.9</v>
      </c>
      <c r="E105" s="853">
        <v>3</v>
      </c>
      <c r="F105" s="853">
        <f>AVERAGE(I105:R105)</f>
        <v>10</v>
      </c>
      <c r="G105" s="855">
        <v>0.3</v>
      </c>
      <c r="H105" s="855">
        <v>0.7</v>
      </c>
      <c r="I105" s="854">
        <v>10</v>
      </c>
      <c r="J105" s="854">
        <v>10</v>
      </c>
      <c r="K105" s="854">
        <v>10</v>
      </c>
      <c r="L105" s="854">
        <v>10</v>
      </c>
      <c r="M105" s="854">
        <v>10</v>
      </c>
      <c r="N105" s="854">
        <v>10</v>
      </c>
      <c r="O105" s="854">
        <v>10</v>
      </c>
      <c r="P105" s="854">
        <v>10</v>
      </c>
      <c r="Q105" s="854">
        <v>10</v>
      </c>
      <c r="R105" s="854">
        <v>10</v>
      </c>
      <c r="S105" s="856" t="s">
        <v>1934</v>
      </c>
      <c r="T105" s="856" t="s">
        <v>1935</v>
      </c>
      <c r="U105" s="856" t="s">
        <v>1936</v>
      </c>
    </row>
    <row r="106" spans="1:21" ht="16.5" outlineLevel="1">
      <c r="A106" s="1802"/>
      <c r="B106" s="859" t="s">
        <v>1863</v>
      </c>
      <c r="C106" s="817" t="s">
        <v>1859</v>
      </c>
      <c r="D106" s="806">
        <f>E106*G106+F106*H106</f>
        <v>7</v>
      </c>
      <c r="E106" s="810"/>
      <c r="F106" s="806">
        <f>AVERAGE(I106:R106)</f>
        <v>10</v>
      </c>
      <c r="G106" s="808">
        <v>0.3</v>
      </c>
      <c r="H106" s="808">
        <v>0.7</v>
      </c>
      <c r="I106" s="807">
        <v>10</v>
      </c>
      <c r="J106" s="807">
        <v>10</v>
      </c>
      <c r="K106" s="807">
        <v>10</v>
      </c>
      <c r="L106" s="807">
        <v>10</v>
      </c>
      <c r="M106" s="807">
        <v>10</v>
      </c>
      <c r="N106" s="807">
        <v>10</v>
      </c>
      <c r="O106" s="807">
        <v>10</v>
      </c>
      <c r="P106" s="807">
        <v>10</v>
      </c>
      <c r="Q106" s="807">
        <v>10</v>
      </c>
      <c r="R106" s="807">
        <v>10</v>
      </c>
      <c r="S106" s="809" t="s">
        <v>1934</v>
      </c>
      <c r="T106" s="809" t="s">
        <v>1935</v>
      </c>
      <c r="U106" s="809" t="s">
        <v>1936</v>
      </c>
    </row>
    <row r="107" spans="1:21" ht="16.5" outlineLevel="1">
      <c r="A107" s="1802"/>
      <c r="B107" s="859" t="s">
        <v>1864</v>
      </c>
      <c r="C107" s="817" t="s">
        <v>1859</v>
      </c>
      <c r="D107" s="806">
        <f>E107*G107+F107*H107</f>
        <v>10</v>
      </c>
      <c r="E107" s="806">
        <v>10</v>
      </c>
      <c r="F107" s="806">
        <f>AVERAGE(I107:R107)</f>
        <v>10</v>
      </c>
      <c r="G107" s="808">
        <v>0.6</v>
      </c>
      <c r="H107" s="808">
        <v>0.4</v>
      </c>
      <c r="I107" s="807">
        <v>10</v>
      </c>
      <c r="J107" s="807">
        <v>10</v>
      </c>
      <c r="K107" s="807">
        <v>10</v>
      </c>
      <c r="L107" s="807">
        <v>10</v>
      </c>
      <c r="M107" s="807">
        <v>10</v>
      </c>
      <c r="N107" s="807">
        <v>10</v>
      </c>
      <c r="O107" s="807">
        <v>10</v>
      </c>
      <c r="P107" s="807">
        <v>10</v>
      </c>
      <c r="Q107" s="807">
        <v>10</v>
      </c>
      <c r="R107" s="807">
        <v>10</v>
      </c>
      <c r="S107" s="809" t="s">
        <v>1934</v>
      </c>
      <c r="T107" s="809" t="s">
        <v>1935</v>
      </c>
      <c r="U107" s="809" t="s">
        <v>1936</v>
      </c>
    </row>
    <row r="108" spans="1:21" ht="16.5" outlineLevel="1">
      <c r="A108" s="1802"/>
      <c r="B108" s="859" t="s">
        <v>1865</v>
      </c>
      <c r="C108" s="817" t="s">
        <v>1859</v>
      </c>
      <c r="D108" s="806">
        <f t="shared" ref="D108:D119" si="12">E108</f>
        <v>20</v>
      </c>
      <c r="E108" s="806">
        <v>20</v>
      </c>
      <c r="F108" s="810"/>
      <c r="G108" s="808">
        <v>1</v>
      </c>
      <c r="H108" s="811" t="s">
        <v>1937</v>
      </c>
      <c r="I108" s="811"/>
      <c r="J108" s="811"/>
      <c r="K108" s="811"/>
      <c r="L108" s="811"/>
      <c r="M108" s="811"/>
      <c r="N108" s="811"/>
      <c r="O108" s="811"/>
      <c r="P108" s="811"/>
      <c r="Q108" s="811"/>
      <c r="R108" s="811"/>
      <c r="S108" s="809" t="s">
        <v>1934</v>
      </c>
      <c r="T108" s="809" t="s">
        <v>1935</v>
      </c>
      <c r="U108" s="809" t="s">
        <v>1936</v>
      </c>
    </row>
    <row r="109" spans="1:21" ht="16.5" outlineLevel="1">
      <c r="A109" s="1802"/>
      <c r="B109" s="859" t="s">
        <v>1867</v>
      </c>
      <c r="C109" s="817" t="s">
        <v>1859</v>
      </c>
      <c r="D109" s="806">
        <f t="shared" si="12"/>
        <v>0</v>
      </c>
      <c r="E109" s="810"/>
      <c r="F109" s="810"/>
      <c r="G109" s="808">
        <v>1</v>
      </c>
      <c r="H109" s="811" t="s">
        <v>1937</v>
      </c>
      <c r="I109" s="811"/>
      <c r="J109" s="811"/>
      <c r="K109" s="811"/>
      <c r="L109" s="811"/>
      <c r="M109" s="811"/>
      <c r="N109" s="811"/>
      <c r="O109" s="811"/>
      <c r="P109" s="811"/>
      <c r="Q109" s="811"/>
      <c r="R109" s="811"/>
      <c r="S109" s="809" t="s">
        <v>1934</v>
      </c>
      <c r="T109" s="809" t="s">
        <v>1935</v>
      </c>
      <c r="U109" s="809" t="s">
        <v>1936</v>
      </c>
    </row>
    <row r="110" spans="1:21" ht="16.5" outlineLevel="1">
      <c r="A110" s="1802"/>
      <c r="B110" s="859" t="s">
        <v>1868</v>
      </c>
      <c r="C110" s="817" t="s">
        <v>1859</v>
      </c>
      <c r="D110" s="806">
        <f t="shared" si="12"/>
        <v>0</v>
      </c>
      <c r="E110" s="810"/>
      <c r="F110" s="810"/>
      <c r="G110" s="808">
        <v>1</v>
      </c>
      <c r="H110" s="811" t="s">
        <v>1937</v>
      </c>
      <c r="I110" s="811"/>
      <c r="J110" s="811"/>
      <c r="K110" s="811"/>
      <c r="L110" s="811"/>
      <c r="M110" s="811"/>
      <c r="N110" s="811"/>
      <c r="O110" s="811"/>
      <c r="P110" s="811"/>
      <c r="Q110" s="811"/>
      <c r="R110" s="811"/>
      <c r="S110" s="809" t="s">
        <v>1934</v>
      </c>
      <c r="T110" s="809" t="s">
        <v>1935</v>
      </c>
      <c r="U110" s="809" t="s">
        <v>1936</v>
      </c>
    </row>
    <row r="111" spans="1:21" ht="16.5" outlineLevel="1">
      <c r="A111" s="1802"/>
      <c r="B111" s="859" t="s">
        <v>1869</v>
      </c>
      <c r="C111" s="817" t="s">
        <v>1859</v>
      </c>
      <c r="D111" s="806">
        <f t="shared" si="12"/>
        <v>0</v>
      </c>
      <c r="E111" s="810"/>
      <c r="F111" s="810"/>
      <c r="G111" s="808">
        <v>1</v>
      </c>
      <c r="H111" s="811" t="s">
        <v>1937</v>
      </c>
      <c r="I111" s="811"/>
      <c r="J111" s="811"/>
      <c r="K111" s="811"/>
      <c r="L111" s="811"/>
      <c r="M111" s="811"/>
      <c r="N111" s="811"/>
      <c r="O111" s="811"/>
      <c r="P111" s="811"/>
      <c r="Q111" s="811"/>
      <c r="R111" s="811"/>
      <c r="S111" s="860" t="s">
        <v>1938</v>
      </c>
      <c r="T111" s="809" t="s">
        <v>1934</v>
      </c>
      <c r="U111" s="809" t="s">
        <v>1935</v>
      </c>
    </row>
    <row r="112" spans="1:21" ht="16.5" outlineLevel="1">
      <c r="A112" s="1802"/>
      <c r="B112" s="859" t="s">
        <v>1871</v>
      </c>
      <c r="C112" s="817" t="s">
        <v>1859</v>
      </c>
      <c r="D112" s="806">
        <f t="shared" si="12"/>
        <v>0</v>
      </c>
      <c r="E112" s="810"/>
      <c r="F112" s="810"/>
      <c r="G112" s="808">
        <v>1</v>
      </c>
      <c r="H112" s="811" t="s">
        <v>1937</v>
      </c>
      <c r="I112" s="811"/>
      <c r="J112" s="811"/>
      <c r="K112" s="811"/>
      <c r="L112" s="811"/>
      <c r="M112" s="811"/>
      <c r="N112" s="811"/>
      <c r="O112" s="811"/>
      <c r="P112" s="811"/>
      <c r="Q112" s="811"/>
      <c r="R112" s="811"/>
      <c r="S112" s="809" t="s">
        <v>1934</v>
      </c>
      <c r="T112" s="809" t="s">
        <v>1935</v>
      </c>
      <c r="U112" s="809" t="s">
        <v>1936</v>
      </c>
    </row>
    <row r="113" spans="1:21" ht="16.5" outlineLevel="1">
      <c r="A113" s="1802"/>
      <c r="B113" s="859" t="s">
        <v>1872</v>
      </c>
      <c r="C113" s="817" t="s">
        <v>1859</v>
      </c>
      <c r="D113" s="806">
        <f t="shared" si="12"/>
        <v>0</v>
      </c>
      <c r="E113" s="810"/>
      <c r="F113" s="810"/>
      <c r="G113" s="808">
        <v>1</v>
      </c>
      <c r="H113" s="811" t="s">
        <v>1937</v>
      </c>
      <c r="I113" s="811"/>
      <c r="J113" s="811"/>
      <c r="K113" s="811"/>
      <c r="L113" s="811"/>
      <c r="M113" s="811"/>
      <c r="N113" s="811"/>
      <c r="O113" s="811"/>
      <c r="P113" s="811"/>
      <c r="Q113" s="811"/>
      <c r="R113" s="811"/>
      <c r="S113" s="809" t="s">
        <v>1934</v>
      </c>
      <c r="T113" s="809" t="s">
        <v>1935</v>
      </c>
      <c r="U113" s="809" t="s">
        <v>1936</v>
      </c>
    </row>
    <row r="114" spans="1:21" ht="16.5" outlineLevel="1">
      <c r="A114" s="1803"/>
      <c r="B114" s="861" t="s">
        <v>1929</v>
      </c>
      <c r="C114" s="817" t="s">
        <v>1874</v>
      </c>
      <c r="D114" s="806">
        <f>(SUM(D105:D113)+D111)/9</f>
        <v>4.9888888888888889</v>
      </c>
      <c r="E114" s="810"/>
      <c r="F114" s="810"/>
      <c r="G114" s="808">
        <v>1</v>
      </c>
      <c r="H114" s="811" t="s">
        <v>1937</v>
      </c>
      <c r="I114" s="811"/>
      <c r="J114" s="811"/>
      <c r="K114" s="811"/>
      <c r="L114" s="811"/>
      <c r="M114" s="811"/>
      <c r="N114" s="811"/>
      <c r="O114" s="811"/>
      <c r="P114" s="811"/>
      <c r="Q114" s="811"/>
      <c r="R114" s="811"/>
      <c r="S114" s="809" t="s">
        <v>1939</v>
      </c>
      <c r="T114" s="808">
        <v>0.5</v>
      </c>
      <c r="U114" s="808">
        <v>0.25</v>
      </c>
    </row>
    <row r="115" spans="1:21" ht="16.5" outlineLevel="1">
      <c r="A115" s="1797" t="s">
        <v>1876</v>
      </c>
      <c r="B115" s="1798"/>
      <c r="C115" s="817" t="s">
        <v>1874</v>
      </c>
      <c r="D115" s="806">
        <f t="shared" si="12"/>
        <v>0</v>
      </c>
      <c r="E115" s="810"/>
      <c r="F115" s="810"/>
      <c r="G115" s="808">
        <v>1</v>
      </c>
      <c r="H115" s="811" t="s">
        <v>1937</v>
      </c>
      <c r="I115" s="811"/>
      <c r="J115" s="811"/>
      <c r="K115" s="811"/>
      <c r="L115" s="811"/>
      <c r="M115" s="811"/>
      <c r="N115" s="811"/>
      <c r="O115" s="811"/>
      <c r="P115" s="811"/>
      <c r="Q115" s="811"/>
      <c r="R115" s="811"/>
      <c r="S115" s="808" t="s">
        <v>1937</v>
      </c>
      <c r="T115" s="808">
        <v>0.15</v>
      </c>
      <c r="U115" s="812">
        <v>7.4999999999999997E-2</v>
      </c>
    </row>
    <row r="116" spans="1:21" ht="16.5" outlineLevel="1">
      <c r="A116" s="1797" t="s">
        <v>1877</v>
      </c>
      <c r="B116" s="1798"/>
      <c r="C116" s="817" t="s">
        <v>1874</v>
      </c>
      <c r="D116" s="806">
        <v>10</v>
      </c>
      <c r="E116" s="810"/>
      <c r="F116" s="810"/>
      <c r="G116" s="808">
        <v>1</v>
      </c>
      <c r="H116" s="808" t="s">
        <v>1937</v>
      </c>
      <c r="I116" s="811"/>
      <c r="J116" s="811"/>
      <c r="K116" s="811"/>
      <c r="L116" s="811"/>
      <c r="M116" s="811"/>
      <c r="N116" s="811"/>
      <c r="O116" s="811"/>
      <c r="P116" s="811"/>
      <c r="Q116" s="811"/>
      <c r="R116" s="811"/>
      <c r="S116" s="808" t="s">
        <v>1937</v>
      </c>
      <c r="T116" s="808">
        <v>0.1</v>
      </c>
      <c r="U116" s="808">
        <v>0.05</v>
      </c>
    </row>
    <row r="117" spans="1:21" ht="16.5" outlineLevel="1">
      <c r="A117" s="1797" t="s">
        <v>1878</v>
      </c>
      <c r="B117" s="1798"/>
      <c r="C117" s="763" t="s">
        <v>1874</v>
      </c>
      <c r="D117" s="806">
        <f t="shared" si="12"/>
        <v>0</v>
      </c>
      <c r="E117" s="810"/>
      <c r="F117" s="810"/>
      <c r="G117" s="808">
        <v>1</v>
      </c>
      <c r="H117" s="811" t="s">
        <v>1937</v>
      </c>
      <c r="I117" s="811"/>
      <c r="J117" s="811"/>
      <c r="K117" s="811"/>
      <c r="L117" s="811"/>
      <c r="M117" s="811"/>
      <c r="N117" s="811"/>
      <c r="O117" s="811"/>
      <c r="P117" s="811"/>
      <c r="Q117" s="811"/>
      <c r="R117" s="811"/>
      <c r="S117" s="808" t="s">
        <v>1937</v>
      </c>
      <c r="T117" s="808">
        <v>0.25</v>
      </c>
      <c r="U117" s="812">
        <v>0.125</v>
      </c>
    </row>
    <row r="118" spans="1:21" ht="16.5" outlineLevel="1">
      <c r="A118" s="1795" t="s">
        <v>1926</v>
      </c>
      <c r="B118" s="1795"/>
      <c r="C118" s="817" t="s">
        <v>1879</v>
      </c>
      <c r="D118" s="806">
        <f>D114*T114+D115*T115+D116*T116+D117*T117</f>
        <v>3.4944444444444445</v>
      </c>
      <c r="E118" s="810"/>
      <c r="F118" s="810"/>
      <c r="G118" s="808">
        <v>1</v>
      </c>
      <c r="H118" s="811" t="s">
        <v>1937</v>
      </c>
      <c r="I118" s="811"/>
      <c r="J118" s="811"/>
      <c r="K118" s="811"/>
      <c r="L118" s="811"/>
      <c r="M118" s="811"/>
      <c r="N118" s="811"/>
      <c r="O118" s="811"/>
      <c r="P118" s="811"/>
      <c r="Q118" s="811"/>
      <c r="R118" s="811"/>
      <c r="S118" s="808" t="s">
        <v>1937</v>
      </c>
      <c r="T118" s="808">
        <v>1</v>
      </c>
      <c r="U118" s="808">
        <v>0.5</v>
      </c>
    </row>
    <row r="119" spans="1:21" ht="16.5" outlineLevel="1">
      <c r="A119" s="1799" t="s">
        <v>1880</v>
      </c>
      <c r="B119" s="1799"/>
      <c r="C119" s="817" t="s">
        <v>1879</v>
      </c>
      <c r="D119" s="806">
        <f t="shared" si="12"/>
        <v>0</v>
      </c>
      <c r="E119" s="810"/>
      <c r="F119" s="810"/>
      <c r="G119" s="808">
        <v>1</v>
      </c>
      <c r="H119" s="811" t="s">
        <v>1937</v>
      </c>
      <c r="I119" s="811"/>
      <c r="J119" s="811"/>
      <c r="K119" s="811"/>
      <c r="L119" s="811"/>
      <c r="M119" s="811"/>
      <c r="N119" s="811"/>
      <c r="O119" s="811"/>
      <c r="P119" s="811"/>
      <c r="Q119" s="811"/>
      <c r="R119" s="811"/>
      <c r="S119" s="808" t="s">
        <v>1937</v>
      </c>
      <c r="T119" s="811" t="s">
        <v>1937</v>
      </c>
      <c r="U119" s="808">
        <v>0.5</v>
      </c>
    </row>
    <row r="120" spans="1:21" ht="16.5" outlineLevel="1">
      <c r="A120" s="1795" t="s">
        <v>1881</v>
      </c>
      <c r="B120" s="1795"/>
      <c r="C120" s="817" t="s">
        <v>1882</v>
      </c>
      <c r="D120" s="806">
        <f>D118*U118+D119*U119</f>
        <v>1.7472222222222222</v>
      </c>
      <c r="E120" s="810"/>
      <c r="F120" s="810"/>
      <c r="G120" s="811" t="s">
        <v>1937</v>
      </c>
      <c r="H120" s="811" t="s">
        <v>1937</v>
      </c>
      <c r="I120" s="811"/>
      <c r="J120" s="811"/>
      <c r="K120" s="811"/>
      <c r="L120" s="811"/>
      <c r="M120" s="811"/>
      <c r="N120" s="811"/>
      <c r="O120" s="811"/>
      <c r="P120" s="811"/>
      <c r="Q120" s="811"/>
      <c r="R120" s="811"/>
      <c r="S120" s="808" t="s">
        <v>1937</v>
      </c>
      <c r="T120" s="811" t="s">
        <v>1937</v>
      </c>
      <c r="U120" s="808">
        <v>1</v>
      </c>
    </row>
    <row r="122" spans="1:21">
      <c r="A122" s="1801" t="s">
        <v>1941</v>
      </c>
      <c r="B122" s="1801"/>
      <c r="D122" s="954">
        <f>D140</f>
        <v>-48023.706211546581</v>
      </c>
    </row>
    <row r="123" spans="1:21" ht="16.149999999999999" customHeight="1" outlineLevel="1">
      <c r="A123" s="1806" t="s">
        <v>1901</v>
      </c>
      <c r="B123" s="1806"/>
      <c r="C123" s="1804" t="s">
        <v>1902</v>
      </c>
      <c r="D123" s="1805" t="s">
        <v>534</v>
      </c>
      <c r="E123" s="1804" t="s">
        <v>1942</v>
      </c>
      <c r="F123" s="1804" t="s">
        <v>1943</v>
      </c>
      <c r="G123" s="1800" t="s">
        <v>1906</v>
      </c>
      <c r="H123" s="1800"/>
      <c r="I123" s="857"/>
      <c r="J123" s="857"/>
      <c r="K123" s="857"/>
      <c r="L123" s="857"/>
      <c r="M123" s="857"/>
      <c r="N123" s="857"/>
      <c r="O123" s="857"/>
      <c r="P123" s="857"/>
      <c r="Q123" s="857"/>
      <c r="R123" s="857"/>
      <c r="S123" s="1800" t="s">
        <v>1907</v>
      </c>
      <c r="T123" s="1800" t="s">
        <v>1908</v>
      </c>
      <c r="U123" s="1800" t="s">
        <v>1909</v>
      </c>
    </row>
    <row r="124" spans="1:21" ht="15" customHeight="1" outlineLevel="1">
      <c r="A124" s="1807"/>
      <c r="B124" s="1807"/>
      <c r="C124" s="1804"/>
      <c r="D124" s="1800"/>
      <c r="E124" s="1804"/>
      <c r="F124" s="1804"/>
      <c r="G124" s="857" t="s">
        <v>1910</v>
      </c>
      <c r="H124" s="857" t="s">
        <v>1911</v>
      </c>
      <c r="I124" s="857" t="s">
        <v>1912</v>
      </c>
      <c r="J124" s="857" t="s">
        <v>1913</v>
      </c>
      <c r="K124" s="857" t="s">
        <v>1914</v>
      </c>
      <c r="L124" s="857" t="s">
        <v>1915</v>
      </c>
      <c r="M124" s="857" t="s">
        <v>1916</v>
      </c>
      <c r="N124" s="857" t="s">
        <v>1917</v>
      </c>
      <c r="O124" s="857" t="s">
        <v>1918</v>
      </c>
      <c r="P124" s="857" t="s">
        <v>1919</v>
      </c>
      <c r="Q124" s="857" t="s">
        <v>1920</v>
      </c>
      <c r="R124" s="857" t="s">
        <v>1921</v>
      </c>
      <c r="S124" s="1800"/>
      <c r="T124" s="1800"/>
      <c r="U124" s="1800"/>
    </row>
    <row r="125" spans="1:21" ht="16.5" outlineLevel="1">
      <c r="A125" s="1802" t="s">
        <v>1857</v>
      </c>
      <c r="B125" s="858" t="s">
        <v>1858</v>
      </c>
      <c r="C125" s="818" t="s">
        <v>1859</v>
      </c>
      <c r="D125" s="806">
        <f>E125*G125+F125*H125</f>
        <v>6.4011793224514228</v>
      </c>
      <c r="E125" s="853">
        <f>'OR02-销售承保'!AB39</f>
        <v>6.2214476741637128</v>
      </c>
      <c r="F125" s="853">
        <f>AVERAGE(I125:R125)</f>
        <v>6.4782071717175853</v>
      </c>
      <c r="G125" s="855">
        <v>0.3</v>
      </c>
      <c r="H125" s="855">
        <v>0.7</v>
      </c>
      <c r="I125" s="854">
        <f>'OR04-分公司销售、承保、保全'!Y84</f>
        <v>2.5999999999999943</v>
      </c>
      <c r="J125" s="854">
        <f>'OR04-分公司销售、承保、保全'!AG84</f>
        <v>6.0511551155115484</v>
      </c>
      <c r="K125" s="854">
        <f>'OR04-分公司销售、承保、保全'!AN84</f>
        <v>3.5167785234899327</v>
      </c>
      <c r="L125" s="854">
        <f>'OR04-分公司销售、承保、保全'!AV84</f>
        <v>9.1637168141593008</v>
      </c>
      <c r="M125" s="854">
        <f>'OR04-分公司销售、承保、保全'!BD84</f>
        <v>4.2365591397849443</v>
      </c>
      <c r="N125" s="854">
        <f>'OR04-分公司销售、承保、保全'!BL84</f>
        <v>8.9930875576036868</v>
      </c>
      <c r="O125" s="854">
        <f>'OR04-分公司销售、承保、保全'!BT84</f>
        <v>9.0499999999999972</v>
      </c>
      <c r="P125" s="854">
        <f>'OR04-分公司销售、承保、保全'!CB84</f>
        <v>8.4074074074074048</v>
      </c>
      <c r="Q125" s="854">
        <f>'OR04-分公司销售、承保、保全'!CJ84</f>
        <v>7.6861313868613195</v>
      </c>
      <c r="R125" s="854">
        <f>'OR04-分公司销售、承保、保全'!CR84</f>
        <v>5.0772357723577244</v>
      </c>
      <c r="S125" s="856" t="s">
        <v>1860</v>
      </c>
      <c r="T125" s="856" t="s">
        <v>1861</v>
      </c>
      <c r="U125" s="856" t="s">
        <v>1862</v>
      </c>
    </row>
    <row r="126" spans="1:21" ht="16.5" outlineLevel="1">
      <c r="A126" s="1802"/>
      <c r="B126" s="859" t="s">
        <v>1863</v>
      </c>
      <c r="C126" s="817" t="s">
        <v>1859</v>
      </c>
      <c r="D126" s="806">
        <f>E126*G126+F126*H126</f>
        <v>-1728969.8047949995</v>
      </c>
      <c r="E126" s="806">
        <f>'OR06-理赔保全'!R23</f>
        <v>5</v>
      </c>
      <c r="F126" s="806">
        <f>AVERAGE(I126:R126)</f>
        <v>-2469959.0068499995</v>
      </c>
      <c r="G126" s="808">
        <v>0.3</v>
      </c>
      <c r="H126" s="808">
        <v>0.7</v>
      </c>
      <c r="I126" s="807">
        <f>'OR08-分公司理赔'!W49</f>
        <v>-814671.99349999998</v>
      </c>
      <c r="J126" s="807">
        <f>'OR08-分公司理赔'!AC49</f>
        <v>-3661927.341</v>
      </c>
      <c r="K126" s="807">
        <f>'OR08-分公司理赔'!AI49</f>
        <v>-5506864.0968000004</v>
      </c>
      <c r="L126" s="807">
        <f>'OR08-分公司理赔'!AO49</f>
        <v>-822207.17299999995</v>
      </c>
      <c r="M126" s="807">
        <f>'OR08-分公司理赔'!AU49</f>
        <v>-4686698.7943000002</v>
      </c>
      <c r="N126" s="807">
        <f>'OR08-分公司理赔'!BA49</f>
        <v>-4515600.6298999991</v>
      </c>
      <c r="O126" s="807">
        <f>'OR08-分公司理赔'!BG49</f>
        <v>-1032788.8411</v>
      </c>
      <c r="P126" s="807">
        <f>'OR08-分公司理赔'!BM49</f>
        <v>-2507487.6938999998</v>
      </c>
      <c r="Q126" s="807">
        <f>'OR08-分公司理赔'!BS49</f>
        <v>-792181.59020000009</v>
      </c>
      <c r="R126" s="807">
        <f>'OR08-分公司理赔'!BY49</f>
        <v>-359161.91480000003</v>
      </c>
      <c r="S126" s="809" t="s">
        <v>1860</v>
      </c>
      <c r="T126" s="809" t="s">
        <v>1861</v>
      </c>
      <c r="U126" s="809" t="s">
        <v>1862</v>
      </c>
    </row>
    <row r="127" spans="1:21" ht="16.5" outlineLevel="1">
      <c r="A127" s="1802"/>
      <c r="B127" s="859" t="s">
        <v>1864</v>
      </c>
      <c r="C127" s="817" t="s">
        <v>1859</v>
      </c>
      <c r="D127" s="806">
        <f>E127*G127+F127*H127</f>
        <v>5.56</v>
      </c>
      <c r="E127" s="806">
        <f>'OR12-财务管理'!S43</f>
        <v>8</v>
      </c>
      <c r="F127" s="806">
        <f>AVERAGE(I127:R127)</f>
        <v>1.9</v>
      </c>
      <c r="G127" s="808">
        <v>0.6</v>
      </c>
      <c r="H127" s="808">
        <v>0.4</v>
      </c>
      <c r="I127" s="807">
        <f>'OR13-分公司财务管理'!X65</f>
        <v>5</v>
      </c>
      <c r="J127" s="807">
        <f>'OR13-分公司财务管理'!AF65</f>
        <v>0.5</v>
      </c>
      <c r="K127" s="807">
        <f>'OR13-分公司财务管理'!AN65</f>
        <v>2</v>
      </c>
      <c r="L127" s="807">
        <f>'OR13-分公司财务管理'!AV65</f>
        <v>3</v>
      </c>
      <c r="M127" s="807">
        <f>'OR13-分公司财务管理'!BD65</f>
        <v>1</v>
      </c>
      <c r="N127" s="807">
        <f>'OR13-分公司财务管理'!BL65</f>
        <v>0.5</v>
      </c>
      <c r="O127" s="807">
        <f>'OR13-分公司财务管理'!BT65</f>
        <v>2</v>
      </c>
      <c r="P127" s="807">
        <f>'OR13-分公司财务管理'!CB65</f>
        <v>2</v>
      </c>
      <c r="Q127" s="807">
        <f>'OR13-分公司财务管理'!CJ65</f>
        <v>0</v>
      </c>
      <c r="R127" s="807">
        <f>'OR13-分公司财务管理'!CR65</f>
        <v>3</v>
      </c>
      <c r="S127" s="809" t="s">
        <v>1860</v>
      </c>
      <c r="T127" s="809" t="s">
        <v>1861</v>
      </c>
      <c r="U127" s="809" t="s">
        <v>1862</v>
      </c>
    </row>
    <row r="128" spans="1:21" ht="16.5" outlineLevel="1">
      <c r="A128" s="1802"/>
      <c r="B128" s="859" t="s">
        <v>1865</v>
      </c>
      <c r="C128" s="817" t="s">
        <v>1859</v>
      </c>
      <c r="D128" s="806">
        <f t="shared" ref="D128:D133" si="13">E128</f>
        <v>0</v>
      </c>
      <c r="E128" s="806">
        <f>'OR10-资金运用'!M66</f>
        <v>0</v>
      </c>
      <c r="F128" s="810"/>
      <c r="G128" s="808">
        <v>1</v>
      </c>
      <c r="H128" s="811" t="s">
        <v>1866</v>
      </c>
      <c r="I128" s="811"/>
      <c r="J128" s="811"/>
      <c r="K128" s="811"/>
      <c r="L128" s="811"/>
      <c r="M128" s="811"/>
      <c r="N128" s="811"/>
      <c r="O128" s="811"/>
      <c r="P128" s="811"/>
      <c r="Q128" s="811"/>
      <c r="R128" s="811"/>
      <c r="S128" s="809" t="s">
        <v>1860</v>
      </c>
      <c r="T128" s="809" t="s">
        <v>1861</v>
      </c>
      <c r="U128" s="809" t="s">
        <v>1862</v>
      </c>
    </row>
    <row r="129" spans="1:21" ht="39.75" customHeight="1" outlineLevel="1">
      <c r="A129" s="1802"/>
      <c r="B129" s="859" t="s">
        <v>1867</v>
      </c>
      <c r="C129" s="817" t="s">
        <v>1859</v>
      </c>
      <c r="D129" s="1345" t="str">
        <f t="shared" si="13"/>
        <v>监管扣分不确定</v>
      </c>
      <c r="E129" s="1345" t="s">
        <v>2392</v>
      </c>
      <c r="F129" s="810"/>
      <c r="G129" s="808">
        <v>1</v>
      </c>
      <c r="H129" s="811" t="s">
        <v>1866</v>
      </c>
      <c r="I129" s="811"/>
      <c r="J129" s="811"/>
      <c r="K129" s="811"/>
      <c r="L129" s="811"/>
      <c r="M129" s="811"/>
      <c r="N129" s="811"/>
      <c r="O129" s="811"/>
      <c r="P129" s="811"/>
      <c r="Q129" s="811"/>
      <c r="R129" s="811"/>
      <c r="S129" s="809" t="s">
        <v>1860</v>
      </c>
      <c r="T129" s="809" t="s">
        <v>1861</v>
      </c>
      <c r="U129" s="809" t="s">
        <v>1862</v>
      </c>
    </row>
    <row r="130" spans="1:21" ht="16.5" outlineLevel="1">
      <c r="A130" s="1802"/>
      <c r="B130" s="859" t="s">
        <v>1868</v>
      </c>
      <c r="C130" s="817" t="s">
        <v>1859</v>
      </c>
      <c r="D130" s="806">
        <f>E130</f>
        <v>12</v>
      </c>
      <c r="E130" s="806">
        <f>100-公司治理!H81</f>
        <v>12</v>
      </c>
      <c r="F130" s="810"/>
      <c r="G130" s="808">
        <v>1</v>
      </c>
      <c r="H130" s="811" t="s">
        <v>1866</v>
      </c>
      <c r="I130" s="811"/>
      <c r="J130" s="811"/>
      <c r="K130" s="811"/>
      <c r="L130" s="811"/>
      <c r="M130" s="811"/>
      <c r="N130" s="811"/>
      <c r="O130" s="811"/>
      <c r="P130" s="811"/>
      <c r="Q130" s="811"/>
      <c r="R130" s="811"/>
      <c r="S130" s="809" t="s">
        <v>1860</v>
      </c>
      <c r="T130" s="809" t="s">
        <v>1861</v>
      </c>
      <c r="U130" s="809" t="s">
        <v>1862</v>
      </c>
    </row>
    <row r="131" spans="1:21" ht="16.5" outlineLevel="1">
      <c r="A131" s="1802"/>
      <c r="B131" s="859" t="s">
        <v>1869</v>
      </c>
      <c r="C131" s="817" t="s">
        <v>1859</v>
      </c>
      <c r="D131" s="806">
        <f t="shared" si="13"/>
        <v>4</v>
      </c>
      <c r="E131" s="806">
        <f>'OR15-准备金再保险'!P20</f>
        <v>4</v>
      </c>
      <c r="F131" s="810"/>
      <c r="G131" s="808">
        <v>1</v>
      </c>
      <c r="H131" s="811" t="s">
        <v>1866</v>
      </c>
      <c r="I131" s="811"/>
      <c r="J131" s="811"/>
      <c r="K131" s="811"/>
      <c r="L131" s="811"/>
      <c r="M131" s="811"/>
      <c r="N131" s="811"/>
      <c r="O131" s="811"/>
      <c r="P131" s="811"/>
      <c r="Q131" s="811"/>
      <c r="R131" s="811"/>
      <c r="S131" s="860" t="s">
        <v>1870</v>
      </c>
      <c r="T131" s="809" t="s">
        <v>1860</v>
      </c>
      <c r="U131" s="809" t="s">
        <v>1861</v>
      </c>
    </row>
    <row r="132" spans="1:21" ht="16.5" outlineLevel="1">
      <c r="A132" s="1802"/>
      <c r="B132" s="859" t="s">
        <v>1871</v>
      </c>
      <c r="C132" s="817" t="s">
        <v>1859</v>
      </c>
      <c r="D132" s="806">
        <f t="shared" si="13"/>
        <v>10.320000000000007</v>
      </c>
      <c r="E132" s="806">
        <f>信息系统!K138</f>
        <v>10.320000000000007</v>
      </c>
      <c r="F132" s="810"/>
      <c r="G132" s="808">
        <v>1</v>
      </c>
      <c r="H132" s="811" t="s">
        <v>1866</v>
      </c>
      <c r="I132" s="811"/>
      <c r="J132" s="811"/>
      <c r="K132" s="811"/>
      <c r="L132" s="811"/>
      <c r="M132" s="811"/>
      <c r="N132" s="811"/>
      <c r="O132" s="811"/>
      <c r="P132" s="811"/>
      <c r="Q132" s="811"/>
      <c r="R132" s="811"/>
      <c r="S132" s="809" t="s">
        <v>1860</v>
      </c>
      <c r="T132" s="809" t="s">
        <v>1861</v>
      </c>
      <c r="U132" s="809" t="s">
        <v>1862</v>
      </c>
    </row>
    <row r="133" spans="1:21" ht="16.5" outlineLevel="1">
      <c r="A133" s="1802"/>
      <c r="B133" s="859" t="s">
        <v>1872</v>
      </c>
      <c r="C133" s="817" t="s">
        <v>1859</v>
      </c>
      <c r="D133" s="806">
        <f t="shared" si="13"/>
        <v>2.5</v>
      </c>
      <c r="E133" s="806">
        <f>案件管理!J28</f>
        <v>2.5</v>
      </c>
      <c r="F133" s="810"/>
      <c r="G133" s="808">
        <v>1</v>
      </c>
      <c r="H133" s="811" t="s">
        <v>1866</v>
      </c>
      <c r="I133" s="811"/>
      <c r="J133" s="811"/>
      <c r="K133" s="811"/>
      <c r="L133" s="811"/>
      <c r="M133" s="811"/>
      <c r="N133" s="811"/>
      <c r="O133" s="811"/>
      <c r="P133" s="811"/>
      <c r="Q133" s="811"/>
      <c r="R133" s="811"/>
      <c r="S133" s="809" t="s">
        <v>1860</v>
      </c>
      <c r="T133" s="809" t="s">
        <v>1861</v>
      </c>
      <c r="U133" s="809" t="s">
        <v>1862</v>
      </c>
    </row>
    <row r="134" spans="1:21" ht="16.5" outlineLevel="1">
      <c r="A134" s="1803"/>
      <c r="B134" s="861" t="s">
        <v>1929</v>
      </c>
      <c r="C134" s="817" t="s">
        <v>1874</v>
      </c>
      <c r="D134" s="1023">
        <f>(SUM(D125:D133)+D131)/9</f>
        <v>-192102.78040174188</v>
      </c>
      <c r="E134" s="810"/>
      <c r="F134" s="810"/>
      <c r="G134" s="808">
        <v>1</v>
      </c>
      <c r="H134" s="811" t="s">
        <v>1866</v>
      </c>
      <c r="I134" s="811"/>
      <c r="J134" s="811"/>
      <c r="K134" s="811"/>
      <c r="L134" s="811"/>
      <c r="M134" s="811"/>
      <c r="N134" s="811"/>
      <c r="O134" s="811"/>
      <c r="P134" s="811"/>
      <c r="Q134" s="811"/>
      <c r="R134" s="811"/>
      <c r="S134" s="809" t="s">
        <v>1875</v>
      </c>
      <c r="T134" s="808">
        <v>0.5</v>
      </c>
      <c r="U134" s="808">
        <v>0.25</v>
      </c>
    </row>
    <row r="135" spans="1:21" ht="16.5" outlineLevel="1">
      <c r="A135" s="1797" t="s">
        <v>1876</v>
      </c>
      <c r="B135" s="1798"/>
      <c r="C135" s="817" t="s">
        <v>1874</v>
      </c>
      <c r="D135" s="806">
        <f>100-战略风险!G35</f>
        <v>8</v>
      </c>
      <c r="E135" s="810"/>
      <c r="F135" s="810"/>
      <c r="G135" s="808">
        <v>1</v>
      </c>
      <c r="H135" s="811" t="s">
        <v>1866</v>
      </c>
      <c r="I135" s="811"/>
      <c r="J135" s="811"/>
      <c r="K135" s="811"/>
      <c r="L135" s="811"/>
      <c r="M135" s="811"/>
      <c r="N135" s="811"/>
      <c r="O135" s="811"/>
      <c r="P135" s="811"/>
      <c r="Q135" s="811"/>
      <c r="R135" s="811"/>
      <c r="S135" s="808" t="s">
        <v>1866</v>
      </c>
      <c r="T135" s="808">
        <v>0.15</v>
      </c>
      <c r="U135" s="812">
        <v>7.4999999999999997E-2</v>
      </c>
    </row>
    <row r="136" spans="1:21" ht="16.5" outlineLevel="1">
      <c r="A136" s="1797" t="s">
        <v>1877</v>
      </c>
      <c r="B136" s="1798"/>
      <c r="C136" s="817" t="s">
        <v>1874</v>
      </c>
      <c r="D136" s="806">
        <f>'RR01-声誉风险'!L25</f>
        <v>0</v>
      </c>
      <c r="E136" s="810"/>
      <c r="F136" s="810"/>
      <c r="G136" s="808">
        <v>1</v>
      </c>
      <c r="H136" s="808" t="s">
        <v>1866</v>
      </c>
      <c r="I136" s="808"/>
      <c r="J136" s="808"/>
      <c r="K136" s="808"/>
      <c r="L136" s="808"/>
      <c r="M136" s="808"/>
      <c r="N136" s="808"/>
      <c r="O136" s="808"/>
      <c r="P136" s="808"/>
      <c r="Q136" s="808"/>
      <c r="R136" s="808"/>
      <c r="S136" s="808" t="s">
        <v>1866</v>
      </c>
      <c r="T136" s="808">
        <v>0.1</v>
      </c>
      <c r="U136" s="808">
        <v>0.05</v>
      </c>
    </row>
    <row r="137" spans="1:21" ht="16.5" outlineLevel="1">
      <c r="A137" s="1797" t="s">
        <v>1878</v>
      </c>
      <c r="B137" s="1798"/>
      <c r="C137" s="763" t="s">
        <v>1874</v>
      </c>
      <c r="D137" s="806">
        <f>流动性风险!G40</f>
        <v>11.111111111111114</v>
      </c>
      <c r="E137" s="810"/>
      <c r="F137" s="810"/>
      <c r="G137" s="808">
        <v>1</v>
      </c>
      <c r="H137" s="811" t="s">
        <v>1866</v>
      </c>
      <c r="I137" s="811"/>
      <c r="J137" s="811"/>
      <c r="K137" s="811"/>
      <c r="L137" s="811"/>
      <c r="M137" s="811"/>
      <c r="N137" s="811"/>
      <c r="O137" s="811"/>
      <c r="P137" s="811"/>
      <c r="Q137" s="811"/>
      <c r="R137" s="811"/>
      <c r="S137" s="808" t="s">
        <v>1866</v>
      </c>
      <c r="T137" s="808">
        <v>0.25</v>
      </c>
      <c r="U137" s="812">
        <v>0.125</v>
      </c>
    </row>
    <row r="138" spans="1:21" ht="16.5" outlineLevel="1">
      <c r="A138" s="1795" t="s">
        <v>1926</v>
      </c>
      <c r="B138" s="1795"/>
      <c r="C138" s="817" t="s">
        <v>1879</v>
      </c>
      <c r="D138" s="806">
        <f>D134*T134+D135*T135+D136*T136+D137*T137</f>
        <v>-96047.412423093163</v>
      </c>
      <c r="E138" s="810"/>
      <c r="F138" s="810"/>
      <c r="G138" s="808">
        <v>1</v>
      </c>
      <c r="H138" s="811" t="s">
        <v>1866</v>
      </c>
      <c r="I138" s="811"/>
      <c r="J138" s="811"/>
      <c r="K138" s="811"/>
      <c r="L138" s="811"/>
      <c r="M138" s="811"/>
      <c r="N138" s="811"/>
      <c r="O138" s="811"/>
      <c r="P138" s="811"/>
      <c r="Q138" s="811"/>
      <c r="R138" s="811"/>
      <c r="S138" s="808" t="s">
        <v>1866</v>
      </c>
      <c r="T138" s="808">
        <v>1</v>
      </c>
      <c r="U138" s="808">
        <v>0.5</v>
      </c>
    </row>
    <row r="139" spans="1:21" ht="16.5" outlineLevel="1">
      <c r="A139" s="1799" t="s">
        <v>1880</v>
      </c>
      <c r="B139" s="1799"/>
      <c r="C139" s="817" t="s">
        <v>1879</v>
      </c>
      <c r="D139" s="806">
        <v>0</v>
      </c>
      <c r="E139" s="810"/>
      <c r="F139" s="810"/>
      <c r="G139" s="808">
        <v>1</v>
      </c>
      <c r="H139" s="811" t="s">
        <v>1866</v>
      </c>
      <c r="I139" s="811"/>
      <c r="J139" s="811"/>
      <c r="K139" s="811"/>
      <c r="L139" s="811"/>
      <c r="M139" s="811"/>
      <c r="N139" s="811"/>
      <c r="O139" s="811"/>
      <c r="P139" s="811"/>
      <c r="Q139" s="811"/>
      <c r="R139" s="811"/>
      <c r="S139" s="808" t="s">
        <v>1866</v>
      </c>
      <c r="T139" s="811" t="s">
        <v>1866</v>
      </c>
      <c r="U139" s="808">
        <v>0.5</v>
      </c>
    </row>
    <row r="140" spans="1:21" ht="16.5" outlineLevel="1">
      <c r="A140" s="1795" t="s">
        <v>1881</v>
      </c>
      <c r="B140" s="1795"/>
      <c r="C140" s="817" t="s">
        <v>1882</v>
      </c>
      <c r="D140" s="806">
        <f>D138*U138+D139*U139</f>
        <v>-48023.706211546581</v>
      </c>
      <c r="E140" s="810"/>
      <c r="F140" s="810"/>
      <c r="G140" s="811" t="s">
        <v>1866</v>
      </c>
      <c r="H140" s="811" t="s">
        <v>1866</v>
      </c>
      <c r="I140" s="811"/>
      <c r="J140" s="811"/>
      <c r="K140" s="811"/>
      <c r="L140" s="811"/>
      <c r="M140" s="811"/>
      <c r="N140" s="811"/>
      <c r="O140" s="811"/>
      <c r="P140" s="811"/>
      <c r="Q140" s="811"/>
      <c r="R140" s="811"/>
      <c r="S140" s="808" t="s">
        <v>1866</v>
      </c>
      <c r="T140" s="811" t="s">
        <v>1866</v>
      </c>
      <c r="U140" s="808">
        <v>1</v>
      </c>
    </row>
    <row r="143" spans="1:21">
      <c r="A143" s="1811" t="str">
        <f>A82</f>
        <v>行业无法确定</v>
      </c>
      <c r="B143" s="1811"/>
      <c r="C143" s="951">
        <f>D82</f>
        <v>3.2055555555555557</v>
      </c>
    </row>
    <row r="144" spans="1:21">
      <c r="A144" s="1811" t="str">
        <f>A102</f>
        <v>监管评分</v>
      </c>
      <c r="B144" s="1811"/>
      <c r="C144" s="951">
        <f>D102</f>
        <v>1.7472222222222222</v>
      </c>
    </row>
    <row r="145" spans="1:5">
      <c r="A145" s="1809" t="s">
        <v>1963</v>
      </c>
      <c r="B145" s="1810"/>
      <c r="C145" s="951">
        <f>D134*U134</f>
        <v>-48025.695100435471</v>
      </c>
    </row>
    <row r="146" spans="1:5">
      <c r="A146" s="1809" t="s">
        <v>1964</v>
      </c>
      <c r="B146" s="1810"/>
      <c r="C146" s="951">
        <f>D135*U135</f>
        <v>0.6</v>
      </c>
    </row>
    <row r="147" spans="1:5">
      <c r="A147" s="1809" t="s">
        <v>1965</v>
      </c>
      <c r="B147" s="1810"/>
      <c r="C147" s="951">
        <f>D137*U137</f>
        <v>1.3888888888888893</v>
      </c>
      <c r="D147" s="952" t="s">
        <v>1966</v>
      </c>
      <c r="E147" s="951">
        <f>D136*U136</f>
        <v>0</v>
      </c>
    </row>
  </sheetData>
  <mergeCells count="122">
    <mergeCell ref="A145:B145"/>
    <mergeCell ref="A146:B146"/>
    <mergeCell ref="A147:B147"/>
    <mergeCell ref="A143:B143"/>
    <mergeCell ref="A144:B144"/>
    <mergeCell ref="F2:F3"/>
    <mergeCell ref="G2:G3"/>
    <mergeCell ref="G23:H23"/>
    <mergeCell ref="S23:S24"/>
    <mergeCell ref="C2:C3"/>
    <mergeCell ref="D2:D3"/>
    <mergeCell ref="E2:E3"/>
    <mergeCell ref="A4:A13"/>
    <mergeCell ref="A14:B14"/>
    <mergeCell ref="A15:B15"/>
    <mergeCell ref="A16:B16"/>
    <mergeCell ref="A17:B17"/>
    <mergeCell ref="O2:O3"/>
    <mergeCell ref="P2:P3"/>
    <mergeCell ref="A39:B39"/>
    <mergeCell ref="A40:B40"/>
    <mergeCell ref="A43:B44"/>
    <mergeCell ref="C43:C44"/>
    <mergeCell ref="D43:D44"/>
    <mergeCell ref="T23:T24"/>
    <mergeCell ref="U23:U24"/>
    <mergeCell ref="A23:B24"/>
    <mergeCell ref="C23:C24"/>
    <mergeCell ref="D23:D24"/>
    <mergeCell ref="E23:E24"/>
    <mergeCell ref="F23:F24"/>
    <mergeCell ref="A18:B18"/>
    <mergeCell ref="A19:B19"/>
    <mergeCell ref="A25:A34"/>
    <mergeCell ref="A35:B35"/>
    <mergeCell ref="A36:B36"/>
    <mergeCell ref="A37:B37"/>
    <mergeCell ref="A38:B38"/>
    <mergeCell ref="A57:B57"/>
    <mergeCell ref="A58:B58"/>
    <mergeCell ref="A59:B59"/>
    <mergeCell ref="A60:B60"/>
    <mergeCell ref="U43:U44"/>
    <mergeCell ref="A45:A54"/>
    <mergeCell ref="A55:B55"/>
    <mergeCell ref="A56:B56"/>
    <mergeCell ref="E43:E44"/>
    <mergeCell ref="F43:F44"/>
    <mergeCell ref="G43:H43"/>
    <mergeCell ref="S43:S44"/>
    <mergeCell ref="T43:T44"/>
    <mergeCell ref="A78:B78"/>
    <mergeCell ref="G63:H63"/>
    <mergeCell ref="S63:S64"/>
    <mergeCell ref="T63:T64"/>
    <mergeCell ref="U63:U64"/>
    <mergeCell ref="A63:B64"/>
    <mergeCell ref="C63:C64"/>
    <mergeCell ref="D63:D64"/>
    <mergeCell ref="E63:E64"/>
    <mergeCell ref="F63:F64"/>
    <mergeCell ref="U83:U84"/>
    <mergeCell ref="A85:A94"/>
    <mergeCell ref="A95:B95"/>
    <mergeCell ref="A96:B96"/>
    <mergeCell ref="E83:E84"/>
    <mergeCell ref="F83:F84"/>
    <mergeCell ref="G83:H83"/>
    <mergeCell ref="S83:S84"/>
    <mergeCell ref="T83:T84"/>
    <mergeCell ref="A83:B84"/>
    <mergeCell ref="C83:C84"/>
    <mergeCell ref="D83:D84"/>
    <mergeCell ref="A105:A114"/>
    <mergeCell ref="A115:B115"/>
    <mergeCell ref="A116:B116"/>
    <mergeCell ref="A117:B117"/>
    <mergeCell ref="F103:F104"/>
    <mergeCell ref="G103:H103"/>
    <mergeCell ref="S103:S104"/>
    <mergeCell ref="T103:T104"/>
    <mergeCell ref="U103:U104"/>
    <mergeCell ref="A103:B104"/>
    <mergeCell ref="C103:C104"/>
    <mergeCell ref="D103:D104"/>
    <mergeCell ref="E103:E104"/>
    <mergeCell ref="U123:U124"/>
    <mergeCell ref="A125:A134"/>
    <mergeCell ref="C123:C124"/>
    <mergeCell ref="D123:D124"/>
    <mergeCell ref="E123:E124"/>
    <mergeCell ref="F123:F124"/>
    <mergeCell ref="G123:H123"/>
    <mergeCell ref="A118:B118"/>
    <mergeCell ref="A119:B119"/>
    <mergeCell ref="A120:B120"/>
    <mergeCell ref="A122:B122"/>
    <mergeCell ref="A123:B124"/>
    <mergeCell ref="A140:B140"/>
    <mergeCell ref="A2:B3"/>
    <mergeCell ref="A135:B135"/>
    <mergeCell ref="A136:B136"/>
    <mergeCell ref="A137:B137"/>
    <mergeCell ref="A138:B138"/>
    <mergeCell ref="A139:B139"/>
    <mergeCell ref="S123:S124"/>
    <mergeCell ref="T123:T124"/>
    <mergeCell ref="A102:B102"/>
    <mergeCell ref="A97:B97"/>
    <mergeCell ref="A98:B98"/>
    <mergeCell ref="A99:B99"/>
    <mergeCell ref="A100:B100"/>
    <mergeCell ref="A22:B22"/>
    <mergeCell ref="A42:B42"/>
    <mergeCell ref="A62:B62"/>
    <mergeCell ref="A82:B82"/>
    <mergeCell ref="A79:B79"/>
    <mergeCell ref="A80:B80"/>
    <mergeCell ref="A65:A74"/>
    <mergeCell ref="A75:B75"/>
    <mergeCell ref="A76:B76"/>
    <mergeCell ref="A77:B77"/>
  </mergeCells>
  <phoneticPr fontId="3" type="noConversion"/>
  <conditionalFormatting sqref="E22">
    <cfRule type="expression" dxfId="233" priority="35">
      <formula>$E$22&lt;&gt;0</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DW205"/>
  <sheetViews>
    <sheetView zoomScale="130" zoomScaleNormal="130" workbookViewId="0">
      <pane xSplit="18" ySplit="3" topLeftCell="X4" activePane="bottomRight" state="frozenSplit"/>
      <selection activeCell="C1" sqref="C1"/>
      <selection pane="topRight" activeCell="W1" sqref="W1"/>
      <selection pane="bottomLeft" activeCell="C3" sqref="C3"/>
      <selection pane="bottomRight" activeCell="X7" sqref="X7"/>
    </sheetView>
  </sheetViews>
  <sheetFormatPr defaultColWidth="8.875" defaultRowHeight="16.5" outlineLevelCol="3"/>
  <cols>
    <col min="1" max="1" width="34.25" style="319" hidden="1" customWidth="1" outlineLevel="3"/>
    <col min="2" max="2" width="18.875" style="319" hidden="1" customWidth="1" outlineLevel="1" collapsed="1"/>
    <col min="3" max="3" width="4.625" style="259" customWidth="1" collapsed="1"/>
    <col min="4" max="4" width="28.5" style="317" customWidth="1"/>
    <col min="5" max="5" width="12.875" style="347" hidden="1" customWidth="1" outlineLevel="1"/>
    <col min="6" max="6" width="17.25" style="355" hidden="1" customWidth="1" outlineLevel="2"/>
    <col min="7" max="7" width="10.75" style="355" hidden="1" customWidth="1" outlineLevel="2"/>
    <col min="8" max="8" width="10.75" style="354" hidden="1" customWidth="1" outlineLevel="1"/>
    <col min="9" max="9" width="4.375" style="319" customWidth="1" collapsed="1"/>
    <col min="10" max="10" width="10.375" style="354" hidden="1" customWidth="1" outlineLevel="1"/>
    <col min="11" max="11" width="7.375" style="355" hidden="1" customWidth="1" outlineLevel="1"/>
    <col min="12" max="12" width="10.625" style="354" hidden="1" customWidth="1" outlineLevel="1"/>
    <col min="13" max="13" width="7.25" style="319" hidden="1" customWidth="1" outlineLevel="1"/>
    <col min="14" max="14" width="6.625" style="319" hidden="1" customWidth="1" outlineLevel="1"/>
    <col min="15" max="15" width="7.375" style="312" hidden="1" customWidth="1" outlineLevel="1"/>
    <col min="16" max="16" width="5.25" style="312" hidden="1" customWidth="1" outlineLevel="1"/>
    <col min="17" max="17" width="7.875" style="312" hidden="1" customWidth="1" outlineLevel="1"/>
    <col min="18" max="18" width="8.875" style="312" customWidth="1" collapsed="1"/>
    <col min="19" max="19" width="4" style="312" customWidth="1"/>
    <col min="20" max="20" width="11.75" style="354" customWidth="1" outlineLevel="2"/>
    <col min="21" max="21" width="10.375" style="355" hidden="1" customWidth="1" outlineLevel="2"/>
    <col min="22" max="22" width="10.375" style="355" customWidth="1" outlineLevel="2"/>
    <col min="23" max="24" width="11.625" style="354" customWidth="1"/>
    <col min="25" max="25" width="7.5" style="355" customWidth="1"/>
    <col min="26" max="26" width="9.25" style="313" customWidth="1"/>
    <col min="27" max="27" width="3.75" style="313" customWidth="1"/>
    <col min="28" max="28" width="11.75" style="653" customWidth="1" outlineLevel="2"/>
    <col min="29" max="29" width="10.5" style="371" hidden="1" customWidth="1" outlineLevel="2"/>
    <col min="30" max="30" width="10.5" style="371" customWidth="1" outlineLevel="2"/>
    <col min="31" max="32" width="12.5" style="653" customWidth="1"/>
    <col min="33" max="33" width="7.625" style="371" customWidth="1"/>
    <col min="34" max="34" width="10.375" style="315" customWidth="1"/>
    <col min="35" max="35" width="4.125" style="315" customWidth="1"/>
    <col min="36" max="36" width="10.875" style="354" customWidth="1" outlineLevel="2"/>
    <col min="37" max="37" width="10.75" style="355" hidden="1" customWidth="1" outlineLevel="2"/>
    <col min="38" max="38" width="10.75" style="355" customWidth="1" outlineLevel="2"/>
    <col min="39" max="39" width="10.75" style="354" customWidth="1"/>
    <col min="40" max="40" width="7.75" style="355" hidden="1" customWidth="1"/>
    <col min="41" max="41" width="10.375" style="355" customWidth="1"/>
    <col min="42" max="42" width="10.25" style="313" customWidth="1"/>
    <col min="43" max="43" width="4.25" style="313" customWidth="1"/>
    <col min="44" max="44" width="13.125" style="653" customWidth="1" outlineLevel="2"/>
    <col min="45" max="45" width="8.25" style="371" hidden="1" customWidth="1" outlineLevel="2"/>
    <col min="46" max="46" width="8.25" style="371" customWidth="1" outlineLevel="2"/>
    <col min="47" max="47" width="13.125" style="653" customWidth="1"/>
    <col min="48" max="48" width="7.5" style="371" hidden="1" customWidth="1"/>
    <col min="49" max="49" width="9.625" style="371" customWidth="1"/>
    <col min="50" max="50" width="11.875" style="315" customWidth="1"/>
    <col min="51" max="51" width="4.625" style="315" customWidth="1"/>
    <col min="52" max="52" width="10.625" style="354" customWidth="1" outlineLevel="2"/>
    <col min="53" max="53" width="8.875" style="355" hidden="1" customWidth="1" outlineLevel="2"/>
    <col min="54" max="54" width="8.875" style="355" customWidth="1" outlineLevel="2"/>
    <col min="55" max="55" width="13.625" style="354" customWidth="1"/>
    <col min="56" max="56" width="7.25" style="355" hidden="1" customWidth="1"/>
    <col min="57" max="57" width="11" style="355" customWidth="1"/>
    <col min="58" max="58" width="10.5" style="313" customWidth="1"/>
    <col min="59" max="59" width="4.125" style="313" customWidth="1"/>
    <col min="60" max="60" width="12.75" style="653" customWidth="1" outlineLevel="2"/>
    <col min="61" max="61" width="7.875" style="371" hidden="1" customWidth="1" outlineLevel="2"/>
    <col min="62" max="62" width="7.875" style="371" customWidth="1" outlineLevel="2"/>
    <col min="63" max="63" width="13.25" style="653" customWidth="1"/>
    <col min="64" max="64" width="7.875" style="371" hidden="1" customWidth="1"/>
    <col min="65" max="65" width="11.625" style="371" customWidth="1"/>
    <col min="66" max="66" width="11.5" style="315" customWidth="1"/>
    <col min="67" max="67" width="4.25" style="315" customWidth="1"/>
    <col min="68" max="68" width="13.125" style="312" customWidth="1" outlineLevel="2"/>
    <col min="69" max="69" width="8.25" style="355" hidden="1" customWidth="1" outlineLevel="2"/>
    <col min="70" max="70" width="8.25" style="355" customWidth="1" outlineLevel="2"/>
    <col min="71" max="71" width="13.125" style="354" customWidth="1"/>
    <col min="72" max="72" width="8.25" style="355" hidden="1" customWidth="1"/>
    <col min="73" max="73" width="8.25" style="355" customWidth="1"/>
    <col min="74" max="74" width="11.375" style="313" customWidth="1"/>
    <col min="75" max="75" width="4.375" style="313" customWidth="1"/>
    <col min="76" max="76" width="12.125" style="314" customWidth="1" outlineLevel="2"/>
    <col min="77" max="77" width="7.75" style="371" hidden="1" customWidth="1" outlineLevel="2"/>
    <col min="78" max="78" width="12.5" style="371" customWidth="1" outlineLevel="2"/>
    <col min="79" max="79" width="14.25" style="653" customWidth="1"/>
    <col min="80" max="80" width="6.875" style="371" hidden="1" customWidth="1"/>
    <col min="81" max="81" width="9.625" style="371" customWidth="1"/>
    <col min="82" max="82" width="10.25" style="315" customWidth="1"/>
    <col min="83" max="83" width="4.375" style="315" customWidth="1"/>
    <col min="84" max="84" width="9.375" style="312" customWidth="1" outlineLevel="2"/>
    <col min="85" max="85" width="12.125" style="355" hidden="1" customWidth="1" outlineLevel="2"/>
    <col min="86" max="86" width="12.125" style="355" customWidth="1" outlineLevel="2"/>
    <col min="87" max="87" width="13.125" style="312" customWidth="1"/>
    <col min="88" max="88" width="8.125" style="355" hidden="1" customWidth="1"/>
    <col min="89" max="89" width="11.625" style="355" customWidth="1"/>
    <col min="90" max="90" width="9.25" style="313" customWidth="1"/>
    <col min="91" max="91" width="4.25" style="313" customWidth="1"/>
    <col min="92" max="92" width="11.125" style="314" customWidth="1" outlineLevel="2"/>
    <col min="93" max="93" width="8" style="371" hidden="1" customWidth="1" outlineLevel="2"/>
    <col min="94" max="94" width="13.25" style="371" customWidth="1" outlineLevel="2"/>
    <col min="95" max="95" width="12.375" style="314" customWidth="1"/>
    <col min="96" max="96" width="7.625" style="371" hidden="1" customWidth="1"/>
    <col min="97" max="97" width="11.125" style="371" customWidth="1"/>
    <col min="98" max="98" width="10.125" style="315" customWidth="1"/>
    <col min="99" max="99" width="9" style="314" customWidth="1"/>
    <col min="100" max="100" width="8.5" style="356" bestFit="1" customWidth="1"/>
    <col min="101" max="101" width="8.875" style="312" customWidth="1"/>
    <col min="102" max="102" width="20.875" style="512" customWidth="1" outlineLevel="1"/>
    <col min="103" max="103" width="14.125" style="512" customWidth="1" outlineLevel="1"/>
    <col min="104" max="104" width="14.125" style="513" hidden="1" customWidth="1" outlineLevel="2"/>
    <col min="105" max="105" width="8.875" style="512" customWidth="1" outlineLevel="1" collapsed="1"/>
    <col min="106" max="106" width="8.875" style="513" hidden="1" customWidth="1" outlineLevel="2"/>
    <col min="107" max="107" width="8.875" style="512" customWidth="1" outlineLevel="1" collapsed="1"/>
    <col min="108" max="108" width="8.875" style="513" hidden="1" customWidth="1" outlineLevel="2"/>
    <col min="109" max="109" width="8.875" style="512" customWidth="1" outlineLevel="1" collapsed="1"/>
    <col min="110" max="110" width="8.875" style="513" hidden="1" customWidth="1" outlineLevel="2"/>
    <col min="111" max="111" width="8.875" style="512" customWidth="1" outlineLevel="1" collapsed="1"/>
    <col min="112" max="112" width="8.875" style="513" hidden="1" customWidth="1" outlineLevel="2"/>
    <col min="113" max="113" width="8.875" style="512" customWidth="1" outlineLevel="1" collapsed="1"/>
    <col min="114" max="114" width="8.875" style="513" hidden="1" customWidth="1" outlineLevel="2"/>
    <col min="115" max="115" width="8.875" style="512" customWidth="1" outlineLevel="1" collapsed="1"/>
    <col min="116" max="116" width="8.875" style="513" hidden="1" customWidth="1" outlineLevel="2"/>
    <col min="117" max="117" width="8.875" style="512" customWidth="1" outlineLevel="1" collapsed="1"/>
    <col min="118" max="127" width="8.875" style="312"/>
    <col min="128" max="16384" width="8.875" style="1"/>
  </cols>
  <sheetData>
    <row r="1" spans="1:127">
      <c r="A1" s="498"/>
      <c r="B1" s="308"/>
      <c r="C1" s="496" t="s">
        <v>1172</v>
      </c>
      <c r="D1" s="497"/>
      <c r="E1" s="309"/>
      <c r="F1" s="308"/>
      <c r="G1" s="308"/>
      <c r="H1" s="310"/>
      <c r="I1" s="308"/>
      <c r="J1" s="310"/>
      <c r="K1" s="308"/>
      <c r="L1" s="310"/>
      <c r="M1" s="308" t="s">
        <v>1945</v>
      </c>
      <c r="N1" s="308"/>
      <c r="O1" s="311"/>
      <c r="P1" s="311"/>
      <c r="Q1" s="311"/>
      <c r="R1" s="311"/>
      <c r="S1" s="311"/>
      <c r="CV1" s="316"/>
    </row>
    <row r="2" spans="1:127" ht="20.25" customHeight="1">
      <c r="A2" s="318"/>
      <c r="B2" s="308"/>
      <c r="E2" s="309"/>
      <c r="F2" s="308"/>
      <c r="G2" s="308"/>
      <c r="H2" s="310"/>
      <c r="J2" s="1872" t="s">
        <v>1840</v>
      </c>
      <c r="K2" s="1873"/>
      <c r="L2" s="1873"/>
      <c r="M2" s="1873"/>
      <c r="N2" s="1873"/>
      <c r="O2" s="1873"/>
      <c r="P2" s="503"/>
      <c r="Q2" s="804"/>
      <c r="R2" s="804"/>
      <c r="S2" s="527"/>
      <c r="T2" s="1829" t="s">
        <v>1173</v>
      </c>
      <c r="U2" s="1830"/>
      <c r="V2" s="1830"/>
      <c r="W2" s="1830"/>
      <c r="X2" s="1830"/>
      <c r="Y2" s="1830"/>
      <c r="Z2" s="1831"/>
      <c r="AA2" s="609"/>
      <c r="AB2" s="1829" t="s">
        <v>1174</v>
      </c>
      <c r="AC2" s="1830"/>
      <c r="AD2" s="1830"/>
      <c r="AE2" s="1830"/>
      <c r="AF2" s="1830"/>
      <c r="AG2" s="1830"/>
      <c r="AH2" s="1831"/>
      <c r="AI2" s="609"/>
      <c r="AJ2" s="1829" t="s">
        <v>1175</v>
      </c>
      <c r="AK2" s="1830"/>
      <c r="AL2" s="1830"/>
      <c r="AM2" s="1830"/>
      <c r="AN2" s="1830"/>
      <c r="AO2" s="1830"/>
      <c r="AP2" s="1831"/>
      <c r="AQ2" s="609"/>
      <c r="AR2" s="1829" t="s">
        <v>1176</v>
      </c>
      <c r="AS2" s="1830"/>
      <c r="AT2" s="1830"/>
      <c r="AU2" s="1830"/>
      <c r="AV2" s="1830"/>
      <c r="AW2" s="1830"/>
      <c r="AX2" s="1831"/>
      <c r="AY2" s="609"/>
      <c r="AZ2" s="1829" t="s">
        <v>1177</v>
      </c>
      <c r="BA2" s="1830"/>
      <c r="BB2" s="1830"/>
      <c r="BC2" s="1830"/>
      <c r="BD2" s="1830"/>
      <c r="BE2" s="1830"/>
      <c r="BF2" s="1831"/>
      <c r="BG2" s="609"/>
      <c r="BH2" s="1829" t="s">
        <v>1178</v>
      </c>
      <c r="BI2" s="1830"/>
      <c r="BJ2" s="1830"/>
      <c r="BK2" s="1830"/>
      <c r="BL2" s="1830"/>
      <c r="BM2" s="1830"/>
      <c r="BN2" s="1831"/>
      <c r="BO2" s="609"/>
      <c r="BP2" s="1829" t="s">
        <v>1179</v>
      </c>
      <c r="BQ2" s="1830"/>
      <c r="BR2" s="1830"/>
      <c r="BS2" s="1830"/>
      <c r="BT2" s="1830"/>
      <c r="BU2" s="1830"/>
      <c r="BV2" s="1831"/>
      <c r="BW2" s="609"/>
      <c r="BX2" s="1829" t="s">
        <v>1180</v>
      </c>
      <c r="BY2" s="1830"/>
      <c r="BZ2" s="1830"/>
      <c r="CA2" s="1830"/>
      <c r="CB2" s="1830"/>
      <c r="CC2" s="1830"/>
      <c r="CD2" s="1831"/>
      <c r="CE2" s="609"/>
      <c r="CF2" s="1829" t="s">
        <v>1181</v>
      </c>
      <c r="CG2" s="1830"/>
      <c r="CH2" s="1830"/>
      <c r="CI2" s="1830"/>
      <c r="CJ2" s="1830"/>
      <c r="CK2" s="1830"/>
      <c r="CL2" s="1831"/>
      <c r="CM2" s="609"/>
      <c r="CN2" s="1829" t="s">
        <v>1984</v>
      </c>
      <c r="CO2" s="1830"/>
      <c r="CP2" s="1830"/>
      <c r="CQ2" s="1830"/>
      <c r="CR2" s="1830"/>
      <c r="CS2" s="1830"/>
      <c r="CT2" s="1831"/>
      <c r="CV2" s="316"/>
      <c r="CY2" s="512" t="s">
        <v>1183</v>
      </c>
    </row>
    <row r="3" spans="1:127" s="504" customFormat="1" ht="22.5" customHeight="1">
      <c r="A3" s="67" t="s">
        <v>1186</v>
      </c>
      <c r="B3" s="67" t="s">
        <v>1187</v>
      </c>
      <c r="C3" s="67" t="s">
        <v>1184</v>
      </c>
      <c r="D3" s="503" t="s">
        <v>1185</v>
      </c>
      <c r="E3" s="503" t="s">
        <v>1752</v>
      </c>
      <c r="F3" s="503" t="s">
        <v>1755</v>
      </c>
      <c r="G3" s="503" t="s">
        <v>1754</v>
      </c>
      <c r="H3" s="503" t="s">
        <v>1753</v>
      </c>
      <c r="I3" s="503" t="s">
        <v>1756</v>
      </c>
      <c r="J3" s="643" t="s">
        <v>1759</v>
      </c>
      <c r="K3" s="508" t="s">
        <v>1760</v>
      </c>
      <c r="L3" s="1030" t="s">
        <v>2347</v>
      </c>
      <c r="M3" s="508" t="s">
        <v>2344</v>
      </c>
      <c r="N3" s="507" t="s">
        <v>1841</v>
      </c>
      <c r="O3" s="975" t="s">
        <v>534</v>
      </c>
      <c r="P3" s="67" t="s">
        <v>1883</v>
      </c>
      <c r="Q3" s="814" t="s">
        <v>1884</v>
      </c>
      <c r="R3" s="814" t="s">
        <v>1885</v>
      </c>
      <c r="S3" s="805"/>
      <c r="T3" s="660" t="str">
        <f>J3</f>
        <v>Q2</v>
      </c>
      <c r="U3" s="503" t="str">
        <f>K3</f>
        <v>Q2得分</v>
      </c>
      <c r="V3" s="1433" t="s">
        <v>2518</v>
      </c>
      <c r="W3" s="659" t="str">
        <f>L3</f>
        <v>Q3</v>
      </c>
      <c r="X3" s="1433" t="s">
        <v>2518</v>
      </c>
      <c r="Y3" s="503" t="str">
        <f>M3</f>
        <v>Q3得分</v>
      </c>
      <c r="Z3" s="503" t="s">
        <v>1189</v>
      </c>
      <c r="AA3" s="503"/>
      <c r="AB3" s="503" t="str">
        <f>T3</f>
        <v>Q2</v>
      </c>
      <c r="AC3" s="503" t="str">
        <f>U3</f>
        <v>Q2得分</v>
      </c>
      <c r="AD3" s="1433" t="s">
        <v>2502</v>
      </c>
      <c r="AE3" s="659" t="str">
        <f>W3</f>
        <v>Q3</v>
      </c>
      <c r="AF3" s="1433" t="s">
        <v>2502</v>
      </c>
      <c r="AG3" s="503" t="str">
        <f>Y3</f>
        <v>Q3得分</v>
      </c>
      <c r="AH3" s="503" t="s">
        <v>1189</v>
      </c>
      <c r="AI3" s="503"/>
      <c r="AJ3" s="503" t="str">
        <f>AB3</f>
        <v>Q2</v>
      </c>
      <c r="AK3" s="503" t="str">
        <f>AC3</f>
        <v>Q2得分</v>
      </c>
      <c r="AL3" s="1433" t="s">
        <v>2502</v>
      </c>
      <c r="AM3" s="659" t="str">
        <f>AE3</f>
        <v>Q3</v>
      </c>
      <c r="AN3" s="503" t="str">
        <f>AG3</f>
        <v>Q3得分</v>
      </c>
      <c r="AO3" s="1433" t="s">
        <v>2502</v>
      </c>
      <c r="AP3" s="503" t="s">
        <v>1189</v>
      </c>
      <c r="AQ3" s="503"/>
      <c r="AR3" s="503" t="str">
        <f>AJ3</f>
        <v>Q2</v>
      </c>
      <c r="AS3" s="503" t="str">
        <f>AK3</f>
        <v>Q2得分</v>
      </c>
      <c r="AT3" s="1433" t="s">
        <v>2502</v>
      </c>
      <c r="AU3" s="659" t="str">
        <f>AM3</f>
        <v>Q3</v>
      </c>
      <c r="AV3" s="503" t="str">
        <f>AN3</f>
        <v>Q3得分</v>
      </c>
      <c r="AW3" s="1433" t="s">
        <v>2502</v>
      </c>
      <c r="AX3" s="503" t="s">
        <v>1189</v>
      </c>
      <c r="AY3" s="503"/>
      <c r="AZ3" s="503" t="str">
        <f>AR3</f>
        <v>Q2</v>
      </c>
      <c r="BA3" s="503" t="str">
        <f>AS3</f>
        <v>Q2得分</v>
      </c>
      <c r="BB3" s="1433" t="s">
        <v>2502</v>
      </c>
      <c r="BC3" s="659" t="str">
        <f>AU3</f>
        <v>Q3</v>
      </c>
      <c r="BD3" s="503" t="str">
        <f>AV3</f>
        <v>Q3得分</v>
      </c>
      <c r="BE3" s="1433" t="s">
        <v>2502</v>
      </c>
      <c r="BF3" s="503" t="str">
        <f>AX3</f>
        <v>数据校验</v>
      </c>
      <c r="BG3" s="503"/>
      <c r="BH3" s="503" t="str">
        <f>AZ3</f>
        <v>Q2</v>
      </c>
      <c r="BI3" s="503" t="str">
        <f>BA3</f>
        <v>Q2得分</v>
      </c>
      <c r="BJ3" s="1433" t="s">
        <v>2502</v>
      </c>
      <c r="BK3" s="659" t="str">
        <f>BC3</f>
        <v>Q3</v>
      </c>
      <c r="BL3" s="503" t="str">
        <f>BD3</f>
        <v>Q3得分</v>
      </c>
      <c r="BM3" s="1433" t="s">
        <v>2502</v>
      </c>
      <c r="BN3" s="503" t="str">
        <f>BF3</f>
        <v>数据校验</v>
      </c>
      <c r="BO3" s="503"/>
      <c r="BP3" s="503" t="str">
        <f>BH3</f>
        <v>Q2</v>
      </c>
      <c r="BQ3" s="503" t="str">
        <f>BI3</f>
        <v>Q2得分</v>
      </c>
      <c r="BR3" s="1433" t="s">
        <v>2502</v>
      </c>
      <c r="BS3" s="658" t="str">
        <f>BK3</f>
        <v>Q3</v>
      </c>
      <c r="BT3" s="503" t="str">
        <f>BL3</f>
        <v>Q3得分</v>
      </c>
      <c r="BU3" s="1433" t="s">
        <v>2502</v>
      </c>
      <c r="BV3" s="503" t="s">
        <v>1189</v>
      </c>
      <c r="BW3" s="503"/>
      <c r="BX3" s="503" t="str">
        <f>BP3</f>
        <v>Q2</v>
      </c>
      <c r="BY3" s="503" t="str">
        <f>BQ3</f>
        <v>Q2得分</v>
      </c>
      <c r="BZ3" s="1433" t="s">
        <v>2502</v>
      </c>
      <c r="CA3" s="659" t="str">
        <f>BS3</f>
        <v>Q3</v>
      </c>
      <c r="CB3" s="503" t="str">
        <f>BT3</f>
        <v>Q3得分</v>
      </c>
      <c r="CC3" s="1433" t="s">
        <v>2502</v>
      </c>
      <c r="CD3" s="503" t="s">
        <v>1189</v>
      </c>
      <c r="CE3" s="503"/>
      <c r="CF3" s="503" t="str">
        <f>BX3</f>
        <v>Q2</v>
      </c>
      <c r="CG3" s="503" t="str">
        <f>BY3</f>
        <v>Q2得分</v>
      </c>
      <c r="CH3" s="1433" t="s">
        <v>2502</v>
      </c>
      <c r="CI3" s="659" t="str">
        <f>CA3</f>
        <v>Q3</v>
      </c>
      <c r="CJ3" s="503" t="str">
        <f>CB3</f>
        <v>Q3得分</v>
      </c>
      <c r="CK3" s="1433" t="s">
        <v>2502</v>
      </c>
      <c r="CL3" s="503" t="str">
        <f>CD3</f>
        <v>数据校验</v>
      </c>
      <c r="CM3" s="503"/>
      <c r="CN3" s="503" t="str">
        <f>CF3</f>
        <v>Q2</v>
      </c>
      <c r="CO3" s="503" t="str">
        <f>CG3</f>
        <v>Q2得分</v>
      </c>
      <c r="CP3" s="1433" t="s">
        <v>2502</v>
      </c>
      <c r="CQ3" s="659" t="str">
        <f>CI3</f>
        <v>Q3</v>
      </c>
      <c r="CR3" s="503" t="str">
        <f>CJ3</f>
        <v>Q3得分</v>
      </c>
      <c r="CS3" s="1433" t="s">
        <v>2502</v>
      </c>
      <c r="CT3" s="503" t="s">
        <v>1189</v>
      </c>
      <c r="CU3" s="505"/>
      <c r="CX3" s="512" t="s">
        <v>1593</v>
      </c>
      <c r="CY3" s="514" t="s">
        <v>1579</v>
      </c>
      <c r="CZ3" s="515" t="s">
        <v>1580</v>
      </c>
      <c r="DA3" s="514" t="s">
        <v>1581</v>
      </c>
      <c r="DB3" s="515" t="s">
        <v>1582</v>
      </c>
      <c r="DC3" s="514" t="s">
        <v>1583</v>
      </c>
      <c r="DD3" s="515" t="s">
        <v>1584</v>
      </c>
      <c r="DE3" s="514" t="s">
        <v>1585</v>
      </c>
      <c r="DF3" s="515" t="s">
        <v>1586</v>
      </c>
      <c r="DG3" s="514" t="s">
        <v>1587</v>
      </c>
      <c r="DH3" s="515" t="s">
        <v>1588</v>
      </c>
      <c r="DI3" s="514" t="s">
        <v>1589</v>
      </c>
      <c r="DJ3" s="515" t="s">
        <v>1590</v>
      </c>
      <c r="DK3" s="514" t="s">
        <v>1591</v>
      </c>
      <c r="DL3" s="515" t="s">
        <v>1592</v>
      </c>
      <c r="DM3" s="512" t="s">
        <v>1436</v>
      </c>
    </row>
    <row r="4" spans="1:127" s="2" customFormat="1">
      <c r="A4" s="1860" t="s">
        <v>1193</v>
      </c>
      <c r="B4" s="1858" t="s">
        <v>1738</v>
      </c>
      <c r="C4" s="23">
        <v>1</v>
      </c>
      <c r="D4" s="998" t="s">
        <v>1192</v>
      </c>
      <c r="E4" s="481"/>
      <c r="F4" s="383"/>
      <c r="G4" s="383" t="s">
        <v>477</v>
      </c>
      <c r="H4" s="330" t="s">
        <v>282</v>
      </c>
      <c r="I4" s="382">
        <v>3</v>
      </c>
      <c r="J4" s="644">
        <f>AVERAGE(CN4,CF4,BX4,BP4,BH4,AZ4,AR4,AJ4,AB4,T4)</f>
        <v>0.15595238095238093</v>
      </c>
      <c r="K4" s="1334">
        <f>AVERAGE(CO4,CG4,BY4,BQ4,BI4,BA4,AS4,AK4,AC4,U4)</f>
        <v>2.5499999999999998</v>
      </c>
      <c r="L4" s="644">
        <f t="shared" ref="L4:L14" si="0">AVERAGE(CQ4,CI4,CA4,BS4,BK4,BC4,AU4,AM4,AE4,W4)</f>
        <v>0.20429292929292933</v>
      </c>
      <c r="M4" s="1333">
        <f>AVERAGE(CR4,CJ4,CB4,BT4,BL4,BD4,AV4,AN4,AG4,Y4)</f>
        <v>2.4</v>
      </c>
      <c r="N4" s="502">
        <f>M4-K4</f>
        <v>-0.14999999999999991</v>
      </c>
      <c r="O4" s="500">
        <f t="shared" ref="O4:O35" si="1">I4-M4</f>
        <v>0.60000000000000009</v>
      </c>
      <c r="P4" s="500">
        <f>O4*0.7</f>
        <v>0.42000000000000004</v>
      </c>
      <c r="Q4" s="816">
        <f>P4/9</f>
        <v>4.6666666666666669E-2</v>
      </c>
      <c r="R4" s="815">
        <f>Q4/2</f>
        <v>2.3333333333333334E-2</v>
      </c>
      <c r="S4" s="510"/>
      <c r="T4" s="639">
        <f>IF(SUM(T5:T6)=0,"",T5/SUM(T5:T6))</f>
        <v>0</v>
      </c>
      <c r="U4" s="322">
        <f>IF(T4&lt;=0.3,3,IF(T4&lt;=0.5,1.5,0))</f>
        <v>3</v>
      </c>
      <c r="V4" s="322"/>
      <c r="W4" s="639">
        <f>IF(SUM(W5:W6)=0,"",W5/SUM(W5:W6))</f>
        <v>0</v>
      </c>
      <c r="X4" s="639"/>
      <c r="Y4" s="322">
        <f>IF(W4&lt;=0.3,3,IF(W4&lt;=0.5,1.5,0))</f>
        <v>3</v>
      </c>
      <c r="Z4" s="323">
        <f t="shared" ref="Z4:Z14" si="2">IF(AND(T4=0,W4&lt;&gt;0),1,IF(AND(T4=0,W4=0),0,W4/T4-1))</f>
        <v>0</v>
      </c>
      <c r="AA4" s="510"/>
      <c r="AB4" s="639">
        <f>IF(SUM(AB5:AB6)=0,"",AB5/SUM(AB5:AB6))</f>
        <v>0.33333333333333331</v>
      </c>
      <c r="AC4" s="322">
        <f>IF(AB4&lt;=0.3,3,IF(AB4&lt;=0.5,1.5,0))</f>
        <v>1.5</v>
      </c>
      <c r="AD4" s="322"/>
      <c r="AE4" s="639">
        <f>IF(SUM(AE5:AE6)=0,"",AE5/SUM(AE5:AE6))</f>
        <v>0.33333333333333331</v>
      </c>
      <c r="AF4" s="639"/>
      <c r="AG4" s="1024">
        <f>IF(AE4&lt;=0.3,3,IF(AE4&lt;=0.5,1.5,0))</f>
        <v>1.5</v>
      </c>
      <c r="AH4" s="323">
        <f t="shared" ref="AH4:AH67" si="3">IF(AND(AB4=0,AE4&lt;&gt;0),1,IF(AND(AB4=0,AE4=0),0,AE4/AB4-1))</f>
        <v>0</v>
      </c>
      <c r="AI4" s="510"/>
      <c r="AJ4" s="639">
        <f>IF(SUM(AJ5:AJ6)=0,"",AJ5/SUM(AJ5:AJ6))</f>
        <v>0</v>
      </c>
      <c r="AK4" s="322">
        <f>IF(AJ4&lt;=0.3,3,IF(AJ4&lt;=0.5,1.5,0))</f>
        <v>3</v>
      </c>
      <c r="AL4" s="322"/>
      <c r="AM4" s="639">
        <f>IF(SUM(AM5:AM6)=0,"",AM5/SUM(AM5:AM6))</f>
        <v>0</v>
      </c>
      <c r="AN4" s="322">
        <f>IF(AM4&lt;=0.3,3,IF(AM4&lt;=0.5,1.5,0))</f>
        <v>3</v>
      </c>
      <c r="AO4" s="322"/>
      <c r="AP4" s="323">
        <f t="shared" ref="AP4:AP14" si="4">IF(AND(AJ4=0,AM4&lt;&gt;0),1,IF(AND(AJ4=0,AM4=0),0,AM4/AJ4-1))</f>
        <v>0</v>
      </c>
      <c r="AQ4" s="510"/>
      <c r="AR4" s="639">
        <f>IF(SUM(AR5:AR6)=0,"",AR5/SUM(AR5:AR6))</f>
        <v>0</v>
      </c>
      <c r="AS4" s="322">
        <f>IF(AR4&lt;=0.3,3,IF(AR4&lt;=0.5,1.5,0))</f>
        <v>3</v>
      </c>
      <c r="AT4" s="322"/>
      <c r="AU4" s="639">
        <f>IF(SUM(AU5:AU6)=0,"",AU5/SUM(AU5:AU6))</f>
        <v>0</v>
      </c>
      <c r="AV4" s="322">
        <f>IF(AU4&lt;=0.3,3,IF(AU4&lt;=0.5,1.5,0))</f>
        <v>3</v>
      </c>
      <c r="AW4" s="322"/>
      <c r="AX4" s="323">
        <f t="shared" ref="AX4:AX14" si="5">IF(AND(AR4=0,AU4&lt;&gt;0),1,IF(AND(AR4=0,AU4=0),0,AU4/AR4-1))</f>
        <v>0</v>
      </c>
      <c r="AY4" s="510"/>
      <c r="AZ4" s="639">
        <f>IF(SUM(AZ5:AZ6)=0,"",AZ5/SUM(AZ5:AZ6))</f>
        <v>0.14285714285714285</v>
      </c>
      <c r="BA4" s="322">
        <f>IF(AZ4&lt;=0.3,3,IF(AZ4&lt;=0.5,1.5,0))</f>
        <v>3</v>
      </c>
      <c r="BB4" s="322"/>
      <c r="BC4" s="639">
        <f>IF(SUM(BC5:BC6)=0,"",BC5/SUM(BC5:BC6))</f>
        <v>0.1111111111111111</v>
      </c>
      <c r="BD4" s="322">
        <f>IF(BC4&lt;=0.3,3,IF(BC4&lt;=0.5,1.5,0))</f>
        <v>3</v>
      </c>
      <c r="BE4" s="322"/>
      <c r="BF4" s="323">
        <f t="shared" ref="BF4:BF67" si="6">IF(AND(AZ4=0,BC4&lt;&gt;0),1,IF(AND(AZ4=0,BC4=0),0,BC4/AZ4-1))</f>
        <v>-0.22222222222222221</v>
      </c>
      <c r="BG4" s="510"/>
      <c r="BH4" s="639">
        <f>IF(SUM(BH5:BH6)=0,"",BH5/SUM(BH5:BH6))</f>
        <v>0.25</v>
      </c>
      <c r="BI4" s="322">
        <f>IF(BH4&lt;=0.3,3,IF(BH4&lt;=0.5,1.5,0))</f>
        <v>3</v>
      </c>
      <c r="BJ4" s="322"/>
      <c r="BK4" s="639">
        <f>IF(SUM(BK5:BK6)=0,"",BK5/SUM(BK5:BK6))</f>
        <v>0.25</v>
      </c>
      <c r="BL4" s="322">
        <f>IF(BK4&lt;=0.3,3,IF(BK4&lt;=0.5,1.5,0))</f>
        <v>3</v>
      </c>
      <c r="BM4" s="322"/>
      <c r="BN4" s="323">
        <f t="shared" ref="BN4:BN67" si="7">IF(AND(BH4=0,BK4&lt;&gt;0),1,IF(AND(BH4=0,BK4=0),0,BK4/BH4-1))</f>
        <v>0</v>
      </c>
      <c r="BO4" s="510"/>
      <c r="BP4" s="321">
        <f>IF(SUM(BP5:BP6)=0,"",BP5/SUM(BP5:BP6))</f>
        <v>0.5</v>
      </c>
      <c r="BQ4" s="322">
        <f>IF(BP4&lt;=0.3,3,IF(BP4&lt;=0.5,1.5,0))</f>
        <v>1.5</v>
      </c>
      <c r="BR4" s="322"/>
      <c r="BS4" s="321">
        <f>IF(SUM(BS5:BS6)=0,"",BS5/SUM(BS5:BS6))</f>
        <v>0.66666666666666663</v>
      </c>
      <c r="BT4" s="1024">
        <f>IF(BS4&lt;=0.3,3,IF(BS4&lt;=0.5,1.5,0))</f>
        <v>0</v>
      </c>
      <c r="BU4" s="1024"/>
      <c r="BV4" s="323">
        <f t="shared" ref="BV4:BV67" si="8">IF(AND(BP4=0,BS4&lt;&gt;0),1,IF(AND(BP4=0,BS4=0),0,BS4/BP4-1))</f>
        <v>0.33333333333333326</v>
      </c>
      <c r="BW4" s="510"/>
      <c r="BX4" s="639">
        <f>IF(SUM(BX5:BX6)=0,"",BX5/SUM(BX5:BX6))</f>
        <v>0</v>
      </c>
      <c r="BY4" s="322">
        <f>IF(BX4&lt;=0.3,3,IF(BX4&lt;=0.5,1.5,0))</f>
        <v>3</v>
      </c>
      <c r="BZ4" s="322"/>
      <c r="CA4" s="639">
        <f>IF(SUM(CA5:CA6)=0,"",CA5/SUM(CA5:CA6))</f>
        <v>0.18181818181818182</v>
      </c>
      <c r="CB4" s="322">
        <f>IF(CA4&lt;=0.3,3,IF(CA4&lt;=0.5,1.5,0))</f>
        <v>3</v>
      </c>
      <c r="CC4" s="322"/>
      <c r="CD4" s="323">
        <f t="shared" ref="CD4:CD67" si="9">IF(AND(BX4=0,CA4&lt;&gt;0),1,IF(AND(BX4=0,CA4=0),0,CA4/BX4-1))</f>
        <v>1</v>
      </c>
      <c r="CE4" s="510"/>
      <c r="CF4" s="639">
        <f>IF(SUM(CF5:CF6)=0,"",CF5/SUM(CF5:CF6))</f>
        <v>0.33333333333333331</v>
      </c>
      <c r="CG4" s="1024">
        <f>IF(CF4&lt;=0.3,3,IF(CF4&lt;=0.5,1.5,0))</f>
        <v>1.5</v>
      </c>
      <c r="CH4" s="1024"/>
      <c r="CI4" s="639">
        <f>IF(SUM(CI5:CI6)=0,"",CI5/SUM(CI5:CI6))</f>
        <v>0.33333333333333331</v>
      </c>
      <c r="CJ4" s="1024">
        <f>IF(CI4&lt;=0.3,3,IF(CI4&lt;=0.5,1.5,0))</f>
        <v>1.5</v>
      </c>
      <c r="CK4" s="1024"/>
      <c r="CL4" s="323">
        <f t="shared" ref="CL4:CL67" si="10">IF(AND(CF4=0,CI4&lt;&gt;0),1,IF(AND(CF4=0,CI4=0),0,CI4/CF4-1))</f>
        <v>0</v>
      </c>
      <c r="CM4" s="510"/>
      <c r="CN4" s="639">
        <f>IF(SUM(CN5:CN6)=0,"",CN5/SUM(CN5:CN6))</f>
        <v>0</v>
      </c>
      <c r="CO4" s="322">
        <f>IF(CN4&lt;=0.3,3,IF(CN4&lt;=0.5,1.5,0))</f>
        <v>3</v>
      </c>
      <c r="CP4" s="322"/>
      <c r="CQ4" s="639">
        <f>IF(SUM(CQ5:CQ6)=0,"",CQ5/SUM(CQ5:CQ6))</f>
        <v>0.16666666666666666</v>
      </c>
      <c r="CR4" s="322">
        <f>IF(CQ4&lt;=0.3,3,IF(CQ4&lt;=0.5,1.5,0))</f>
        <v>3</v>
      </c>
      <c r="CS4" s="322"/>
      <c r="CT4" s="323">
        <f t="shared" ref="CT4:CT14" si="11">IF(AND(CN4=0,CQ4&lt;&gt;0),1,IF(AND(CN4=0,CQ4=0),0,CQ4/CN4-1))</f>
        <v>1</v>
      </c>
      <c r="CU4" s="315"/>
      <c r="CX4" s="506"/>
      <c r="CY4" s="521">
        <v>0</v>
      </c>
      <c r="CZ4" s="522">
        <f t="shared" ref="CZ4:CZ9" si="12">$M4</f>
        <v>2.4</v>
      </c>
      <c r="DA4" s="521">
        <v>0</v>
      </c>
      <c r="DB4" s="522">
        <f t="shared" ref="DB4:DB9" si="13">$M4</f>
        <v>2.4</v>
      </c>
      <c r="DC4" s="521">
        <v>0</v>
      </c>
      <c r="DD4" s="522">
        <f t="shared" ref="DD4:DD9" si="14">$M4</f>
        <v>2.4</v>
      </c>
      <c r="DE4" s="521">
        <v>0</v>
      </c>
      <c r="DF4" s="522">
        <f t="shared" ref="DF4:DF9" si="15">$M4</f>
        <v>2.4</v>
      </c>
      <c r="DG4" s="521">
        <v>0</v>
      </c>
      <c r="DH4" s="522">
        <f t="shared" ref="DH4:DH9" si="16">$M4</f>
        <v>2.4</v>
      </c>
      <c r="DI4" s="521">
        <v>0</v>
      </c>
      <c r="DJ4" s="522">
        <f t="shared" ref="DJ4:DJ9" si="17">$M4</f>
        <v>2.4</v>
      </c>
      <c r="DK4" s="521">
        <v>0</v>
      </c>
      <c r="DL4" s="522">
        <f t="shared" ref="DL4:DL35" si="18">$M4</f>
        <v>2.4</v>
      </c>
      <c r="DM4" s="506">
        <f>SUM(CY4:DK4)</f>
        <v>14.4</v>
      </c>
      <c r="DN4" s="313"/>
      <c r="DO4" s="313"/>
      <c r="DP4" s="313"/>
      <c r="DQ4" s="313"/>
      <c r="DR4" s="313"/>
      <c r="DS4" s="313"/>
      <c r="DT4" s="313"/>
      <c r="DU4" s="313"/>
      <c r="DV4" s="313"/>
      <c r="DW4" s="313"/>
    </row>
    <row r="5" spans="1:127" s="2" customFormat="1" ht="28.5">
      <c r="A5" s="1861"/>
      <c r="B5" s="1859"/>
      <c r="C5" s="384">
        <v>1.1000000000000001</v>
      </c>
      <c r="D5" s="1337" t="s">
        <v>2369</v>
      </c>
      <c r="E5" s="482" t="s">
        <v>1194</v>
      </c>
      <c r="F5" s="328" t="s">
        <v>1195</v>
      </c>
      <c r="G5" s="327"/>
      <c r="H5" s="326"/>
      <c r="I5" s="383"/>
      <c r="J5" s="645">
        <f t="shared" ref="J5:J14" si="19">AVERAGE(CN5,CF5,BX5,BP5,BH5,AZ5,AR5,AJ5,AB5,T5)</f>
        <v>0.9</v>
      </c>
      <c r="K5" s="651"/>
      <c r="L5" s="645">
        <f t="shared" si="0"/>
        <v>1.3</v>
      </c>
      <c r="M5" s="501"/>
      <c r="N5" s="502">
        <f t="shared" ref="N5:N68" si="20">M5-K5</f>
        <v>0</v>
      </c>
      <c r="O5" s="500">
        <f t="shared" si="1"/>
        <v>0</v>
      </c>
      <c r="P5" s="500">
        <f t="shared" ref="P5:P68" si="21">O5*0.7</f>
        <v>0</v>
      </c>
      <c r="Q5" s="816">
        <f t="shared" ref="Q5:Q68" si="22">P5/9</f>
        <v>0</v>
      </c>
      <c r="R5" s="815">
        <f t="shared" ref="R5:R68" si="23">Q5/2</f>
        <v>0</v>
      </c>
      <c r="S5" s="510"/>
      <c r="T5" s="1317">
        <v>0</v>
      </c>
      <c r="U5" s="610"/>
      <c r="V5" s="1444"/>
      <c r="W5" s="330">
        <v>0</v>
      </c>
      <c r="X5" s="1424">
        <v>0</v>
      </c>
      <c r="Y5" s="610"/>
      <c r="Z5" s="323">
        <f t="shared" si="2"/>
        <v>0</v>
      </c>
      <c r="AA5" s="510"/>
      <c r="AB5" s="1317">
        <v>1</v>
      </c>
      <c r="AC5" s="610"/>
      <c r="AD5" s="1444"/>
      <c r="AE5" s="330">
        <v>1</v>
      </c>
      <c r="AF5" s="1424">
        <v>0</v>
      </c>
      <c r="AG5" s="610"/>
      <c r="AH5" s="323">
        <f t="shared" si="3"/>
        <v>0</v>
      </c>
      <c r="AI5" s="510"/>
      <c r="AJ5" s="1317">
        <v>0</v>
      </c>
      <c r="AK5" s="610"/>
      <c r="AL5" s="1444"/>
      <c r="AM5" s="330">
        <v>0</v>
      </c>
      <c r="AN5" s="610"/>
      <c r="AO5" s="1421">
        <v>0</v>
      </c>
      <c r="AP5" s="323">
        <f t="shared" si="4"/>
        <v>0</v>
      </c>
      <c r="AQ5" s="510"/>
      <c r="AR5" s="1317">
        <v>0</v>
      </c>
      <c r="AS5" s="610"/>
      <c r="AT5" s="1444"/>
      <c r="AU5" s="330">
        <v>0</v>
      </c>
      <c r="AV5" s="610"/>
      <c r="AW5" s="1421">
        <v>0</v>
      </c>
      <c r="AX5" s="323">
        <f t="shared" si="5"/>
        <v>0</v>
      </c>
      <c r="AY5" s="510"/>
      <c r="AZ5" s="1317">
        <v>1</v>
      </c>
      <c r="BA5" s="610"/>
      <c r="BB5" s="1444"/>
      <c r="BC5" s="330">
        <v>1</v>
      </c>
      <c r="BD5" s="610"/>
      <c r="BE5" s="1421">
        <v>0</v>
      </c>
      <c r="BF5" s="323">
        <f t="shared" si="6"/>
        <v>0</v>
      </c>
      <c r="BG5" s="510"/>
      <c r="BH5" s="1317">
        <v>4</v>
      </c>
      <c r="BI5" s="610"/>
      <c r="BJ5" s="1444"/>
      <c r="BK5" s="330">
        <v>4</v>
      </c>
      <c r="BL5" s="610"/>
      <c r="BM5" s="1421">
        <v>4</v>
      </c>
      <c r="BN5" s="323">
        <f t="shared" si="7"/>
        <v>0</v>
      </c>
      <c r="BO5" s="510"/>
      <c r="BP5" s="1317">
        <v>1</v>
      </c>
      <c r="BQ5" s="610"/>
      <c r="BR5" s="1444"/>
      <c r="BS5" s="330">
        <v>2</v>
      </c>
      <c r="BT5" s="610"/>
      <c r="BU5" s="1421">
        <v>0</v>
      </c>
      <c r="BV5" s="323">
        <f t="shared" si="8"/>
        <v>1</v>
      </c>
      <c r="BW5" s="510"/>
      <c r="BX5" s="1317">
        <v>0</v>
      </c>
      <c r="BY5" s="610"/>
      <c r="BZ5" s="1444"/>
      <c r="CA5" s="330">
        <v>2</v>
      </c>
      <c r="CB5" s="610"/>
      <c r="CC5" s="1421">
        <v>0</v>
      </c>
      <c r="CD5" s="323">
        <f t="shared" si="9"/>
        <v>1</v>
      </c>
      <c r="CE5" s="510"/>
      <c r="CF5" s="1317">
        <v>2</v>
      </c>
      <c r="CG5" s="610"/>
      <c r="CH5" s="1444"/>
      <c r="CI5" s="330">
        <v>2</v>
      </c>
      <c r="CJ5" s="610"/>
      <c r="CK5" s="1421">
        <v>2</v>
      </c>
      <c r="CL5" s="323">
        <f t="shared" si="10"/>
        <v>0</v>
      </c>
      <c r="CM5" s="510"/>
      <c r="CN5" s="1317">
        <v>0</v>
      </c>
      <c r="CO5" s="610"/>
      <c r="CP5" s="1444"/>
      <c r="CQ5" s="330">
        <v>1</v>
      </c>
      <c r="CR5" s="610"/>
      <c r="CS5" s="1421">
        <v>1</v>
      </c>
      <c r="CT5" s="323">
        <f t="shared" si="11"/>
        <v>1</v>
      </c>
      <c r="CU5" s="315"/>
      <c r="CX5" s="506"/>
      <c r="CY5" s="521">
        <v>0</v>
      </c>
      <c r="CZ5" s="522">
        <f t="shared" si="12"/>
        <v>0</v>
      </c>
      <c r="DA5" s="521">
        <v>0</v>
      </c>
      <c r="DB5" s="522">
        <f t="shared" si="13"/>
        <v>0</v>
      </c>
      <c r="DC5" s="521">
        <v>0</v>
      </c>
      <c r="DD5" s="522">
        <f t="shared" si="14"/>
        <v>0</v>
      </c>
      <c r="DE5" s="521">
        <v>0</v>
      </c>
      <c r="DF5" s="522">
        <f t="shared" si="15"/>
        <v>0</v>
      </c>
      <c r="DG5" s="521">
        <v>0</v>
      </c>
      <c r="DH5" s="522">
        <f t="shared" si="16"/>
        <v>0</v>
      </c>
      <c r="DI5" s="521">
        <v>0</v>
      </c>
      <c r="DJ5" s="522">
        <f t="shared" si="17"/>
        <v>0</v>
      </c>
      <c r="DK5" s="521">
        <v>0</v>
      </c>
      <c r="DL5" s="522">
        <f t="shared" si="18"/>
        <v>0</v>
      </c>
      <c r="DM5" s="506">
        <f t="shared" ref="DM5:DM68" si="24">SUM(CY5:DK5)</f>
        <v>0</v>
      </c>
      <c r="DN5" s="313"/>
      <c r="DO5" s="313"/>
      <c r="DP5" s="313"/>
      <c r="DQ5" s="313"/>
      <c r="DR5" s="313"/>
      <c r="DS5" s="313"/>
      <c r="DT5" s="313"/>
      <c r="DU5" s="313"/>
      <c r="DV5" s="313"/>
      <c r="DW5" s="313"/>
    </row>
    <row r="6" spans="1:127" s="2" customFormat="1" ht="28.5">
      <c r="A6" s="1862"/>
      <c r="B6" s="1859"/>
      <c r="C6" s="384">
        <v>1.2</v>
      </c>
      <c r="D6" s="1337" t="s">
        <v>2370</v>
      </c>
      <c r="E6" s="482" t="s">
        <v>1194</v>
      </c>
      <c r="F6" s="328" t="s">
        <v>1195</v>
      </c>
      <c r="G6" s="327"/>
      <c r="H6" s="326"/>
      <c r="I6" s="383"/>
      <c r="J6" s="645">
        <f t="shared" si="19"/>
        <v>5.3</v>
      </c>
      <c r="K6" s="651"/>
      <c r="L6" s="645">
        <f t="shared" si="0"/>
        <v>5.6</v>
      </c>
      <c r="M6" s="501"/>
      <c r="N6" s="502">
        <f t="shared" si="20"/>
        <v>0</v>
      </c>
      <c r="O6" s="500">
        <f t="shared" si="1"/>
        <v>0</v>
      </c>
      <c r="P6" s="500">
        <f t="shared" si="21"/>
        <v>0</v>
      </c>
      <c r="Q6" s="816">
        <f t="shared" si="22"/>
        <v>0</v>
      </c>
      <c r="R6" s="815">
        <f t="shared" si="23"/>
        <v>0</v>
      </c>
      <c r="S6" s="510"/>
      <c r="T6" s="1317">
        <v>4</v>
      </c>
      <c r="U6" s="610"/>
      <c r="V6" s="1444"/>
      <c r="W6" s="330">
        <v>4</v>
      </c>
      <c r="X6" s="1424">
        <v>3</v>
      </c>
      <c r="Y6" s="610"/>
      <c r="Z6" s="323">
        <f t="shared" si="2"/>
        <v>0</v>
      </c>
      <c r="AA6" s="510"/>
      <c r="AB6" s="1317">
        <v>2</v>
      </c>
      <c r="AC6" s="610"/>
      <c r="AD6" s="1444"/>
      <c r="AE6" s="330">
        <v>2</v>
      </c>
      <c r="AF6" s="1424">
        <v>2</v>
      </c>
      <c r="AG6" s="610"/>
      <c r="AH6" s="323">
        <f t="shared" si="3"/>
        <v>0</v>
      </c>
      <c r="AI6" s="510"/>
      <c r="AJ6" s="1317">
        <v>9</v>
      </c>
      <c r="AK6" s="610"/>
      <c r="AL6" s="1444"/>
      <c r="AM6" s="330">
        <v>9</v>
      </c>
      <c r="AN6" s="610"/>
      <c r="AO6" s="1421">
        <v>7</v>
      </c>
      <c r="AP6" s="323">
        <f t="shared" si="4"/>
        <v>0</v>
      </c>
      <c r="AQ6" s="510"/>
      <c r="AR6" s="1317">
        <v>2</v>
      </c>
      <c r="AS6" s="610"/>
      <c r="AT6" s="1444"/>
      <c r="AU6" s="330">
        <v>2</v>
      </c>
      <c r="AV6" s="610"/>
      <c r="AW6" s="1421">
        <v>2</v>
      </c>
      <c r="AX6" s="323">
        <f t="shared" si="5"/>
        <v>0</v>
      </c>
      <c r="AY6" s="510"/>
      <c r="AZ6" s="1317">
        <v>6</v>
      </c>
      <c r="BA6" s="610"/>
      <c r="BB6" s="1444"/>
      <c r="BC6" s="330">
        <v>8</v>
      </c>
      <c r="BD6" s="610"/>
      <c r="BE6" s="1421">
        <v>1</v>
      </c>
      <c r="BF6" s="323">
        <f t="shared" si="6"/>
        <v>0.33333333333333326</v>
      </c>
      <c r="BG6" s="510"/>
      <c r="BH6" s="1317">
        <v>12</v>
      </c>
      <c r="BI6" s="610"/>
      <c r="BJ6" s="1444"/>
      <c r="BK6" s="330">
        <v>12</v>
      </c>
      <c r="BL6" s="610"/>
      <c r="BM6" s="1421">
        <v>21</v>
      </c>
      <c r="BN6" s="323">
        <f t="shared" si="7"/>
        <v>0</v>
      </c>
      <c r="BO6" s="510"/>
      <c r="BP6" s="1317">
        <v>1</v>
      </c>
      <c r="BQ6" s="610"/>
      <c r="BR6" s="1444"/>
      <c r="BS6" s="330">
        <v>1</v>
      </c>
      <c r="BT6" s="610"/>
      <c r="BU6" s="1421">
        <v>1</v>
      </c>
      <c r="BV6" s="323">
        <f t="shared" si="8"/>
        <v>0</v>
      </c>
      <c r="BW6" s="510"/>
      <c r="BX6" s="1317">
        <v>8</v>
      </c>
      <c r="BY6" s="610"/>
      <c r="BZ6" s="1444"/>
      <c r="CA6" s="330">
        <v>9</v>
      </c>
      <c r="CB6" s="610"/>
      <c r="CC6" s="1421">
        <v>6</v>
      </c>
      <c r="CD6" s="323">
        <f t="shared" si="9"/>
        <v>0.125</v>
      </c>
      <c r="CE6" s="510"/>
      <c r="CF6" s="1317">
        <v>4</v>
      </c>
      <c r="CG6" s="610"/>
      <c r="CH6" s="1444"/>
      <c r="CI6" s="330">
        <v>4</v>
      </c>
      <c r="CJ6" s="610"/>
      <c r="CK6" s="1421">
        <v>6</v>
      </c>
      <c r="CL6" s="323">
        <f t="shared" si="10"/>
        <v>0</v>
      </c>
      <c r="CM6" s="510"/>
      <c r="CN6" s="1317">
        <v>5</v>
      </c>
      <c r="CO6" s="610"/>
      <c r="CP6" s="1444"/>
      <c r="CQ6" s="330">
        <v>5</v>
      </c>
      <c r="CR6" s="610"/>
      <c r="CS6" s="1421">
        <v>5</v>
      </c>
      <c r="CT6" s="323">
        <f t="shared" si="11"/>
        <v>0</v>
      </c>
      <c r="CU6" s="315"/>
      <c r="CX6" s="506"/>
      <c r="CY6" s="521">
        <v>0</v>
      </c>
      <c r="CZ6" s="522">
        <f t="shared" si="12"/>
        <v>0</v>
      </c>
      <c r="DA6" s="521">
        <v>0</v>
      </c>
      <c r="DB6" s="522">
        <f t="shared" si="13"/>
        <v>0</v>
      </c>
      <c r="DC6" s="521">
        <v>0</v>
      </c>
      <c r="DD6" s="522">
        <f t="shared" si="14"/>
        <v>0</v>
      </c>
      <c r="DE6" s="521">
        <v>0</v>
      </c>
      <c r="DF6" s="522">
        <f t="shared" si="15"/>
        <v>0</v>
      </c>
      <c r="DG6" s="521">
        <v>0</v>
      </c>
      <c r="DH6" s="522">
        <f t="shared" si="16"/>
        <v>0</v>
      </c>
      <c r="DI6" s="521">
        <v>0</v>
      </c>
      <c r="DJ6" s="522">
        <f t="shared" si="17"/>
        <v>0</v>
      </c>
      <c r="DK6" s="521">
        <v>0</v>
      </c>
      <c r="DL6" s="522">
        <f t="shared" si="18"/>
        <v>0</v>
      </c>
      <c r="DM6" s="506">
        <f t="shared" si="24"/>
        <v>0</v>
      </c>
      <c r="DN6" s="313"/>
      <c r="DO6" s="313"/>
      <c r="DP6" s="313"/>
      <c r="DQ6" s="313"/>
      <c r="DR6" s="313"/>
      <c r="DS6" s="313"/>
      <c r="DT6" s="313"/>
      <c r="DU6" s="313"/>
      <c r="DV6" s="313"/>
      <c r="DW6" s="313"/>
    </row>
    <row r="7" spans="1:127" s="2" customFormat="1" ht="28.5">
      <c r="A7" s="1863" t="s">
        <v>1197</v>
      </c>
      <c r="B7" s="1864" t="s">
        <v>2401</v>
      </c>
      <c r="C7" s="23">
        <v>2</v>
      </c>
      <c r="D7" s="329" t="s">
        <v>1196</v>
      </c>
      <c r="E7" s="481"/>
      <c r="F7" s="383"/>
      <c r="G7" s="383" t="s">
        <v>474</v>
      </c>
      <c r="H7" s="330" t="s">
        <v>282</v>
      </c>
      <c r="I7" s="382">
        <v>2</v>
      </c>
      <c r="J7" s="644">
        <f t="shared" si="19"/>
        <v>0.99444444444444446</v>
      </c>
      <c r="K7" s="651">
        <f>AVERAGE(CO7,CG7,BY7,BQ7,BI7,BA7,AS7,AK7,AC7,U7)</f>
        <v>2</v>
      </c>
      <c r="L7" s="644">
        <f t="shared" si="0"/>
        <v>1</v>
      </c>
      <c r="M7" s="501">
        <f>AVERAGE(CR7,CJ7,CB7,BT7,BL7,BD7,AV7,AN7,AG7,Y7)</f>
        <v>2</v>
      </c>
      <c r="N7" s="502">
        <f t="shared" si="20"/>
        <v>0</v>
      </c>
      <c r="O7" s="500">
        <f t="shared" si="1"/>
        <v>0</v>
      </c>
      <c r="P7" s="500">
        <f t="shared" si="21"/>
        <v>0</v>
      </c>
      <c r="Q7" s="816">
        <f t="shared" si="22"/>
        <v>0</v>
      </c>
      <c r="R7" s="815">
        <f t="shared" si="23"/>
        <v>0</v>
      </c>
      <c r="S7" s="510"/>
      <c r="T7" s="639">
        <f>IF(T9=0,"",T8/T9)</f>
        <v>1</v>
      </c>
      <c r="U7" s="331">
        <f>IF(T7&gt;=0.8,2,IF(T7&gt;=50%,1,0))</f>
        <v>2</v>
      </c>
      <c r="V7" s="331"/>
      <c r="W7" s="639">
        <f>IF(W9=0,"",W8/W9)</f>
        <v>1</v>
      </c>
      <c r="X7" s="639"/>
      <c r="Y7" s="331">
        <f>IF(W7&gt;=0.8,2,IF(W7&gt;=0.5,1,0))</f>
        <v>2</v>
      </c>
      <c r="Z7" s="323">
        <f t="shared" si="2"/>
        <v>0</v>
      </c>
      <c r="AA7" s="510"/>
      <c r="AB7" s="639">
        <f>IF(AB9=0,"",AB8/AB9)</f>
        <v>1</v>
      </c>
      <c r="AC7" s="331">
        <f>IF(AB7&gt;=0.8,2,IF(AB7&gt;=50%,1,0))</f>
        <v>2</v>
      </c>
      <c r="AD7" s="331"/>
      <c r="AE7" s="639">
        <f>IF(AE9=0,"",AE8/AE9)</f>
        <v>1</v>
      </c>
      <c r="AF7" s="639"/>
      <c r="AG7" s="331">
        <f>IF(AE7&gt;=0.8,2,IF(AE7&gt;=0.5,1,0))</f>
        <v>2</v>
      </c>
      <c r="AH7" s="323">
        <f t="shared" si="3"/>
        <v>0</v>
      </c>
      <c r="AI7" s="510"/>
      <c r="AJ7" s="639">
        <f>IF(AJ9=0,"",AJ8/AJ9)</f>
        <v>1</v>
      </c>
      <c r="AK7" s="331">
        <f>IF(AJ7&gt;=0.8,2,IF(AJ7&gt;=50%,1,0))</f>
        <v>2</v>
      </c>
      <c r="AL7" s="331"/>
      <c r="AM7" s="639">
        <f>IF(AM9=0,"",AM8/AM9)</f>
        <v>1</v>
      </c>
      <c r="AN7" s="331">
        <f>IF(AM7&gt;=0.8,2,IF(AM7&gt;=0.5,1,0))</f>
        <v>2</v>
      </c>
      <c r="AO7" s="331"/>
      <c r="AP7" s="323">
        <f t="shared" si="4"/>
        <v>0</v>
      </c>
      <c r="AQ7" s="510"/>
      <c r="AR7" s="639">
        <f>IF(AR9=0,"",AR8/AR9)</f>
        <v>1</v>
      </c>
      <c r="AS7" s="331">
        <f>IF(AR7&gt;=0.8,2,IF(AR7&gt;=50%,1,0))</f>
        <v>2</v>
      </c>
      <c r="AT7" s="331"/>
      <c r="AU7" s="639">
        <f>IF(AU9=0,"",AU8/AU9)</f>
        <v>1</v>
      </c>
      <c r="AV7" s="331">
        <f>IF(AU7&gt;=0.8,2,IF(AU7&gt;=0.5,1,0))</f>
        <v>2</v>
      </c>
      <c r="AW7" s="331"/>
      <c r="AX7" s="323">
        <f t="shared" si="5"/>
        <v>0</v>
      </c>
      <c r="AY7" s="510"/>
      <c r="AZ7" s="639">
        <f>IF(AZ9=0,"",AZ8/AZ9)</f>
        <v>0.94444444444444442</v>
      </c>
      <c r="BA7" s="331">
        <f>IF(AZ7&gt;=0.8,2,IF(AZ7&gt;=50%,1,0))</f>
        <v>2</v>
      </c>
      <c r="BB7" s="331"/>
      <c r="BC7" s="639">
        <f>IF(BC9=0,"",BC8/BC9)</f>
        <v>1</v>
      </c>
      <c r="BD7" s="331">
        <f>IF(BC7&gt;=0.8,2,IF(BC7&gt;=0.5,1,0))</f>
        <v>2</v>
      </c>
      <c r="BE7" s="331"/>
      <c r="BF7" s="323">
        <f t="shared" si="6"/>
        <v>5.8823529411764719E-2</v>
      </c>
      <c r="BG7" s="510"/>
      <c r="BH7" s="639">
        <f>IF(BH9=0,"",BH8/BH9)</f>
        <v>1</v>
      </c>
      <c r="BI7" s="331">
        <f>IF(BH7&gt;=0.8,2,IF(BH7&gt;=50%,1,0))</f>
        <v>2</v>
      </c>
      <c r="BJ7" s="331"/>
      <c r="BK7" s="639">
        <f>IF(BK9=0,"",BK8/BK9)</f>
        <v>1</v>
      </c>
      <c r="BL7" s="331">
        <f>IF(BK7&gt;=0.8,2,IF(BK7&gt;=0.5,1,0))</f>
        <v>2</v>
      </c>
      <c r="BM7" s="331"/>
      <c r="BN7" s="323">
        <f t="shared" si="7"/>
        <v>0</v>
      </c>
      <c r="BO7" s="510"/>
      <c r="BP7" s="639">
        <f>IF(BP9=0,"",BP8/BP9)</f>
        <v>1</v>
      </c>
      <c r="BQ7" s="331">
        <f>IF(BP7&gt;=0.8,2,IF(BP7&gt;=50%,1,0))</f>
        <v>2</v>
      </c>
      <c r="BR7" s="331"/>
      <c r="BS7" s="639">
        <f>IF(BS9=0,"",BS8/BS9)</f>
        <v>1</v>
      </c>
      <c r="BT7" s="331">
        <f>IF(BS7&gt;=0.8,2,IF(BS7&gt;=0.5,1,0))</f>
        <v>2</v>
      </c>
      <c r="BU7" s="331"/>
      <c r="BV7" s="323">
        <f t="shared" si="8"/>
        <v>0</v>
      </c>
      <c r="BW7" s="510"/>
      <c r="BX7" s="639">
        <f>IF(BX9=0,"",BX8/BX9)</f>
        <v>1</v>
      </c>
      <c r="BY7" s="331">
        <f>IF(BX7&gt;=0.8,2,IF(BX7&gt;=50%,1,0))</f>
        <v>2</v>
      </c>
      <c r="BZ7" s="331"/>
      <c r="CA7" s="639">
        <f>IF(CA9=0,"",CA8/CA9)</f>
        <v>1</v>
      </c>
      <c r="CB7" s="331">
        <f>IF(CA7&gt;=0.8,2,IF(CA7&gt;=0.5,1,0))</f>
        <v>2</v>
      </c>
      <c r="CC7" s="331"/>
      <c r="CD7" s="323">
        <f t="shared" si="9"/>
        <v>0</v>
      </c>
      <c r="CE7" s="510"/>
      <c r="CF7" s="639">
        <f>IF(CF9=0,"",CF8/CF9)</f>
        <v>1</v>
      </c>
      <c r="CG7" s="331">
        <f>IF(CF7&gt;=0.8,2,IF(CF7&gt;=50%,1,0))</f>
        <v>2</v>
      </c>
      <c r="CH7" s="331"/>
      <c r="CI7" s="639">
        <f>IF(CI9=0,"",CI8/CI9)</f>
        <v>1</v>
      </c>
      <c r="CJ7" s="331">
        <f>IF(CI7&gt;=0.8,2,IF(CI7&gt;=0.5,1,0))</f>
        <v>2</v>
      </c>
      <c r="CK7" s="331"/>
      <c r="CL7" s="323">
        <f t="shared" si="10"/>
        <v>0</v>
      </c>
      <c r="CM7" s="510"/>
      <c r="CN7" s="639">
        <f>IF(CN9=0,"",CN8/CN9)</f>
        <v>1</v>
      </c>
      <c r="CO7" s="331">
        <f>IF(CN7&gt;=0.8,2,IF(CN7&gt;=50%,1,0))</f>
        <v>2</v>
      </c>
      <c r="CP7" s="331"/>
      <c r="CQ7" s="639">
        <f>IF(CQ9=0,"",CQ8/CQ9)</f>
        <v>1</v>
      </c>
      <c r="CR7" s="331">
        <f>IF(CQ7&gt;=0.8,2,IF(CQ7&gt;=0.5,1,0))</f>
        <v>2</v>
      </c>
      <c r="CS7" s="331"/>
      <c r="CT7" s="323">
        <f t="shared" si="11"/>
        <v>0</v>
      </c>
      <c r="CU7" s="315"/>
      <c r="CX7" s="506"/>
      <c r="CY7" s="521">
        <v>1</v>
      </c>
      <c r="CZ7" s="522">
        <f t="shared" si="12"/>
        <v>2</v>
      </c>
      <c r="DA7" s="521">
        <v>1</v>
      </c>
      <c r="DB7" s="522">
        <f t="shared" si="13"/>
        <v>2</v>
      </c>
      <c r="DC7" s="521">
        <v>1</v>
      </c>
      <c r="DD7" s="522">
        <f t="shared" si="14"/>
        <v>2</v>
      </c>
      <c r="DE7" s="521">
        <v>1</v>
      </c>
      <c r="DF7" s="522">
        <f t="shared" si="15"/>
        <v>2</v>
      </c>
      <c r="DG7" s="521">
        <v>0</v>
      </c>
      <c r="DH7" s="522">
        <f t="shared" si="16"/>
        <v>2</v>
      </c>
      <c r="DI7" s="521">
        <v>1</v>
      </c>
      <c r="DJ7" s="522">
        <f t="shared" si="17"/>
        <v>2</v>
      </c>
      <c r="DK7" s="521">
        <v>0</v>
      </c>
      <c r="DL7" s="522">
        <f t="shared" si="18"/>
        <v>2</v>
      </c>
      <c r="DM7" s="506">
        <f t="shared" si="24"/>
        <v>17</v>
      </c>
      <c r="DN7" s="313"/>
      <c r="DO7" s="313"/>
      <c r="DP7" s="313"/>
      <c r="DQ7" s="313"/>
      <c r="DR7" s="313"/>
      <c r="DS7" s="313"/>
      <c r="DT7" s="313"/>
      <c r="DU7" s="313"/>
      <c r="DV7" s="313"/>
      <c r="DW7" s="313"/>
    </row>
    <row r="8" spans="1:127" s="2" customFormat="1" ht="42.75">
      <c r="A8" s="1855"/>
      <c r="B8" s="1859"/>
      <c r="C8" s="384">
        <v>2.1</v>
      </c>
      <c r="D8" s="325" t="s">
        <v>1198</v>
      </c>
      <c r="E8" s="482" t="s">
        <v>1199</v>
      </c>
      <c r="F8" s="327"/>
      <c r="G8" s="327"/>
      <c r="H8" s="326"/>
      <c r="I8" s="383"/>
      <c r="J8" s="645">
        <f t="shared" si="19"/>
        <v>11.1</v>
      </c>
      <c r="K8" s="651"/>
      <c r="L8" s="645">
        <f t="shared" si="0"/>
        <v>11.8</v>
      </c>
      <c r="M8" s="501"/>
      <c r="N8" s="502">
        <f t="shared" si="20"/>
        <v>0</v>
      </c>
      <c r="O8" s="500">
        <f t="shared" si="1"/>
        <v>0</v>
      </c>
      <c r="P8" s="500">
        <f t="shared" si="21"/>
        <v>0</v>
      </c>
      <c r="Q8" s="816">
        <f t="shared" si="22"/>
        <v>0</v>
      </c>
      <c r="R8" s="815">
        <f t="shared" si="23"/>
        <v>0</v>
      </c>
      <c r="S8" s="510"/>
      <c r="T8" s="1317">
        <v>6</v>
      </c>
      <c r="U8" s="610"/>
      <c r="V8" s="1444"/>
      <c r="W8" s="330">
        <v>6</v>
      </c>
      <c r="X8" s="1424"/>
      <c r="Y8" s="610"/>
      <c r="Z8" s="323">
        <f t="shared" si="2"/>
        <v>0</v>
      </c>
      <c r="AA8" s="510"/>
      <c r="AB8" s="1317">
        <v>6</v>
      </c>
      <c r="AC8" s="610"/>
      <c r="AD8" s="1444"/>
      <c r="AE8" s="330">
        <v>9</v>
      </c>
      <c r="AF8" s="1424"/>
      <c r="AG8" s="610"/>
      <c r="AH8" s="323">
        <f t="shared" si="3"/>
        <v>0.5</v>
      </c>
      <c r="AI8" s="510"/>
      <c r="AJ8" s="1317">
        <v>17</v>
      </c>
      <c r="AK8" s="610"/>
      <c r="AL8" s="1444"/>
      <c r="AM8" s="330">
        <v>18</v>
      </c>
      <c r="AN8" s="610"/>
      <c r="AO8" s="1421"/>
      <c r="AP8" s="323">
        <f t="shared" si="4"/>
        <v>5.8823529411764719E-2</v>
      </c>
      <c r="AQ8" s="510"/>
      <c r="AR8" s="1317">
        <v>3</v>
      </c>
      <c r="AS8" s="610"/>
      <c r="AT8" s="1444"/>
      <c r="AU8" s="330">
        <v>6</v>
      </c>
      <c r="AV8" s="610"/>
      <c r="AW8" s="1421"/>
      <c r="AX8" s="323">
        <f t="shared" si="5"/>
        <v>1</v>
      </c>
      <c r="AY8" s="510"/>
      <c r="AZ8" s="1317">
        <v>17</v>
      </c>
      <c r="BA8" s="610"/>
      <c r="BB8" s="1444"/>
      <c r="BC8" s="1329">
        <v>18</v>
      </c>
      <c r="BD8" s="610"/>
      <c r="BE8" s="1421"/>
      <c r="BF8" s="323">
        <f t="shared" si="6"/>
        <v>5.8823529411764719E-2</v>
      </c>
      <c r="BG8" s="510"/>
      <c r="BH8" s="1317">
        <v>18</v>
      </c>
      <c r="BI8" s="610"/>
      <c r="BJ8" s="1444"/>
      <c r="BK8" s="330">
        <v>19</v>
      </c>
      <c r="BL8" s="610"/>
      <c r="BM8" s="1421"/>
      <c r="BN8" s="323">
        <f t="shared" si="7"/>
        <v>5.555555555555558E-2</v>
      </c>
      <c r="BO8" s="510"/>
      <c r="BP8" s="1317">
        <v>4</v>
      </c>
      <c r="BQ8" s="610"/>
      <c r="BR8" s="1444"/>
      <c r="BS8" s="330">
        <v>4</v>
      </c>
      <c r="BT8" s="610"/>
      <c r="BU8" s="1421"/>
      <c r="BV8" s="323">
        <f t="shared" si="8"/>
        <v>0</v>
      </c>
      <c r="BW8" s="510"/>
      <c r="BX8" s="1317">
        <v>15</v>
      </c>
      <c r="BY8" s="610"/>
      <c r="BZ8" s="1444"/>
      <c r="CA8" s="330">
        <v>13</v>
      </c>
      <c r="CB8" s="610"/>
      <c r="CC8" s="1421"/>
      <c r="CD8" s="323">
        <f t="shared" si="9"/>
        <v>-0.1333333333333333</v>
      </c>
      <c r="CE8" s="510"/>
      <c r="CF8" s="1317">
        <v>12</v>
      </c>
      <c r="CG8" s="610"/>
      <c r="CH8" s="1444"/>
      <c r="CI8" s="330">
        <v>13</v>
      </c>
      <c r="CJ8" s="610"/>
      <c r="CK8" s="1421"/>
      <c r="CL8" s="323">
        <f t="shared" si="10"/>
        <v>8.3333333333333259E-2</v>
      </c>
      <c r="CM8" s="510"/>
      <c r="CN8" s="1317">
        <v>13</v>
      </c>
      <c r="CO8" s="610"/>
      <c r="CP8" s="1444"/>
      <c r="CQ8" s="330">
        <v>12</v>
      </c>
      <c r="CR8" s="610"/>
      <c r="CS8" s="1421"/>
      <c r="CT8" s="323">
        <f t="shared" si="11"/>
        <v>-7.6923076923076872E-2</v>
      </c>
      <c r="CU8" s="315"/>
      <c r="CX8" s="506"/>
      <c r="CY8" s="521">
        <v>0</v>
      </c>
      <c r="CZ8" s="522">
        <f t="shared" si="12"/>
        <v>0</v>
      </c>
      <c r="DA8" s="521">
        <v>0</v>
      </c>
      <c r="DB8" s="522">
        <f t="shared" si="13"/>
        <v>0</v>
      </c>
      <c r="DC8" s="521">
        <v>0</v>
      </c>
      <c r="DD8" s="522">
        <f t="shared" si="14"/>
        <v>0</v>
      </c>
      <c r="DE8" s="521">
        <v>0</v>
      </c>
      <c r="DF8" s="522">
        <f t="shared" si="15"/>
        <v>0</v>
      </c>
      <c r="DG8" s="521">
        <v>0</v>
      </c>
      <c r="DH8" s="522">
        <f t="shared" si="16"/>
        <v>0</v>
      </c>
      <c r="DI8" s="521">
        <v>0</v>
      </c>
      <c r="DJ8" s="522">
        <f t="shared" si="17"/>
        <v>0</v>
      </c>
      <c r="DK8" s="521">
        <v>0</v>
      </c>
      <c r="DL8" s="522">
        <f t="shared" si="18"/>
        <v>0</v>
      </c>
      <c r="DM8" s="506">
        <f t="shared" si="24"/>
        <v>0</v>
      </c>
      <c r="DN8" s="313"/>
      <c r="DO8" s="313"/>
      <c r="DP8" s="313"/>
      <c r="DQ8" s="313"/>
      <c r="DR8" s="313"/>
      <c r="DS8" s="313"/>
      <c r="DT8" s="313"/>
      <c r="DU8" s="313"/>
      <c r="DV8" s="313"/>
      <c r="DW8" s="313"/>
    </row>
    <row r="9" spans="1:127" s="2" customFormat="1" ht="28.5">
      <c r="A9" s="1855"/>
      <c r="B9" s="1859"/>
      <c r="C9" s="384">
        <v>2.2000000000000002</v>
      </c>
      <c r="D9" s="325" t="s">
        <v>1200</v>
      </c>
      <c r="E9" s="482" t="s">
        <v>1199</v>
      </c>
      <c r="F9" s="327"/>
      <c r="G9" s="327"/>
      <c r="H9" s="326"/>
      <c r="I9" s="383"/>
      <c r="J9" s="645">
        <f t="shared" si="19"/>
        <v>11.2</v>
      </c>
      <c r="K9" s="651"/>
      <c r="L9" s="645">
        <f t="shared" si="0"/>
        <v>11.8</v>
      </c>
      <c r="M9" s="501"/>
      <c r="N9" s="502">
        <f t="shared" si="20"/>
        <v>0</v>
      </c>
      <c r="O9" s="500">
        <f t="shared" si="1"/>
        <v>0</v>
      </c>
      <c r="P9" s="500">
        <f t="shared" si="21"/>
        <v>0</v>
      </c>
      <c r="Q9" s="816">
        <f t="shared" si="22"/>
        <v>0</v>
      </c>
      <c r="R9" s="815">
        <f t="shared" si="23"/>
        <v>0</v>
      </c>
      <c r="S9" s="510"/>
      <c r="T9" s="1317">
        <v>6</v>
      </c>
      <c r="U9" s="610"/>
      <c r="V9" s="1444"/>
      <c r="W9" s="330">
        <v>6</v>
      </c>
      <c r="X9" s="1424"/>
      <c r="Y9" s="610"/>
      <c r="Z9" s="323">
        <f t="shared" si="2"/>
        <v>0</v>
      </c>
      <c r="AA9" s="510"/>
      <c r="AB9" s="1317">
        <v>6</v>
      </c>
      <c r="AC9" s="610"/>
      <c r="AD9" s="1444"/>
      <c r="AE9" s="330">
        <v>9</v>
      </c>
      <c r="AF9" s="1424"/>
      <c r="AG9" s="610"/>
      <c r="AH9" s="323">
        <f t="shared" si="3"/>
        <v>0.5</v>
      </c>
      <c r="AI9" s="510"/>
      <c r="AJ9" s="1317">
        <v>17</v>
      </c>
      <c r="AK9" s="610"/>
      <c r="AL9" s="1444"/>
      <c r="AM9" s="330">
        <v>18</v>
      </c>
      <c r="AN9" s="610"/>
      <c r="AO9" s="1421"/>
      <c r="AP9" s="323">
        <f t="shared" si="4"/>
        <v>5.8823529411764719E-2</v>
      </c>
      <c r="AQ9" s="510"/>
      <c r="AR9" s="1317">
        <v>3</v>
      </c>
      <c r="AS9" s="610"/>
      <c r="AT9" s="1444"/>
      <c r="AU9" s="330">
        <v>6</v>
      </c>
      <c r="AV9" s="610"/>
      <c r="AW9" s="1421"/>
      <c r="AX9" s="323">
        <f t="shared" si="5"/>
        <v>1</v>
      </c>
      <c r="AY9" s="510"/>
      <c r="AZ9" s="1317">
        <v>18</v>
      </c>
      <c r="BA9" s="610"/>
      <c r="BB9" s="1444"/>
      <c r="BC9" s="330">
        <v>18</v>
      </c>
      <c r="BD9" s="610"/>
      <c r="BE9" s="1421"/>
      <c r="BF9" s="323">
        <f t="shared" si="6"/>
        <v>0</v>
      </c>
      <c r="BG9" s="510"/>
      <c r="BH9" s="1317">
        <v>18</v>
      </c>
      <c r="BI9" s="610"/>
      <c r="BJ9" s="1444"/>
      <c r="BK9" s="330">
        <v>19</v>
      </c>
      <c r="BL9" s="610"/>
      <c r="BM9" s="1421"/>
      <c r="BN9" s="323">
        <f t="shared" si="7"/>
        <v>5.555555555555558E-2</v>
      </c>
      <c r="BO9" s="510"/>
      <c r="BP9" s="1317">
        <v>4</v>
      </c>
      <c r="BQ9" s="610"/>
      <c r="BR9" s="1444"/>
      <c r="BS9" s="330">
        <v>4</v>
      </c>
      <c r="BT9" s="610"/>
      <c r="BU9" s="1421"/>
      <c r="BV9" s="323">
        <f t="shared" si="8"/>
        <v>0</v>
      </c>
      <c r="BW9" s="510"/>
      <c r="BX9" s="1317">
        <v>15</v>
      </c>
      <c r="BY9" s="610"/>
      <c r="BZ9" s="1444"/>
      <c r="CA9" s="330">
        <v>13</v>
      </c>
      <c r="CB9" s="610"/>
      <c r="CC9" s="1421"/>
      <c r="CD9" s="323">
        <f t="shared" si="9"/>
        <v>-0.1333333333333333</v>
      </c>
      <c r="CE9" s="510"/>
      <c r="CF9" s="1317">
        <v>12</v>
      </c>
      <c r="CG9" s="610"/>
      <c r="CH9" s="1444"/>
      <c r="CI9" s="330">
        <v>13</v>
      </c>
      <c r="CJ9" s="610"/>
      <c r="CK9" s="1421"/>
      <c r="CL9" s="323">
        <f t="shared" si="10"/>
        <v>8.3333333333333259E-2</v>
      </c>
      <c r="CM9" s="510"/>
      <c r="CN9" s="1317">
        <v>13</v>
      </c>
      <c r="CO9" s="610"/>
      <c r="CP9" s="1444"/>
      <c r="CQ9" s="330">
        <v>12</v>
      </c>
      <c r="CR9" s="610"/>
      <c r="CS9" s="1421"/>
      <c r="CT9" s="323">
        <f t="shared" si="11"/>
        <v>-7.6923076923076872E-2</v>
      </c>
      <c r="CU9" s="315"/>
      <c r="CX9" s="506"/>
      <c r="CY9" s="521">
        <v>0</v>
      </c>
      <c r="CZ9" s="522">
        <f t="shared" si="12"/>
        <v>0</v>
      </c>
      <c r="DA9" s="521">
        <v>0</v>
      </c>
      <c r="DB9" s="522">
        <f t="shared" si="13"/>
        <v>0</v>
      </c>
      <c r="DC9" s="521">
        <v>0</v>
      </c>
      <c r="DD9" s="522">
        <f t="shared" si="14"/>
        <v>0</v>
      </c>
      <c r="DE9" s="521">
        <v>0</v>
      </c>
      <c r="DF9" s="522">
        <f t="shared" si="15"/>
        <v>0</v>
      </c>
      <c r="DG9" s="521">
        <v>0</v>
      </c>
      <c r="DH9" s="522">
        <f t="shared" si="16"/>
        <v>0</v>
      </c>
      <c r="DI9" s="521">
        <v>0</v>
      </c>
      <c r="DJ9" s="522">
        <f t="shared" si="17"/>
        <v>0</v>
      </c>
      <c r="DK9" s="521">
        <v>0</v>
      </c>
      <c r="DL9" s="522">
        <f t="shared" si="18"/>
        <v>0</v>
      </c>
      <c r="DM9" s="506">
        <f t="shared" si="24"/>
        <v>0</v>
      </c>
      <c r="DN9" s="313"/>
      <c r="DO9" s="313"/>
      <c r="DP9" s="313"/>
      <c r="DQ9" s="313"/>
      <c r="DR9" s="313"/>
      <c r="DS9" s="313"/>
      <c r="DT9" s="313"/>
      <c r="DU9" s="313"/>
      <c r="DV9" s="313"/>
      <c r="DW9" s="313"/>
    </row>
    <row r="10" spans="1:127" s="2" customFormat="1">
      <c r="A10" s="1854" t="s">
        <v>1201</v>
      </c>
      <c r="B10" s="1856" t="s">
        <v>1202</v>
      </c>
      <c r="C10" s="23">
        <v>3</v>
      </c>
      <c r="D10" s="998" t="s">
        <v>2035</v>
      </c>
      <c r="E10" s="481"/>
      <c r="F10" s="383"/>
      <c r="G10" s="383" t="s">
        <v>477</v>
      </c>
      <c r="H10" s="330" t="s">
        <v>282</v>
      </c>
      <c r="I10" s="382">
        <v>3</v>
      </c>
      <c r="J10" s="644">
        <f t="shared" si="19"/>
        <v>0.25114971490398635</v>
      </c>
      <c r="K10" s="1334">
        <f>AVERAGE(CO10,CG10,BY10,BQ10,BI10,BA10,AS10,AK10,AC10,U10)</f>
        <v>1.5</v>
      </c>
      <c r="L10" s="644">
        <f t="shared" si="0"/>
        <v>0.26760763351814398</v>
      </c>
      <c r="M10" s="1333">
        <f>AVERAGE(CR10,CJ10,CB10,BT10,BL10,BD10,AV10,AN10,AG10,Y10)</f>
        <v>1.05</v>
      </c>
      <c r="N10" s="502">
        <f t="shared" si="20"/>
        <v>-0.44999999999999996</v>
      </c>
      <c r="O10" s="500">
        <f t="shared" si="1"/>
        <v>1.95</v>
      </c>
      <c r="P10" s="500">
        <f t="shared" si="21"/>
        <v>1.365</v>
      </c>
      <c r="Q10" s="816">
        <f t="shared" si="22"/>
        <v>0.15166666666666667</v>
      </c>
      <c r="R10" s="815">
        <f t="shared" si="23"/>
        <v>7.5833333333333336E-2</v>
      </c>
      <c r="S10" s="510"/>
      <c r="T10" s="1316">
        <f>IF(SUM(T12:T13)=0,"",T11/SUM(T12:T13))</f>
        <v>0.16363636363636364</v>
      </c>
      <c r="U10" s="322">
        <f>IF(T10&lt;=0.15,3,IF(T10&lt;=0.3,1.5,0))</f>
        <v>1.5</v>
      </c>
      <c r="V10" s="322"/>
      <c r="W10" s="640">
        <f>IF(SUM(W12:W13)=0,"",W11/SUM(W12:W13))</f>
        <v>0.19402985074626866</v>
      </c>
      <c r="X10" s="1423"/>
      <c r="Y10" s="1024">
        <f>IF(W10&lt;=0.15,3,IF(W10&lt;=0.3,1.5,0))</f>
        <v>1.5</v>
      </c>
      <c r="Z10" s="323">
        <f t="shared" si="2"/>
        <v>0.18573797678275294</v>
      </c>
      <c r="AA10" s="510"/>
      <c r="AB10" s="1316">
        <f>IF(SUM(AB12:AB13)=0,"",AB11/SUM(AB12:AB13))</f>
        <v>0.19875776397515527</v>
      </c>
      <c r="AC10" s="332">
        <f>IF(AB10&lt;=0.15,3,IF(AB10&lt;=0.3,1.5,0))</f>
        <v>1.5</v>
      </c>
      <c r="AD10" s="332"/>
      <c r="AE10" s="640">
        <f>IF(SUM(AE12:AE13)=0,"",AE11/SUM(AE12:AE13))</f>
        <v>0.18604651162790697</v>
      </c>
      <c r="AF10" s="1423"/>
      <c r="AG10" s="332">
        <f>IF(AE10&lt;=0.15,3,IF(AE10&lt;=0.3,1.5,0))</f>
        <v>1.5</v>
      </c>
      <c r="AH10" s="323">
        <f t="shared" si="3"/>
        <v>-6.3953488372093026E-2</v>
      </c>
      <c r="AI10" s="510"/>
      <c r="AJ10" s="1316">
        <f>IF(SUM(AJ12:AJ13)=0,"",AJ11/SUM(AJ12:AJ13))</f>
        <v>0.13675213675213677</v>
      </c>
      <c r="AK10" s="332">
        <f>IF(AJ10&lt;=0.15,3,IF(AJ10&lt;=0.3,1.5,0))</f>
        <v>3</v>
      </c>
      <c r="AL10" s="332"/>
      <c r="AM10" s="640">
        <f>IF(SUM(AM12:AM13)=0,"",AM11/SUM(AM12:AM13))</f>
        <v>0.13934426229508196</v>
      </c>
      <c r="AN10" s="332">
        <f>IF(AM10&lt;=0.15,3,IF(AM10&lt;=0.3,1.5,0))</f>
        <v>3</v>
      </c>
      <c r="AO10" s="332"/>
      <c r="AP10" s="323">
        <f t="shared" si="4"/>
        <v>1.8954918032786594E-2</v>
      </c>
      <c r="AQ10" s="510"/>
      <c r="AR10" s="1316">
        <f>IF(SUM(AR12:AR13)=0,"",AR11/SUM(AR12:AR13))</f>
        <v>0.26785714285714285</v>
      </c>
      <c r="AS10" s="332">
        <f>IF(AR10&lt;=0.15,3,IF(AR10&lt;=0.3,1.5,0))</f>
        <v>1.5</v>
      </c>
      <c r="AT10" s="332"/>
      <c r="AU10" s="640">
        <f>IF(SUM(AU12:AU13)=0,"",AU11/SUM(AU12:AU13))</f>
        <v>0.25423728813559321</v>
      </c>
      <c r="AV10" s="332">
        <f>IF(AU10&lt;=0.15,3,IF(AU10&lt;=0.3,1.5,0))</f>
        <v>1.5</v>
      </c>
      <c r="AW10" s="332"/>
      <c r="AX10" s="323">
        <f t="shared" si="5"/>
        <v>-5.084745762711862E-2</v>
      </c>
      <c r="AY10" s="510"/>
      <c r="AZ10" s="1316">
        <f>IF(SUM(AZ12:AZ13)=0,"",AZ11/SUM(AZ12:AZ13))</f>
        <v>0.1891891891891892</v>
      </c>
      <c r="BA10" s="332">
        <f>IF(AZ10&lt;=0.15,3,IF(AZ10&lt;=0.3,1.5,0))</f>
        <v>1.5</v>
      </c>
      <c r="BB10" s="332"/>
      <c r="BC10" s="640">
        <f>IF(SUM(BC12:BC13)=0,"",BC11/SUM(BC12:BC13))</f>
        <v>0.24528301886792453</v>
      </c>
      <c r="BD10" s="332">
        <f>IF(BC10&lt;=0.15,3,IF(BC10&lt;=0.3,1.5,0))</f>
        <v>1.5</v>
      </c>
      <c r="BE10" s="332"/>
      <c r="BF10" s="323">
        <f t="shared" si="6"/>
        <v>0.2964959568733152</v>
      </c>
      <c r="BG10" s="510"/>
      <c r="BH10" s="1316">
        <f>IF(SUM(BH12:BH13)=0,"",BH11/SUM(BH12:BH13))</f>
        <v>0.27160493827160492</v>
      </c>
      <c r="BI10" s="332">
        <f>IF(BH10&lt;=0.15,3,IF(BH10&lt;=0.3,1.5,0))</f>
        <v>1.5</v>
      </c>
      <c r="BJ10" s="332"/>
      <c r="BK10" s="640">
        <f>IF(SUM(BK12:BK13)=0,"",BK11/SUM(BK12:BK13))</f>
        <v>0.25806451612903225</v>
      </c>
      <c r="BL10" s="332">
        <f>IF(BK10&lt;=0.15,3,IF(BK10&lt;=0.3,1.5,0))</f>
        <v>1.5</v>
      </c>
      <c r="BM10" s="332"/>
      <c r="BN10" s="323">
        <f t="shared" si="7"/>
        <v>-4.9853372434017551E-2</v>
      </c>
      <c r="BO10" s="510"/>
      <c r="BP10" s="1316">
        <f>IF(SUM(BP12:BP13)=0,"",BP11/SUM(BP12:BP13))</f>
        <v>0.2608695652173913</v>
      </c>
      <c r="BQ10" s="332">
        <f>IF(BP10&lt;=0.15,3,IF(BP10&lt;=0.3,1.5,0))</f>
        <v>1.5</v>
      </c>
      <c r="BR10" s="332"/>
      <c r="BS10" s="640">
        <f>IF(SUM(BS12:BS13)=0,"",BS11/SUM(BS12:BS13))</f>
        <v>0.32653061224489793</v>
      </c>
      <c r="BT10" s="332">
        <f>IF(BS10&lt;=0.15,3,IF(BS10&lt;=0.3,1.5,0))</f>
        <v>0</v>
      </c>
      <c r="BU10" s="332"/>
      <c r="BV10" s="323">
        <f t="shared" si="8"/>
        <v>0.25170068027210868</v>
      </c>
      <c r="BW10" s="510"/>
      <c r="BX10" s="1316">
        <f>IF(SUM(BX12:BX13)=0,"",BX11/SUM(BX12:BX13))</f>
        <v>0.24878048780487805</v>
      </c>
      <c r="BY10" s="332">
        <f>IF(BX10&lt;=0.15,3,IF(BX10&lt;=0.3,1.5,0))</f>
        <v>1.5</v>
      </c>
      <c r="BZ10" s="332"/>
      <c r="CA10" s="640">
        <f>IF(SUM(CA12:CA13)=0,"",CA11/SUM(CA12:CA13))</f>
        <v>0.30243902439024389</v>
      </c>
      <c r="CB10" s="332">
        <f>IF(CA10&lt;=0.15,3,IF(CA10&lt;=0.3,1.5,0))</f>
        <v>0</v>
      </c>
      <c r="CC10" s="332"/>
      <c r="CD10" s="323">
        <f t="shared" si="9"/>
        <v>0.21568627450980382</v>
      </c>
      <c r="CE10" s="510"/>
      <c r="CF10" s="1316">
        <f>IF(SUM(CF12:CF13)=0,"",CF11/SUM(CF12:CF13))</f>
        <v>0.49315068493150682</v>
      </c>
      <c r="CG10" s="332">
        <f>IF(CF10&lt;=0.15,3,IF(CF10&lt;=0.3,1.5,0))</f>
        <v>0</v>
      </c>
      <c r="CH10" s="332"/>
      <c r="CI10" s="640">
        <f>IF(SUM(CI12:CI13)=0,"",CI11/SUM(CI12:CI13))</f>
        <v>0.46575342465753422</v>
      </c>
      <c r="CJ10" s="332">
        <f>IF(CI10&lt;=0.15,3,IF(CI10&lt;=0.3,1.5,0))</f>
        <v>0</v>
      </c>
      <c r="CK10" s="332"/>
      <c r="CL10" s="323">
        <f t="shared" si="10"/>
        <v>-5.555555555555558E-2</v>
      </c>
      <c r="CM10" s="510"/>
      <c r="CN10" s="1316">
        <f>IF(SUM(CN12:CN13)=0,"",CN11/SUM(CN12:CN13))</f>
        <v>0.2808988764044944</v>
      </c>
      <c r="CO10" s="332">
        <f>IF(CN10&lt;=0.15,3,IF(CN10&lt;=0.3,1.5,0))</f>
        <v>1.5</v>
      </c>
      <c r="CP10" s="332"/>
      <c r="CQ10" s="640">
        <f>IF(SUM(CQ12:CQ13)=0,"",CQ11/SUM(CQ12:CQ13))</f>
        <v>0.30434782608695654</v>
      </c>
      <c r="CR10" s="332">
        <f>IF(CQ10&lt;=0.15,3,IF(CQ10&lt;=0.3,1.5,0))</f>
        <v>0</v>
      </c>
      <c r="CS10" s="332"/>
      <c r="CT10" s="323">
        <f t="shared" si="11"/>
        <v>8.3478260869565224E-2</v>
      </c>
      <c r="CU10" s="315"/>
      <c r="CX10" s="506" t="s">
        <v>1596</v>
      </c>
      <c r="CY10" s="521">
        <v>1</v>
      </c>
      <c r="CZ10" s="523">
        <v>2.4</v>
      </c>
      <c r="DA10" s="521">
        <v>1</v>
      </c>
      <c r="DB10" s="523">
        <v>1.65</v>
      </c>
      <c r="DC10" s="521">
        <v>1</v>
      </c>
      <c r="DD10" s="523">
        <v>1.5</v>
      </c>
      <c r="DE10" s="521">
        <v>1</v>
      </c>
      <c r="DF10" s="523">
        <v>0.75</v>
      </c>
      <c r="DG10" s="521">
        <v>0</v>
      </c>
      <c r="DH10" s="523">
        <v>2</v>
      </c>
      <c r="DI10" s="521">
        <v>1</v>
      </c>
      <c r="DJ10" s="523">
        <v>2.25</v>
      </c>
      <c r="DK10" s="521">
        <v>0</v>
      </c>
      <c r="DL10" s="522">
        <f t="shared" si="18"/>
        <v>1.05</v>
      </c>
      <c r="DM10" s="506">
        <f t="shared" si="24"/>
        <v>15.55</v>
      </c>
      <c r="DN10" s="313"/>
      <c r="DO10" s="313"/>
      <c r="DP10" s="313"/>
      <c r="DQ10" s="313"/>
      <c r="DR10" s="313"/>
      <c r="DS10" s="313"/>
      <c r="DT10" s="313"/>
      <c r="DU10" s="313"/>
      <c r="DV10" s="313"/>
      <c r="DW10" s="313"/>
    </row>
    <row r="11" spans="1:127" s="2" customFormat="1" ht="28.5">
      <c r="A11" s="1855"/>
      <c r="B11" s="1859"/>
      <c r="C11" s="384">
        <v>3.1</v>
      </c>
      <c r="D11" s="1016" t="s">
        <v>1203</v>
      </c>
      <c r="E11" s="482" t="s">
        <v>1194</v>
      </c>
      <c r="F11" s="328" t="s">
        <v>1195</v>
      </c>
      <c r="G11" s="327"/>
      <c r="H11" s="326"/>
      <c r="I11" s="383"/>
      <c r="J11" s="645">
        <f t="shared" si="19"/>
        <v>29</v>
      </c>
      <c r="K11" s="651"/>
      <c r="L11" s="645">
        <f t="shared" si="0"/>
        <v>32</v>
      </c>
      <c r="M11" s="501"/>
      <c r="N11" s="502">
        <f t="shared" si="20"/>
        <v>0</v>
      </c>
      <c r="O11" s="500">
        <f t="shared" si="1"/>
        <v>0</v>
      </c>
      <c r="P11" s="500">
        <f t="shared" si="21"/>
        <v>0</v>
      </c>
      <c r="Q11" s="816">
        <f t="shared" si="22"/>
        <v>0</v>
      </c>
      <c r="R11" s="815">
        <f t="shared" si="23"/>
        <v>0</v>
      </c>
      <c r="S11" s="510"/>
      <c r="T11" s="1317">
        <v>9</v>
      </c>
      <c r="U11" s="610"/>
      <c r="V11" s="1444"/>
      <c r="W11" s="330">
        <v>13</v>
      </c>
      <c r="X11" s="1424">
        <v>14</v>
      </c>
      <c r="Y11" s="610"/>
      <c r="Z11" s="323">
        <f t="shared" si="2"/>
        <v>0.44444444444444442</v>
      </c>
      <c r="AA11" s="510"/>
      <c r="AB11" s="1317">
        <v>32</v>
      </c>
      <c r="AC11" s="610"/>
      <c r="AD11" s="1444"/>
      <c r="AE11" s="330">
        <v>32</v>
      </c>
      <c r="AF11" s="1424">
        <v>34</v>
      </c>
      <c r="AG11" s="610"/>
      <c r="AH11" s="323">
        <f t="shared" si="3"/>
        <v>0</v>
      </c>
      <c r="AI11" s="510"/>
      <c r="AJ11" s="1317">
        <v>16</v>
      </c>
      <c r="AK11" s="610"/>
      <c r="AL11" s="1444"/>
      <c r="AM11" s="330">
        <v>17</v>
      </c>
      <c r="AN11" s="610"/>
      <c r="AO11" s="1421">
        <v>19</v>
      </c>
      <c r="AP11" s="323">
        <f t="shared" si="4"/>
        <v>6.25E-2</v>
      </c>
      <c r="AQ11" s="510"/>
      <c r="AR11" s="1317">
        <v>15</v>
      </c>
      <c r="AS11" s="610"/>
      <c r="AT11" s="1444"/>
      <c r="AU11" s="330">
        <v>15</v>
      </c>
      <c r="AV11" s="610"/>
      <c r="AW11" s="1421">
        <v>14</v>
      </c>
      <c r="AX11" s="323">
        <f t="shared" si="5"/>
        <v>0</v>
      </c>
      <c r="AY11" s="510"/>
      <c r="AZ11" s="1317">
        <v>28</v>
      </c>
      <c r="BA11" s="610"/>
      <c r="BB11" s="1444"/>
      <c r="BC11" s="330">
        <v>39</v>
      </c>
      <c r="BD11" s="610"/>
      <c r="BE11" s="1421">
        <v>41</v>
      </c>
      <c r="BF11" s="323">
        <f t="shared" si="6"/>
        <v>0.39285714285714279</v>
      </c>
      <c r="BG11" s="510"/>
      <c r="BH11" s="1317">
        <v>66</v>
      </c>
      <c r="BI11" s="610"/>
      <c r="BJ11" s="1444"/>
      <c r="BK11" s="330">
        <v>64</v>
      </c>
      <c r="BL11" s="610"/>
      <c r="BM11" s="1421">
        <v>68</v>
      </c>
      <c r="BN11" s="323">
        <f t="shared" si="7"/>
        <v>-3.0303030303030276E-2</v>
      </c>
      <c r="BO11" s="510"/>
      <c r="BP11" s="1317">
        <v>12</v>
      </c>
      <c r="BQ11" s="610"/>
      <c r="BR11" s="1444"/>
      <c r="BS11" s="330">
        <v>16</v>
      </c>
      <c r="BT11" s="610"/>
      <c r="BU11" s="1421">
        <v>18</v>
      </c>
      <c r="BV11" s="323">
        <f t="shared" si="8"/>
        <v>0.33333333333333326</v>
      </c>
      <c r="BW11" s="510"/>
      <c r="BX11" s="1317">
        <v>51</v>
      </c>
      <c r="BY11" s="610"/>
      <c r="BZ11" s="1444"/>
      <c r="CA11" s="330">
        <v>62</v>
      </c>
      <c r="CB11" s="610"/>
      <c r="CC11" s="1421">
        <v>68</v>
      </c>
      <c r="CD11" s="323">
        <f t="shared" si="9"/>
        <v>0.21568627450980382</v>
      </c>
      <c r="CE11" s="510"/>
      <c r="CF11" s="1317">
        <v>36</v>
      </c>
      <c r="CG11" s="610"/>
      <c r="CH11" s="1444"/>
      <c r="CI11" s="330">
        <v>34</v>
      </c>
      <c r="CJ11" s="610"/>
      <c r="CK11" s="1421">
        <v>35</v>
      </c>
      <c r="CL11" s="323">
        <f t="shared" si="10"/>
        <v>-5.555555555555558E-2</v>
      </c>
      <c r="CM11" s="510"/>
      <c r="CN11" s="1317">
        <v>25</v>
      </c>
      <c r="CO11" s="610"/>
      <c r="CP11" s="1444"/>
      <c r="CQ11" s="330">
        <v>28</v>
      </c>
      <c r="CR11" s="610"/>
      <c r="CS11" s="1421">
        <v>29</v>
      </c>
      <c r="CT11" s="323">
        <f t="shared" si="11"/>
        <v>0.12000000000000011</v>
      </c>
      <c r="CU11" s="315"/>
      <c r="CX11" s="506"/>
      <c r="CY11" s="521">
        <v>0</v>
      </c>
      <c r="CZ11" s="522">
        <f t="shared" ref="CZ11:CZ42" si="25">$M11</f>
        <v>0</v>
      </c>
      <c r="DA11" s="521">
        <v>0</v>
      </c>
      <c r="DB11" s="522">
        <f t="shared" ref="DB11:DB27" si="26">$M11</f>
        <v>0</v>
      </c>
      <c r="DC11" s="521">
        <v>0</v>
      </c>
      <c r="DD11" s="522">
        <f t="shared" ref="DD11:DD27" si="27">$M11</f>
        <v>0</v>
      </c>
      <c r="DE11" s="521">
        <v>0</v>
      </c>
      <c r="DF11" s="522">
        <f t="shared" ref="DF11:DF27" si="28">$M11</f>
        <v>0</v>
      </c>
      <c r="DG11" s="521">
        <v>0</v>
      </c>
      <c r="DH11" s="522">
        <f t="shared" ref="DH11:DH27" si="29">$M11</f>
        <v>0</v>
      </c>
      <c r="DI11" s="521">
        <v>0</v>
      </c>
      <c r="DJ11" s="522">
        <f t="shared" ref="DJ11:DJ27" si="30">$M11</f>
        <v>0</v>
      </c>
      <c r="DK11" s="521">
        <v>0</v>
      </c>
      <c r="DL11" s="522">
        <f t="shared" si="18"/>
        <v>0</v>
      </c>
      <c r="DM11" s="506">
        <f t="shared" si="24"/>
        <v>0</v>
      </c>
      <c r="DN11" s="313"/>
      <c r="DO11" s="313"/>
      <c r="DP11" s="313"/>
      <c r="DQ11" s="313"/>
      <c r="DR11" s="313"/>
      <c r="DS11" s="313"/>
      <c r="DT11" s="313"/>
      <c r="DU11" s="313"/>
      <c r="DV11" s="313"/>
      <c r="DW11" s="313"/>
    </row>
    <row r="12" spans="1:127" s="2" customFormat="1" ht="28.5">
      <c r="A12" s="1855"/>
      <c r="B12" s="1859"/>
      <c r="C12" s="384">
        <v>3.2</v>
      </c>
      <c r="D12" s="1016" t="s">
        <v>1204</v>
      </c>
      <c r="E12" s="482" t="s">
        <v>1194</v>
      </c>
      <c r="F12" s="328" t="s">
        <v>1195</v>
      </c>
      <c r="G12" s="327"/>
      <c r="H12" s="326"/>
      <c r="I12" s="383"/>
      <c r="J12" s="645">
        <f t="shared" si="19"/>
        <v>84</v>
      </c>
      <c r="K12" s="651"/>
      <c r="L12" s="645">
        <f t="shared" si="0"/>
        <v>85.8</v>
      </c>
      <c r="M12" s="501"/>
      <c r="N12" s="502">
        <f t="shared" si="20"/>
        <v>0</v>
      </c>
      <c r="O12" s="500">
        <f t="shared" si="1"/>
        <v>0</v>
      </c>
      <c r="P12" s="500">
        <f t="shared" si="21"/>
        <v>0</v>
      </c>
      <c r="Q12" s="816">
        <f t="shared" si="22"/>
        <v>0</v>
      </c>
      <c r="R12" s="815">
        <f t="shared" si="23"/>
        <v>0</v>
      </c>
      <c r="S12" s="510"/>
      <c r="T12" s="1317">
        <v>43</v>
      </c>
      <c r="U12" s="610"/>
      <c r="V12" s="1444"/>
      <c r="W12" s="330">
        <v>43</v>
      </c>
      <c r="X12" s="1424">
        <v>46</v>
      </c>
      <c r="Y12" s="610"/>
      <c r="Z12" s="323">
        <f t="shared" si="2"/>
        <v>0</v>
      </c>
      <c r="AA12" s="510"/>
      <c r="AB12" s="1317">
        <v>134</v>
      </c>
      <c r="AC12" s="610"/>
      <c r="AD12" s="1444"/>
      <c r="AE12" s="330">
        <v>134</v>
      </c>
      <c r="AF12" s="1424">
        <v>117</v>
      </c>
      <c r="AG12" s="610"/>
      <c r="AH12" s="323">
        <f t="shared" si="3"/>
        <v>0</v>
      </c>
      <c r="AI12" s="510"/>
      <c r="AJ12" s="1317">
        <v>96</v>
      </c>
      <c r="AK12" s="610"/>
      <c r="AL12" s="1444"/>
      <c r="AM12" s="330">
        <v>96</v>
      </c>
      <c r="AN12" s="610"/>
      <c r="AO12" s="1421">
        <v>86</v>
      </c>
      <c r="AP12" s="323">
        <f t="shared" si="4"/>
        <v>0</v>
      </c>
      <c r="AQ12" s="510"/>
      <c r="AR12" s="1317">
        <v>34</v>
      </c>
      <c r="AS12" s="610"/>
      <c r="AT12" s="1444"/>
      <c r="AU12" s="330">
        <v>34</v>
      </c>
      <c r="AV12" s="610"/>
      <c r="AW12" s="1421">
        <v>45</v>
      </c>
      <c r="AX12" s="323">
        <f t="shared" si="5"/>
        <v>0</v>
      </c>
      <c r="AY12" s="510"/>
      <c r="AZ12" s="1317">
        <v>105</v>
      </c>
      <c r="BA12" s="610"/>
      <c r="BB12" s="1444"/>
      <c r="BC12" s="330">
        <v>113</v>
      </c>
      <c r="BD12" s="610"/>
      <c r="BE12" s="1421">
        <v>104</v>
      </c>
      <c r="BF12" s="323">
        <f t="shared" si="6"/>
        <v>7.6190476190476142E-2</v>
      </c>
      <c r="BG12" s="510"/>
      <c r="BH12" s="1317">
        <v>167</v>
      </c>
      <c r="BI12" s="610"/>
      <c r="BJ12" s="1444"/>
      <c r="BK12" s="330">
        <v>175</v>
      </c>
      <c r="BL12" s="610"/>
      <c r="BM12" s="1421">
        <v>139</v>
      </c>
      <c r="BN12" s="323">
        <f t="shared" si="7"/>
        <v>4.7904191616766401E-2</v>
      </c>
      <c r="BO12" s="510"/>
      <c r="BP12" s="1317">
        <v>31</v>
      </c>
      <c r="BQ12" s="610"/>
      <c r="BR12" s="1444"/>
      <c r="BS12" s="330">
        <v>32</v>
      </c>
      <c r="BT12" s="610"/>
      <c r="BU12" s="1421">
        <v>33</v>
      </c>
      <c r="BV12" s="323">
        <f t="shared" si="8"/>
        <v>3.2258064516129004E-2</v>
      </c>
      <c r="BW12" s="510"/>
      <c r="BX12" s="1317">
        <v>131</v>
      </c>
      <c r="BY12" s="610"/>
      <c r="BZ12" s="1444"/>
      <c r="CA12" s="330">
        <v>130</v>
      </c>
      <c r="CB12" s="610"/>
      <c r="CC12" s="1421">
        <v>141</v>
      </c>
      <c r="CD12" s="323">
        <f t="shared" si="9"/>
        <v>-7.6335877862595547E-3</v>
      </c>
      <c r="CE12" s="510"/>
      <c r="CF12" s="1317">
        <v>48</v>
      </c>
      <c r="CG12" s="610"/>
      <c r="CH12" s="1444"/>
      <c r="CI12" s="330">
        <v>48</v>
      </c>
      <c r="CJ12" s="610"/>
      <c r="CK12" s="1421">
        <v>36</v>
      </c>
      <c r="CL12" s="323">
        <f t="shared" si="10"/>
        <v>0</v>
      </c>
      <c r="CM12" s="510"/>
      <c r="CN12" s="1317">
        <v>51</v>
      </c>
      <c r="CO12" s="610"/>
      <c r="CP12" s="1444"/>
      <c r="CQ12" s="330">
        <v>53</v>
      </c>
      <c r="CR12" s="610"/>
      <c r="CS12" s="1421">
        <v>52</v>
      </c>
      <c r="CT12" s="323">
        <f t="shared" si="11"/>
        <v>3.9215686274509887E-2</v>
      </c>
      <c r="CU12" s="315"/>
      <c r="CX12" s="506"/>
      <c r="CY12" s="521">
        <v>0</v>
      </c>
      <c r="CZ12" s="522">
        <f t="shared" si="25"/>
        <v>0</v>
      </c>
      <c r="DA12" s="521">
        <v>0</v>
      </c>
      <c r="DB12" s="522">
        <f t="shared" si="26"/>
        <v>0</v>
      </c>
      <c r="DC12" s="521">
        <v>0</v>
      </c>
      <c r="DD12" s="522">
        <f t="shared" si="27"/>
        <v>0</v>
      </c>
      <c r="DE12" s="521">
        <v>0</v>
      </c>
      <c r="DF12" s="522">
        <f t="shared" si="28"/>
        <v>0</v>
      </c>
      <c r="DG12" s="521">
        <v>0</v>
      </c>
      <c r="DH12" s="522">
        <f t="shared" si="29"/>
        <v>0</v>
      </c>
      <c r="DI12" s="521">
        <v>0</v>
      </c>
      <c r="DJ12" s="522">
        <f t="shared" si="30"/>
        <v>0</v>
      </c>
      <c r="DK12" s="521">
        <v>0</v>
      </c>
      <c r="DL12" s="522">
        <f t="shared" si="18"/>
        <v>0</v>
      </c>
      <c r="DM12" s="506">
        <f t="shared" si="24"/>
        <v>0</v>
      </c>
      <c r="DN12" s="313"/>
      <c r="DO12" s="313"/>
      <c r="DP12" s="313"/>
      <c r="DQ12" s="313"/>
      <c r="DR12" s="313"/>
      <c r="DS12" s="313"/>
      <c r="DT12" s="313"/>
      <c r="DU12" s="313"/>
      <c r="DV12" s="313"/>
      <c r="DW12" s="313"/>
    </row>
    <row r="13" spans="1:127" s="2" customFormat="1" ht="28.5">
      <c r="A13" s="1855"/>
      <c r="B13" s="1859"/>
      <c r="C13" s="384">
        <v>3.3</v>
      </c>
      <c r="D13" s="1016" t="s">
        <v>2527</v>
      </c>
      <c r="E13" s="482" t="s">
        <v>1194</v>
      </c>
      <c r="F13" s="328" t="s">
        <v>1195</v>
      </c>
      <c r="G13" s="327"/>
      <c r="H13" s="326"/>
      <c r="I13" s="383"/>
      <c r="J13" s="645">
        <f t="shared" si="19"/>
        <v>35.299999999999997</v>
      </c>
      <c r="K13" s="651"/>
      <c r="L13" s="645">
        <f t="shared" si="0"/>
        <v>38.799999999999997</v>
      </c>
      <c r="M13" s="501"/>
      <c r="N13" s="502">
        <f t="shared" si="20"/>
        <v>0</v>
      </c>
      <c r="O13" s="500">
        <f t="shared" si="1"/>
        <v>0</v>
      </c>
      <c r="P13" s="500">
        <f t="shared" si="21"/>
        <v>0</v>
      </c>
      <c r="Q13" s="816">
        <f t="shared" si="22"/>
        <v>0</v>
      </c>
      <c r="R13" s="815">
        <f>Q13/2</f>
        <v>0</v>
      </c>
      <c r="S13" s="510"/>
      <c r="T13" s="1317">
        <v>12</v>
      </c>
      <c r="U13" s="610"/>
      <c r="V13" s="1444"/>
      <c r="W13" s="330">
        <v>24</v>
      </c>
      <c r="X13" s="1424">
        <v>22</v>
      </c>
      <c r="Y13" s="610"/>
      <c r="Z13" s="323">
        <f t="shared" si="2"/>
        <v>1</v>
      </c>
      <c r="AA13" s="510"/>
      <c r="AB13" s="1317">
        <v>27</v>
      </c>
      <c r="AC13" s="610"/>
      <c r="AD13" s="1444"/>
      <c r="AE13" s="330">
        <v>38</v>
      </c>
      <c r="AF13" s="1424">
        <v>46</v>
      </c>
      <c r="AG13" s="610"/>
      <c r="AH13" s="323">
        <f t="shared" si="3"/>
        <v>0.40740740740740744</v>
      </c>
      <c r="AI13" s="510"/>
      <c r="AJ13" s="1317">
        <v>21</v>
      </c>
      <c r="AK13" s="610"/>
      <c r="AL13" s="1444"/>
      <c r="AM13" s="330">
        <v>26</v>
      </c>
      <c r="AN13" s="610"/>
      <c r="AO13" s="1421">
        <v>28</v>
      </c>
      <c r="AP13" s="323">
        <f t="shared" si="4"/>
        <v>0.23809523809523814</v>
      </c>
      <c r="AQ13" s="510"/>
      <c r="AR13" s="1317">
        <v>22</v>
      </c>
      <c r="AS13" s="610"/>
      <c r="AT13" s="1444"/>
      <c r="AU13" s="330">
        <v>25</v>
      </c>
      <c r="AV13" s="610"/>
      <c r="AW13" s="1421">
        <v>23</v>
      </c>
      <c r="AX13" s="323">
        <f t="shared" si="5"/>
        <v>0.13636363636363646</v>
      </c>
      <c r="AY13" s="510"/>
      <c r="AZ13" s="1317">
        <v>43</v>
      </c>
      <c r="BA13" s="610"/>
      <c r="BB13" s="1444"/>
      <c r="BC13" s="330">
        <v>46</v>
      </c>
      <c r="BD13" s="610"/>
      <c r="BE13" s="1421">
        <v>50</v>
      </c>
      <c r="BF13" s="323">
        <f t="shared" si="6"/>
        <v>6.9767441860465018E-2</v>
      </c>
      <c r="BG13" s="510"/>
      <c r="BH13" s="1317">
        <v>76</v>
      </c>
      <c r="BI13" s="610"/>
      <c r="BJ13" s="1444"/>
      <c r="BK13" s="330">
        <v>73</v>
      </c>
      <c r="BL13" s="610"/>
      <c r="BM13" s="1421">
        <v>79</v>
      </c>
      <c r="BN13" s="323">
        <f t="shared" si="7"/>
        <v>-3.9473684210526327E-2</v>
      </c>
      <c r="BO13" s="510"/>
      <c r="BP13" s="1317">
        <v>15</v>
      </c>
      <c r="BQ13" s="610"/>
      <c r="BR13" s="1444"/>
      <c r="BS13" s="330">
        <v>17</v>
      </c>
      <c r="BT13" s="610"/>
      <c r="BU13" s="1421">
        <v>21</v>
      </c>
      <c r="BV13" s="323">
        <f t="shared" si="8"/>
        <v>0.1333333333333333</v>
      </c>
      <c r="BW13" s="510"/>
      <c r="BX13" s="1317">
        <v>74</v>
      </c>
      <c r="BY13" s="610"/>
      <c r="BZ13" s="1444"/>
      <c r="CA13" s="330">
        <v>75</v>
      </c>
      <c r="CB13" s="610"/>
      <c r="CC13" s="1421">
        <v>83</v>
      </c>
      <c r="CD13" s="323">
        <f t="shared" si="9"/>
        <v>1.3513513513513598E-2</v>
      </c>
      <c r="CE13" s="510"/>
      <c r="CF13" s="1317">
        <v>25</v>
      </c>
      <c r="CG13" s="610"/>
      <c r="CH13" s="1444"/>
      <c r="CI13" s="330">
        <v>25</v>
      </c>
      <c r="CJ13" s="610"/>
      <c r="CK13" s="1421">
        <v>27</v>
      </c>
      <c r="CL13" s="323">
        <f t="shared" si="10"/>
        <v>0</v>
      </c>
      <c r="CM13" s="510"/>
      <c r="CN13" s="1317">
        <v>38</v>
      </c>
      <c r="CO13" s="610"/>
      <c r="CP13" s="1444"/>
      <c r="CQ13" s="330">
        <v>39</v>
      </c>
      <c r="CR13" s="610"/>
      <c r="CS13" s="1421">
        <v>48</v>
      </c>
      <c r="CT13" s="323">
        <f t="shared" si="11"/>
        <v>2.6315789473684292E-2</v>
      </c>
      <c r="CU13" s="315"/>
      <c r="CX13" s="506"/>
      <c r="CY13" s="521">
        <v>0</v>
      </c>
      <c r="CZ13" s="522">
        <f t="shared" si="25"/>
        <v>0</v>
      </c>
      <c r="DA13" s="521">
        <v>0</v>
      </c>
      <c r="DB13" s="522">
        <f t="shared" si="26"/>
        <v>0</v>
      </c>
      <c r="DC13" s="521">
        <v>0</v>
      </c>
      <c r="DD13" s="522">
        <f t="shared" si="27"/>
        <v>0</v>
      </c>
      <c r="DE13" s="521">
        <v>0</v>
      </c>
      <c r="DF13" s="522">
        <f t="shared" si="28"/>
        <v>0</v>
      </c>
      <c r="DG13" s="521">
        <v>0</v>
      </c>
      <c r="DH13" s="522">
        <f t="shared" si="29"/>
        <v>0</v>
      </c>
      <c r="DI13" s="521">
        <v>0</v>
      </c>
      <c r="DJ13" s="522">
        <f t="shared" si="30"/>
        <v>0</v>
      </c>
      <c r="DK13" s="521">
        <v>0</v>
      </c>
      <c r="DL13" s="522">
        <f t="shared" si="18"/>
        <v>0</v>
      </c>
      <c r="DM13" s="506">
        <f t="shared" si="24"/>
        <v>0</v>
      </c>
      <c r="DN13" s="313"/>
      <c r="DO13" s="313"/>
      <c r="DP13" s="313"/>
      <c r="DQ13" s="313"/>
      <c r="DR13" s="313"/>
      <c r="DS13" s="313"/>
      <c r="DT13" s="313"/>
      <c r="DU13" s="313"/>
      <c r="DV13" s="313"/>
      <c r="DW13" s="313"/>
    </row>
    <row r="14" spans="1:127" s="2" customFormat="1">
      <c r="A14" s="395" t="s">
        <v>1206</v>
      </c>
      <c r="B14" s="396" t="s">
        <v>1207</v>
      </c>
      <c r="C14" s="23">
        <v>4</v>
      </c>
      <c r="D14" s="329" t="s">
        <v>1205</v>
      </c>
      <c r="E14" s="482" t="s">
        <v>1199</v>
      </c>
      <c r="F14" s="336"/>
      <c r="G14" s="336" t="s">
        <v>1208</v>
      </c>
      <c r="H14" s="334" t="s">
        <v>282</v>
      </c>
      <c r="I14" s="382">
        <v>3</v>
      </c>
      <c r="J14" s="645">
        <f t="shared" si="19"/>
        <v>4.4000000000000004</v>
      </c>
      <c r="K14" s="651">
        <f>AVERAGE(CO14,CG14,BY14,BQ14,BI14,BA14,AS14,AK14,AC14,U14)</f>
        <v>3</v>
      </c>
      <c r="L14" s="645">
        <f t="shared" si="0"/>
        <v>4.8</v>
      </c>
      <c r="M14" s="501">
        <f>AVERAGE(CR14,CJ14,CB14,BT14,BL14,BD14,AV14,AN14,AG14,Y14)</f>
        <v>3</v>
      </c>
      <c r="N14" s="502">
        <f t="shared" si="20"/>
        <v>0</v>
      </c>
      <c r="O14" s="500">
        <f t="shared" si="1"/>
        <v>0</v>
      </c>
      <c r="P14" s="500">
        <f t="shared" si="21"/>
        <v>0</v>
      </c>
      <c r="Q14" s="816">
        <f t="shared" si="22"/>
        <v>0</v>
      </c>
      <c r="R14" s="815">
        <f t="shared" si="23"/>
        <v>0</v>
      </c>
      <c r="S14" s="510"/>
      <c r="T14" s="1317">
        <v>3</v>
      </c>
      <c r="U14" s="610">
        <f>IF(T14&gt;=3,3,IF(T14&gt;0,1.5,0))</f>
        <v>3</v>
      </c>
      <c r="V14" s="1444"/>
      <c r="W14" s="330">
        <v>3</v>
      </c>
      <c r="X14" s="1424"/>
      <c r="Y14" s="610">
        <v>3</v>
      </c>
      <c r="Z14" s="323">
        <f t="shared" si="2"/>
        <v>0</v>
      </c>
      <c r="AA14" s="510"/>
      <c r="AB14" s="1317">
        <v>4</v>
      </c>
      <c r="AC14" s="610">
        <f>IF(AB14&gt;=3,3,IF(AB14&gt;0,1.5,0))</f>
        <v>3</v>
      </c>
      <c r="AD14" s="1444"/>
      <c r="AE14" s="330">
        <v>4</v>
      </c>
      <c r="AF14" s="1424"/>
      <c r="AG14" s="610">
        <v>3</v>
      </c>
      <c r="AH14" s="323">
        <f t="shared" si="3"/>
        <v>0</v>
      </c>
      <c r="AI14" s="510"/>
      <c r="AJ14" s="1317">
        <v>4</v>
      </c>
      <c r="AK14" s="610">
        <f>IF(AJ14&gt;=3,3,IF(AJ14&gt;0,1.5,0))</f>
        <v>3</v>
      </c>
      <c r="AL14" s="1444"/>
      <c r="AM14" s="330">
        <v>4</v>
      </c>
      <c r="AN14" s="610">
        <v>3</v>
      </c>
      <c r="AO14" s="1421"/>
      <c r="AP14" s="323">
        <f t="shared" si="4"/>
        <v>0</v>
      </c>
      <c r="AQ14" s="510"/>
      <c r="AR14" s="1317">
        <v>4</v>
      </c>
      <c r="AS14" s="610">
        <f>IF(AR14&gt;=3,3,IF(AR14&gt;0,1.5,0))</f>
        <v>3</v>
      </c>
      <c r="AT14" s="1444"/>
      <c r="AU14" s="330">
        <v>4</v>
      </c>
      <c r="AV14" s="610">
        <v>3</v>
      </c>
      <c r="AW14" s="1421"/>
      <c r="AX14" s="323">
        <f t="shared" si="5"/>
        <v>0</v>
      </c>
      <c r="AY14" s="510"/>
      <c r="AZ14" s="1317">
        <v>4</v>
      </c>
      <c r="BA14" s="610">
        <f>IF(AZ14&gt;=3,3,IF(AZ14&gt;0,1.5,0))</f>
        <v>3</v>
      </c>
      <c r="BB14" s="1444"/>
      <c r="BC14" s="330">
        <v>4</v>
      </c>
      <c r="BD14" s="610">
        <v>3</v>
      </c>
      <c r="BE14" s="1421"/>
      <c r="BF14" s="323">
        <f t="shared" si="6"/>
        <v>0</v>
      </c>
      <c r="BG14" s="510"/>
      <c r="BH14" s="1317">
        <v>4</v>
      </c>
      <c r="BI14" s="610">
        <f>IF(BH14&gt;=3,3,IF(BH14&gt;0,1.5,0))</f>
        <v>3</v>
      </c>
      <c r="BJ14" s="1444"/>
      <c r="BK14" s="330">
        <v>4</v>
      </c>
      <c r="BL14" s="610">
        <v>3</v>
      </c>
      <c r="BM14" s="1421"/>
      <c r="BN14" s="323">
        <f t="shared" si="7"/>
        <v>0</v>
      </c>
      <c r="BO14" s="510"/>
      <c r="BP14" s="1317">
        <v>4</v>
      </c>
      <c r="BQ14" s="610">
        <f>IF(BP14&gt;=3,3,IF(BP14&gt;0,1.5,0))</f>
        <v>3</v>
      </c>
      <c r="BR14" s="1444"/>
      <c r="BS14" s="330">
        <v>4</v>
      </c>
      <c r="BT14" s="610">
        <v>3</v>
      </c>
      <c r="BU14" s="1421"/>
      <c r="BV14" s="323">
        <f t="shared" si="8"/>
        <v>0</v>
      </c>
      <c r="BW14" s="510"/>
      <c r="BX14" s="1317">
        <v>4</v>
      </c>
      <c r="BY14" s="610">
        <f>IF(BX14&gt;=3,3,IF(BX14&gt;0,1.5,0))</f>
        <v>3</v>
      </c>
      <c r="BZ14" s="1444"/>
      <c r="CA14" s="330">
        <v>4</v>
      </c>
      <c r="CB14" s="610">
        <v>3</v>
      </c>
      <c r="CC14" s="1421"/>
      <c r="CD14" s="323">
        <f t="shared" si="9"/>
        <v>0</v>
      </c>
      <c r="CE14" s="510"/>
      <c r="CF14" s="1317">
        <v>10</v>
      </c>
      <c r="CG14" s="610">
        <f>IF(CF14&gt;=3,3,IF(CF14&gt;0,1.5,0))</f>
        <v>3</v>
      </c>
      <c r="CH14" s="1444"/>
      <c r="CI14" s="978">
        <v>14</v>
      </c>
      <c r="CJ14" s="610">
        <v>3</v>
      </c>
      <c r="CK14" s="1421"/>
      <c r="CL14" s="323">
        <f t="shared" si="10"/>
        <v>0.39999999999999991</v>
      </c>
      <c r="CM14" s="510"/>
      <c r="CN14" s="1317">
        <v>3</v>
      </c>
      <c r="CO14" s="610">
        <f>IF(CN14&gt;=3,3,IF(CN14&gt;0,1.5,0))</f>
        <v>3</v>
      </c>
      <c r="CP14" s="1444"/>
      <c r="CQ14" s="330">
        <v>3</v>
      </c>
      <c r="CR14" s="610">
        <v>3</v>
      </c>
      <c r="CS14" s="1421"/>
      <c r="CT14" s="323">
        <f t="shared" si="11"/>
        <v>0</v>
      </c>
      <c r="CU14" s="315"/>
      <c r="CX14" s="506"/>
      <c r="CY14" s="521">
        <v>0</v>
      </c>
      <c r="CZ14" s="522">
        <f t="shared" si="25"/>
        <v>3</v>
      </c>
      <c r="DA14" s="521">
        <v>0</v>
      </c>
      <c r="DB14" s="522">
        <f t="shared" si="26"/>
        <v>3</v>
      </c>
      <c r="DC14" s="521">
        <v>0</v>
      </c>
      <c r="DD14" s="522">
        <f t="shared" si="27"/>
        <v>3</v>
      </c>
      <c r="DE14" s="521">
        <v>0</v>
      </c>
      <c r="DF14" s="522">
        <f t="shared" si="28"/>
        <v>3</v>
      </c>
      <c r="DG14" s="521">
        <v>0</v>
      </c>
      <c r="DH14" s="522">
        <f t="shared" si="29"/>
        <v>3</v>
      </c>
      <c r="DI14" s="521">
        <v>0</v>
      </c>
      <c r="DJ14" s="522">
        <f t="shared" si="30"/>
        <v>3</v>
      </c>
      <c r="DK14" s="521">
        <v>0</v>
      </c>
      <c r="DL14" s="522">
        <f t="shared" si="18"/>
        <v>3</v>
      </c>
      <c r="DM14" s="506">
        <f t="shared" si="24"/>
        <v>18</v>
      </c>
      <c r="DN14" s="313"/>
      <c r="DO14" s="313"/>
      <c r="DP14" s="313"/>
      <c r="DQ14" s="313"/>
      <c r="DR14" s="313"/>
      <c r="DS14" s="313"/>
      <c r="DT14" s="313"/>
      <c r="DU14" s="313"/>
      <c r="DV14" s="313"/>
      <c r="DW14" s="313"/>
    </row>
    <row r="15" spans="1:127" s="77" customFormat="1">
      <c r="A15" s="397" t="s">
        <v>1740</v>
      </c>
      <c r="B15" s="397" t="s">
        <v>1210</v>
      </c>
      <c r="C15" s="23">
        <v>5</v>
      </c>
      <c r="D15" s="79" t="s">
        <v>1209</v>
      </c>
      <c r="E15" s="482" t="s">
        <v>1194</v>
      </c>
      <c r="F15" s="486"/>
      <c r="G15" s="486" t="s">
        <v>474</v>
      </c>
      <c r="H15" s="334" t="s">
        <v>282</v>
      </c>
      <c r="I15" s="487">
        <v>4</v>
      </c>
      <c r="J15" s="646" t="s">
        <v>1211</v>
      </c>
      <c r="K15" s="651">
        <f>AVERAGE(CO15,CG15,BY15,BQ15,BI15,BA15,AS15,AK15,AC15,U15)</f>
        <v>4</v>
      </c>
      <c r="L15" s="646" t="s">
        <v>1211</v>
      </c>
      <c r="M15" s="501">
        <f>AVERAGE(CR15,CJ15,CB15,BT15,BL15,BD15,AV15,AN15,AG15,Y15)</f>
        <v>4</v>
      </c>
      <c r="N15" s="502">
        <f t="shared" si="20"/>
        <v>0</v>
      </c>
      <c r="O15" s="500">
        <f t="shared" si="1"/>
        <v>0</v>
      </c>
      <c r="P15" s="500">
        <f t="shared" si="21"/>
        <v>0</v>
      </c>
      <c r="Q15" s="816">
        <f t="shared" si="22"/>
        <v>0</v>
      </c>
      <c r="R15" s="815">
        <f t="shared" si="23"/>
        <v>0</v>
      </c>
      <c r="S15" s="510" t="s">
        <v>1758</v>
      </c>
      <c r="T15" s="1317" t="s">
        <v>1211</v>
      </c>
      <c r="U15" s="610">
        <v>4</v>
      </c>
      <c r="V15" s="1444"/>
      <c r="W15" s="330" t="s">
        <v>1211</v>
      </c>
      <c r="X15" s="1424"/>
      <c r="Y15" s="610">
        <v>4</v>
      </c>
      <c r="Z15" s="323">
        <f>IF((W15=T15)=TRUE,0,1)</f>
        <v>0</v>
      </c>
      <c r="AA15" s="510"/>
      <c r="AB15" s="1317" t="s">
        <v>1211</v>
      </c>
      <c r="AC15" s="610">
        <v>4</v>
      </c>
      <c r="AD15" s="1444"/>
      <c r="AE15" s="330" t="s">
        <v>1211</v>
      </c>
      <c r="AF15" s="1424"/>
      <c r="AG15" s="610">
        <v>4</v>
      </c>
      <c r="AH15" s="323">
        <f>IF((AE15=AB15)=TRUE,0,1)</f>
        <v>0</v>
      </c>
      <c r="AI15" s="510"/>
      <c r="AJ15" s="1317" t="s">
        <v>1211</v>
      </c>
      <c r="AK15" s="610">
        <v>4</v>
      </c>
      <c r="AL15" s="1444"/>
      <c r="AM15" s="330" t="s">
        <v>1211</v>
      </c>
      <c r="AN15" s="610">
        <v>4</v>
      </c>
      <c r="AO15" s="1421"/>
      <c r="AP15" s="323">
        <f>IF((AM15=AJ15)=TRUE,0,1)</f>
        <v>0</v>
      </c>
      <c r="AQ15" s="510"/>
      <c r="AR15" s="1317" t="s">
        <v>1211</v>
      </c>
      <c r="AS15" s="610">
        <v>4</v>
      </c>
      <c r="AT15" s="1444"/>
      <c r="AU15" s="330" t="s">
        <v>1211</v>
      </c>
      <c r="AV15" s="610">
        <v>4</v>
      </c>
      <c r="AW15" s="1421"/>
      <c r="AX15" s="323">
        <f>IF((AU15=AR15)=TRUE,0,1)</f>
        <v>0</v>
      </c>
      <c r="AY15" s="510"/>
      <c r="AZ15" s="1317" t="s">
        <v>1211</v>
      </c>
      <c r="BA15" s="610">
        <v>4</v>
      </c>
      <c r="BB15" s="1444"/>
      <c r="BC15" s="330" t="s">
        <v>1211</v>
      </c>
      <c r="BD15" s="610">
        <v>4</v>
      </c>
      <c r="BE15" s="1421"/>
      <c r="BF15" s="323">
        <f>IF((BC15=AZ15)=TRUE,0,1)</f>
        <v>0</v>
      </c>
      <c r="BG15" s="510"/>
      <c r="BH15" s="1317" t="s">
        <v>1211</v>
      </c>
      <c r="BI15" s="610">
        <v>4</v>
      </c>
      <c r="BJ15" s="1444"/>
      <c r="BK15" s="330" t="s">
        <v>1211</v>
      </c>
      <c r="BL15" s="610">
        <v>4</v>
      </c>
      <c r="BM15" s="1421"/>
      <c r="BN15" s="323">
        <f>IF((BK15=BH15)=TRUE,0,1)</f>
        <v>0</v>
      </c>
      <c r="BO15" s="510"/>
      <c r="BP15" s="1317" t="s">
        <v>1211</v>
      </c>
      <c r="BQ15" s="610">
        <v>4</v>
      </c>
      <c r="BR15" s="1444"/>
      <c r="BS15" s="330" t="s">
        <v>1211</v>
      </c>
      <c r="BT15" s="610">
        <v>4</v>
      </c>
      <c r="BU15" s="1421"/>
      <c r="BV15" s="323">
        <f>IF((BS15=BP15)=TRUE,0,1)</f>
        <v>0</v>
      </c>
      <c r="BW15" s="510"/>
      <c r="BX15" s="1317" t="s">
        <v>1211</v>
      </c>
      <c r="BY15" s="610">
        <v>4</v>
      </c>
      <c r="BZ15" s="1444"/>
      <c r="CA15" s="330" t="s">
        <v>1211</v>
      </c>
      <c r="CB15" s="610">
        <v>4</v>
      </c>
      <c r="CC15" s="1421"/>
      <c r="CD15" s="323">
        <f>IF((CA15=BX15)=TRUE,0,1)</f>
        <v>0</v>
      </c>
      <c r="CE15" s="510"/>
      <c r="CF15" s="1317" t="s">
        <v>1211</v>
      </c>
      <c r="CG15" s="610">
        <v>4</v>
      </c>
      <c r="CH15" s="1444"/>
      <c r="CI15" s="330" t="s">
        <v>1211</v>
      </c>
      <c r="CJ15" s="610">
        <v>4</v>
      </c>
      <c r="CK15" s="1421"/>
      <c r="CL15" s="323">
        <f>IF((CI15=CF15)=TRUE,0,1)</f>
        <v>0</v>
      </c>
      <c r="CM15" s="510"/>
      <c r="CN15" s="1317" t="s">
        <v>1211</v>
      </c>
      <c r="CO15" s="610">
        <v>4</v>
      </c>
      <c r="CP15" s="1444"/>
      <c r="CQ15" s="330" t="s">
        <v>1211</v>
      </c>
      <c r="CR15" s="610">
        <v>4</v>
      </c>
      <c r="CS15" s="1421"/>
      <c r="CT15" s="323">
        <f>IF((CQ15=CN15)=TRUE,0,1)</f>
        <v>0</v>
      </c>
      <c r="CU15" s="315"/>
      <c r="CX15" s="506"/>
      <c r="CY15" s="521">
        <v>0</v>
      </c>
      <c r="CZ15" s="522">
        <f t="shared" si="25"/>
        <v>4</v>
      </c>
      <c r="DA15" s="521">
        <v>0</v>
      </c>
      <c r="DB15" s="522">
        <f t="shared" si="26"/>
        <v>4</v>
      </c>
      <c r="DC15" s="521">
        <v>0</v>
      </c>
      <c r="DD15" s="522">
        <f t="shared" si="27"/>
        <v>4</v>
      </c>
      <c r="DE15" s="521">
        <v>0</v>
      </c>
      <c r="DF15" s="522">
        <f t="shared" si="28"/>
        <v>4</v>
      </c>
      <c r="DG15" s="521">
        <v>0</v>
      </c>
      <c r="DH15" s="522">
        <f t="shared" si="29"/>
        <v>4</v>
      </c>
      <c r="DI15" s="521">
        <v>0</v>
      </c>
      <c r="DJ15" s="522">
        <f t="shared" si="30"/>
        <v>4</v>
      </c>
      <c r="DK15" s="521">
        <v>0</v>
      </c>
      <c r="DL15" s="522">
        <f t="shared" si="18"/>
        <v>4</v>
      </c>
      <c r="DM15" s="506">
        <f t="shared" si="24"/>
        <v>24</v>
      </c>
      <c r="DN15" s="313"/>
      <c r="DO15" s="313"/>
      <c r="DP15" s="313"/>
      <c r="DQ15" s="313"/>
      <c r="DR15" s="313"/>
      <c r="DS15" s="313"/>
      <c r="DT15" s="313"/>
      <c r="DU15" s="313"/>
      <c r="DV15" s="313"/>
      <c r="DW15" s="313"/>
    </row>
    <row r="16" spans="1:127" s="2" customFormat="1">
      <c r="A16" s="1857" t="s">
        <v>1213</v>
      </c>
      <c r="B16" s="1858" t="s">
        <v>1979</v>
      </c>
      <c r="C16" s="23">
        <v>6</v>
      </c>
      <c r="D16" s="329" t="s">
        <v>1212</v>
      </c>
      <c r="E16" s="481"/>
      <c r="F16" s="383"/>
      <c r="G16" s="383" t="s">
        <v>474</v>
      </c>
      <c r="H16" s="330" t="s">
        <v>282</v>
      </c>
      <c r="I16" s="382">
        <v>1</v>
      </c>
      <c r="J16" s="644">
        <f t="shared" ref="J16:J33" si="31">AVERAGE(CN16,CF16,BX16,BP16,BH16,AZ16,AR16,AJ16,AB16,T16)</f>
        <v>1</v>
      </c>
      <c r="K16" s="651">
        <f>AVERAGE(CO16,CG16,BY16,BQ16,BI16,BA16,AS16,AK16,AC16,U16)</f>
        <v>1</v>
      </c>
      <c r="L16" s="644">
        <f t="shared" ref="L16:L33" si="32">AVERAGE(CQ16,CI16,CA16,BS16,BK16,BC16,AU16,AM16,AE16,W16)</f>
        <v>1</v>
      </c>
      <c r="M16" s="501">
        <f>AVERAGE(CR16,CJ16,CB16,BT16,BL16,BD16,AV16,AN16,AG16,Y16)</f>
        <v>1</v>
      </c>
      <c r="N16" s="502">
        <f t="shared" si="20"/>
        <v>0</v>
      </c>
      <c r="O16" s="500">
        <f t="shared" si="1"/>
        <v>0</v>
      </c>
      <c r="P16" s="500">
        <f t="shared" si="21"/>
        <v>0</v>
      </c>
      <c r="Q16" s="816">
        <f t="shared" si="22"/>
        <v>0</v>
      </c>
      <c r="R16" s="815">
        <f t="shared" si="23"/>
        <v>0</v>
      </c>
      <c r="S16" s="510"/>
      <c r="T16" s="1316">
        <f>IF(T18=0,"",T17/T18)</f>
        <v>1</v>
      </c>
      <c r="U16" s="322">
        <f>IF(T16=1,1,0)</f>
        <v>1</v>
      </c>
      <c r="V16" s="322"/>
      <c r="W16" s="640">
        <f>IF(W18=0,"",W17/W18)</f>
        <v>1</v>
      </c>
      <c r="X16" s="1423"/>
      <c r="Y16" s="322">
        <f>IF(W16=1,1,0)</f>
        <v>1</v>
      </c>
      <c r="Z16" s="323">
        <f t="shared" ref="Z16:Z33" si="33">IF(AND(T16=0,W16&lt;&gt;0),1,IF(AND(T16=0,W16=0),0,W16/T16-1))</f>
        <v>0</v>
      </c>
      <c r="AA16" s="510"/>
      <c r="AB16" s="1316">
        <f>IF(AB18=0,"",AB17/AB18)</f>
        <v>1</v>
      </c>
      <c r="AC16" s="322">
        <f>IF(AB16=1,1,0)</f>
        <v>1</v>
      </c>
      <c r="AD16" s="322"/>
      <c r="AE16" s="640">
        <f>IF(AE18=0,"",AE17/AE18)</f>
        <v>1</v>
      </c>
      <c r="AF16" s="1423"/>
      <c r="AG16" s="322">
        <f>IF(AE16=1,1,0)</f>
        <v>1</v>
      </c>
      <c r="AH16" s="323">
        <f t="shared" si="3"/>
        <v>0</v>
      </c>
      <c r="AI16" s="510"/>
      <c r="AJ16" s="1316">
        <f>IF(AJ18=0,"",AJ17/AJ18)</f>
        <v>1</v>
      </c>
      <c r="AK16" s="322">
        <f>IF(AJ16=1,1,0)</f>
        <v>1</v>
      </c>
      <c r="AL16" s="322"/>
      <c r="AM16" s="640">
        <f>IF(AM18=0,"",AM17/AM18)</f>
        <v>1</v>
      </c>
      <c r="AN16" s="322">
        <f>IF(AM16=1,1,0)</f>
        <v>1</v>
      </c>
      <c r="AO16" s="322"/>
      <c r="AP16" s="323">
        <f t="shared" ref="AP16:AP33" si="34">IF(AND(AJ16=0,AM16&lt;&gt;0),1,IF(AND(AJ16=0,AM16=0),0,AM16/AJ16-1))</f>
        <v>0</v>
      </c>
      <c r="AQ16" s="510"/>
      <c r="AR16" s="1316">
        <f>IF(AR18=0,"",AR17/AR18)</f>
        <v>1</v>
      </c>
      <c r="AS16" s="322">
        <f>IF(AR16=1,1,0)</f>
        <v>1</v>
      </c>
      <c r="AT16" s="322"/>
      <c r="AU16" s="640">
        <f>IF(AU18=0,"",AU17/AU18)</f>
        <v>1</v>
      </c>
      <c r="AV16" s="322">
        <f>IF(AU16=1,1,0)</f>
        <v>1</v>
      </c>
      <c r="AW16" s="322"/>
      <c r="AX16" s="323">
        <f t="shared" ref="AX16:AX33" si="35">IF(AND(AR16=0,AU16&lt;&gt;0),1,IF(AND(AR16=0,AU16=0),0,AU16/AR16-1))</f>
        <v>0</v>
      </c>
      <c r="AY16" s="510"/>
      <c r="AZ16" s="1316">
        <f>IF(AZ18=0,"",AZ17/AZ18)</f>
        <v>1</v>
      </c>
      <c r="BA16" s="322">
        <f>IF(AZ16=1,1,0)</f>
        <v>1</v>
      </c>
      <c r="BB16" s="322"/>
      <c r="BC16" s="640">
        <f>IF(BC18=0,"",BC17/BC18)</f>
        <v>1</v>
      </c>
      <c r="BD16" s="322">
        <f>IF(BC16=1,1,0)</f>
        <v>1</v>
      </c>
      <c r="BE16" s="322"/>
      <c r="BF16" s="323">
        <f t="shared" si="6"/>
        <v>0</v>
      </c>
      <c r="BG16" s="510"/>
      <c r="BH16" s="1316">
        <f>IF(BH18=0,"",BH17/BH18)</f>
        <v>1</v>
      </c>
      <c r="BI16" s="322">
        <f>IF(BH16=1,1,0)</f>
        <v>1</v>
      </c>
      <c r="BJ16" s="322"/>
      <c r="BK16" s="640">
        <f>IF(BK18=0,"",BK17/BK18)</f>
        <v>1</v>
      </c>
      <c r="BL16" s="322">
        <f>IF(BK16=1,1,0)</f>
        <v>1</v>
      </c>
      <c r="BM16" s="322"/>
      <c r="BN16" s="323">
        <f t="shared" si="7"/>
        <v>0</v>
      </c>
      <c r="BO16" s="510"/>
      <c r="BP16" s="1316">
        <f>IF(BP18=0,"",BP17/BP18)</f>
        <v>1</v>
      </c>
      <c r="BQ16" s="322">
        <f>IF(BP16=1,1,0)</f>
        <v>1</v>
      </c>
      <c r="BR16" s="322"/>
      <c r="BS16" s="640">
        <f>IF(BS18=0,"",BS17/BS18)</f>
        <v>1</v>
      </c>
      <c r="BT16" s="322">
        <f>IF(BS16=1,1,0)</f>
        <v>1</v>
      </c>
      <c r="BU16" s="322"/>
      <c r="BV16" s="323">
        <f t="shared" si="8"/>
        <v>0</v>
      </c>
      <c r="BW16" s="510"/>
      <c r="BX16" s="1316">
        <f>IF(BX18=0,"",BX17/BX18)</f>
        <v>1</v>
      </c>
      <c r="BY16" s="322">
        <f>IF(BX16=1,1,0)</f>
        <v>1</v>
      </c>
      <c r="BZ16" s="322"/>
      <c r="CA16" s="640">
        <f>IF(CA18=0,"",CA17/CA18)</f>
        <v>1</v>
      </c>
      <c r="CB16" s="322">
        <f>IF(CA16=1,1,0)</f>
        <v>1</v>
      </c>
      <c r="CC16" s="322"/>
      <c r="CD16" s="323">
        <f t="shared" si="9"/>
        <v>0</v>
      </c>
      <c r="CE16" s="510"/>
      <c r="CF16" s="1316">
        <f>IF(CF18=0,"",CF17/CF18)</f>
        <v>1</v>
      </c>
      <c r="CG16" s="322">
        <f>IF(CF16=1,1,0)</f>
        <v>1</v>
      </c>
      <c r="CH16" s="322"/>
      <c r="CI16" s="640">
        <f>IF(CI18=0,"",CI17/CI18)</f>
        <v>1</v>
      </c>
      <c r="CJ16" s="322">
        <f>IF(CI16=1,1,0)</f>
        <v>1</v>
      </c>
      <c r="CK16" s="322"/>
      <c r="CL16" s="323">
        <f t="shared" si="10"/>
        <v>0</v>
      </c>
      <c r="CM16" s="510"/>
      <c r="CN16" s="1316">
        <f>IF(CN18=0,"",CN17/CN18)</f>
        <v>1</v>
      </c>
      <c r="CO16" s="322">
        <f>IF(CN16=1,1,0)</f>
        <v>1</v>
      </c>
      <c r="CP16" s="322"/>
      <c r="CQ16" s="640">
        <f>IF(CQ18=0,"",CQ17/CQ18)</f>
        <v>1</v>
      </c>
      <c r="CR16" s="322">
        <f>IF(CQ16=1,1,0)</f>
        <v>1</v>
      </c>
      <c r="CS16" s="322"/>
      <c r="CT16" s="323">
        <f t="shared" ref="CT16:CT33" si="36">IF(AND(CN16=0,CQ16&lt;&gt;0),1,IF(AND(CN16=0,CQ16=0),0,CQ16/CN16-1))</f>
        <v>0</v>
      </c>
      <c r="CU16" s="315"/>
      <c r="CX16" s="506" t="s">
        <v>1595</v>
      </c>
      <c r="CY16" s="521">
        <v>0</v>
      </c>
      <c r="CZ16" s="522">
        <f t="shared" si="25"/>
        <v>1</v>
      </c>
      <c r="DA16" s="521">
        <v>0</v>
      </c>
      <c r="DB16" s="522">
        <f t="shared" si="26"/>
        <v>1</v>
      </c>
      <c r="DC16" s="521">
        <v>1</v>
      </c>
      <c r="DD16" s="522">
        <f t="shared" si="27"/>
        <v>1</v>
      </c>
      <c r="DE16" s="521">
        <v>1</v>
      </c>
      <c r="DF16" s="522">
        <f t="shared" si="28"/>
        <v>1</v>
      </c>
      <c r="DG16" s="521">
        <v>1</v>
      </c>
      <c r="DH16" s="522">
        <f t="shared" si="29"/>
        <v>1</v>
      </c>
      <c r="DI16" s="521">
        <v>0</v>
      </c>
      <c r="DJ16" s="522">
        <f t="shared" si="30"/>
        <v>1</v>
      </c>
      <c r="DK16" s="521">
        <v>0</v>
      </c>
      <c r="DL16" s="522">
        <f t="shared" si="18"/>
        <v>1</v>
      </c>
      <c r="DM16" s="506">
        <f t="shared" si="24"/>
        <v>9</v>
      </c>
      <c r="DN16" s="313"/>
      <c r="DO16" s="313"/>
      <c r="DP16" s="313"/>
      <c r="DQ16" s="313"/>
      <c r="DR16" s="313"/>
      <c r="DS16" s="313"/>
      <c r="DT16" s="313"/>
      <c r="DU16" s="313"/>
      <c r="DV16" s="313"/>
      <c r="DW16" s="313"/>
    </row>
    <row r="17" spans="1:127" s="2" customFormat="1" ht="28.5">
      <c r="A17" s="1855"/>
      <c r="B17" s="1859"/>
      <c r="C17" s="384">
        <v>6.1</v>
      </c>
      <c r="D17" s="325" t="s">
        <v>1214</v>
      </c>
      <c r="E17" s="483" t="s">
        <v>1199</v>
      </c>
      <c r="F17" s="320"/>
      <c r="G17" s="320"/>
      <c r="H17" s="335"/>
      <c r="I17" s="383"/>
      <c r="J17" s="645">
        <f t="shared" si="31"/>
        <v>25.5</v>
      </c>
      <c r="K17" s="651"/>
      <c r="L17" s="645">
        <f t="shared" si="32"/>
        <v>28.5</v>
      </c>
      <c r="M17" s="501"/>
      <c r="N17" s="502">
        <f t="shared" si="20"/>
        <v>0</v>
      </c>
      <c r="O17" s="500">
        <f t="shared" si="1"/>
        <v>0</v>
      </c>
      <c r="P17" s="500">
        <f t="shared" si="21"/>
        <v>0</v>
      </c>
      <c r="Q17" s="816">
        <f t="shared" si="22"/>
        <v>0</v>
      </c>
      <c r="R17" s="815">
        <f t="shared" si="23"/>
        <v>0</v>
      </c>
      <c r="S17" s="510"/>
      <c r="T17" s="1326">
        <v>33</v>
      </c>
      <c r="U17" s="610"/>
      <c r="V17" s="1444"/>
      <c r="W17" s="976">
        <v>38</v>
      </c>
      <c r="X17" s="1424"/>
      <c r="Y17" s="610"/>
      <c r="Z17" s="323">
        <f t="shared" si="33"/>
        <v>0.1515151515151516</v>
      </c>
      <c r="AA17" s="510"/>
      <c r="AB17" s="1317">
        <v>7</v>
      </c>
      <c r="AC17" s="610"/>
      <c r="AD17" s="1444"/>
      <c r="AE17" s="330">
        <v>6</v>
      </c>
      <c r="AF17" s="1424"/>
      <c r="AG17" s="610"/>
      <c r="AH17" s="323">
        <f t="shared" si="3"/>
        <v>-0.1428571428571429</v>
      </c>
      <c r="AI17" s="510"/>
      <c r="AJ17" s="1317">
        <v>25</v>
      </c>
      <c r="AK17" s="610"/>
      <c r="AL17" s="1444"/>
      <c r="AM17" s="330">
        <v>29</v>
      </c>
      <c r="AN17" s="610"/>
      <c r="AO17" s="1421"/>
      <c r="AP17" s="323">
        <f t="shared" si="34"/>
        <v>0.15999999999999992</v>
      </c>
      <c r="AQ17" s="510"/>
      <c r="AR17" s="1317">
        <v>4</v>
      </c>
      <c r="AS17" s="610"/>
      <c r="AT17" s="1444"/>
      <c r="AU17" s="330">
        <v>4</v>
      </c>
      <c r="AV17" s="610"/>
      <c r="AW17" s="1421"/>
      <c r="AX17" s="323">
        <f t="shared" si="35"/>
        <v>0</v>
      </c>
      <c r="AY17" s="510"/>
      <c r="AZ17" s="1317">
        <v>36</v>
      </c>
      <c r="BA17" s="610"/>
      <c r="BB17" s="1444"/>
      <c r="BC17" s="330">
        <v>39</v>
      </c>
      <c r="BD17" s="610"/>
      <c r="BE17" s="1421"/>
      <c r="BF17" s="323">
        <f t="shared" si="6"/>
        <v>8.3333333333333259E-2</v>
      </c>
      <c r="BG17" s="510"/>
      <c r="BH17" s="1317">
        <v>56</v>
      </c>
      <c r="BI17" s="610"/>
      <c r="BJ17" s="1444"/>
      <c r="BK17" s="1017">
        <v>56</v>
      </c>
      <c r="BL17" s="610"/>
      <c r="BM17" s="1421"/>
      <c r="BN17" s="323">
        <f t="shared" si="7"/>
        <v>0</v>
      </c>
      <c r="BO17" s="510"/>
      <c r="BP17" s="1317">
        <v>6</v>
      </c>
      <c r="BQ17" s="610"/>
      <c r="BR17" s="1444"/>
      <c r="BS17" s="330">
        <v>5</v>
      </c>
      <c r="BT17" s="610"/>
      <c r="BU17" s="1421"/>
      <c r="BV17" s="323">
        <f t="shared" si="8"/>
        <v>-0.16666666666666663</v>
      </c>
      <c r="BW17" s="510"/>
      <c r="BX17" s="1317">
        <v>33</v>
      </c>
      <c r="BY17" s="610"/>
      <c r="BZ17" s="1444"/>
      <c r="CA17" s="330">
        <v>36</v>
      </c>
      <c r="CB17" s="610"/>
      <c r="CC17" s="1421"/>
      <c r="CD17" s="323">
        <f t="shared" si="9"/>
        <v>9.0909090909090828E-2</v>
      </c>
      <c r="CE17" s="510"/>
      <c r="CF17" s="1317">
        <v>12</v>
      </c>
      <c r="CG17" s="610"/>
      <c r="CH17" s="1444"/>
      <c r="CI17" s="1321">
        <v>24</v>
      </c>
      <c r="CJ17" s="610"/>
      <c r="CK17" s="1421"/>
      <c r="CL17" s="323">
        <f t="shared" si="10"/>
        <v>1</v>
      </c>
      <c r="CM17" s="510"/>
      <c r="CN17" s="1317">
        <v>43</v>
      </c>
      <c r="CO17" s="610"/>
      <c r="CP17" s="1444"/>
      <c r="CQ17" s="330">
        <v>48</v>
      </c>
      <c r="CR17" s="610"/>
      <c r="CS17" s="1421"/>
      <c r="CT17" s="323">
        <f t="shared" si="36"/>
        <v>0.11627906976744184</v>
      </c>
      <c r="CU17" s="315"/>
      <c r="CX17" s="506"/>
      <c r="CY17" s="521">
        <v>0</v>
      </c>
      <c r="CZ17" s="522">
        <f t="shared" si="25"/>
        <v>0</v>
      </c>
      <c r="DA17" s="521">
        <v>0</v>
      </c>
      <c r="DB17" s="522">
        <f t="shared" si="26"/>
        <v>0</v>
      </c>
      <c r="DC17" s="521">
        <v>0</v>
      </c>
      <c r="DD17" s="522">
        <f t="shared" si="27"/>
        <v>0</v>
      </c>
      <c r="DE17" s="521">
        <v>0</v>
      </c>
      <c r="DF17" s="522">
        <f t="shared" si="28"/>
        <v>0</v>
      </c>
      <c r="DG17" s="521">
        <v>0</v>
      </c>
      <c r="DH17" s="522">
        <f t="shared" si="29"/>
        <v>0</v>
      </c>
      <c r="DI17" s="521">
        <v>0</v>
      </c>
      <c r="DJ17" s="522">
        <f t="shared" si="30"/>
        <v>0</v>
      </c>
      <c r="DK17" s="521">
        <v>0</v>
      </c>
      <c r="DL17" s="522">
        <f t="shared" si="18"/>
        <v>0</v>
      </c>
      <c r="DM17" s="506">
        <f t="shared" si="24"/>
        <v>0</v>
      </c>
      <c r="DN17" s="313"/>
      <c r="DO17" s="313"/>
      <c r="DP17" s="313"/>
      <c r="DQ17" s="313"/>
      <c r="DR17" s="313"/>
      <c r="DS17" s="313"/>
      <c r="DT17" s="313"/>
      <c r="DU17" s="313"/>
      <c r="DV17" s="313"/>
      <c r="DW17" s="313"/>
    </row>
    <row r="18" spans="1:127" s="2" customFormat="1">
      <c r="A18" s="1855"/>
      <c r="B18" s="1859"/>
      <c r="C18" s="398">
        <v>6.2</v>
      </c>
      <c r="D18" s="325" t="s">
        <v>1215</v>
      </c>
      <c r="E18" s="483" t="s">
        <v>1199</v>
      </c>
      <c r="F18" s="320"/>
      <c r="G18" s="320"/>
      <c r="H18" s="335"/>
      <c r="I18" s="383"/>
      <c r="J18" s="645">
        <f t="shared" si="31"/>
        <v>25.5</v>
      </c>
      <c r="K18" s="651"/>
      <c r="L18" s="645">
        <f t="shared" si="32"/>
        <v>28.5</v>
      </c>
      <c r="M18" s="501"/>
      <c r="N18" s="502">
        <f t="shared" si="20"/>
        <v>0</v>
      </c>
      <c r="O18" s="500">
        <f t="shared" si="1"/>
        <v>0</v>
      </c>
      <c r="P18" s="500">
        <f t="shared" si="21"/>
        <v>0</v>
      </c>
      <c r="Q18" s="816">
        <f t="shared" si="22"/>
        <v>0</v>
      </c>
      <c r="R18" s="815">
        <f t="shared" si="23"/>
        <v>0</v>
      </c>
      <c r="S18" s="510"/>
      <c r="T18" s="1326">
        <v>33</v>
      </c>
      <c r="U18" s="610"/>
      <c r="V18" s="1444"/>
      <c r="W18" s="976">
        <v>38</v>
      </c>
      <c r="X18" s="1424"/>
      <c r="Y18" s="610"/>
      <c r="Z18" s="323">
        <f t="shared" si="33"/>
        <v>0.1515151515151516</v>
      </c>
      <c r="AA18" s="510"/>
      <c r="AB18" s="1317">
        <v>7</v>
      </c>
      <c r="AC18" s="610"/>
      <c r="AD18" s="1444"/>
      <c r="AE18" s="1017">
        <v>6</v>
      </c>
      <c r="AF18" s="1424"/>
      <c r="AG18" s="610"/>
      <c r="AH18" s="323">
        <f t="shared" si="3"/>
        <v>-0.1428571428571429</v>
      </c>
      <c r="AI18" s="510"/>
      <c r="AJ18" s="1317">
        <v>25</v>
      </c>
      <c r="AK18" s="610"/>
      <c r="AL18" s="1444"/>
      <c r="AM18" s="330">
        <v>29</v>
      </c>
      <c r="AN18" s="610"/>
      <c r="AO18" s="1421"/>
      <c r="AP18" s="323">
        <f t="shared" si="34"/>
        <v>0.15999999999999992</v>
      </c>
      <c r="AQ18" s="510"/>
      <c r="AR18" s="1317">
        <v>4</v>
      </c>
      <c r="AS18" s="610"/>
      <c r="AT18" s="1444"/>
      <c r="AU18" s="330">
        <v>4</v>
      </c>
      <c r="AV18" s="610"/>
      <c r="AW18" s="1421"/>
      <c r="AX18" s="323">
        <f t="shared" si="35"/>
        <v>0</v>
      </c>
      <c r="AY18" s="510"/>
      <c r="AZ18" s="1317">
        <v>36</v>
      </c>
      <c r="BA18" s="610"/>
      <c r="BB18" s="1444"/>
      <c r="BC18" s="330">
        <v>39</v>
      </c>
      <c r="BD18" s="610"/>
      <c r="BE18" s="1421"/>
      <c r="BF18" s="323">
        <f t="shared" si="6"/>
        <v>8.3333333333333259E-2</v>
      </c>
      <c r="BG18" s="510"/>
      <c r="BH18" s="1317">
        <v>56</v>
      </c>
      <c r="BI18" s="610"/>
      <c r="BJ18" s="1444"/>
      <c r="BK18" s="1332">
        <v>56</v>
      </c>
      <c r="BL18" s="610"/>
      <c r="BM18" s="1421"/>
      <c r="BN18" s="323">
        <f t="shared" si="7"/>
        <v>0</v>
      </c>
      <c r="BO18" s="510"/>
      <c r="BP18" s="1317">
        <v>6</v>
      </c>
      <c r="BQ18" s="610"/>
      <c r="BR18" s="1444"/>
      <c r="BS18" s="330">
        <v>5</v>
      </c>
      <c r="BT18" s="610"/>
      <c r="BU18" s="1421"/>
      <c r="BV18" s="323">
        <f t="shared" si="8"/>
        <v>-0.16666666666666663</v>
      </c>
      <c r="BW18" s="510"/>
      <c r="BX18" s="1317">
        <v>33</v>
      </c>
      <c r="BY18" s="610"/>
      <c r="BZ18" s="1444"/>
      <c r="CA18" s="330">
        <v>36</v>
      </c>
      <c r="CB18" s="610"/>
      <c r="CC18" s="1421"/>
      <c r="CD18" s="323">
        <f t="shared" si="9"/>
        <v>9.0909090909090828E-2</v>
      </c>
      <c r="CE18" s="510"/>
      <c r="CF18" s="1317">
        <v>12</v>
      </c>
      <c r="CG18" s="610"/>
      <c r="CH18" s="1444"/>
      <c r="CI18" s="978">
        <v>24</v>
      </c>
      <c r="CJ18" s="610"/>
      <c r="CK18" s="1421"/>
      <c r="CL18" s="323">
        <f t="shared" si="10"/>
        <v>1</v>
      </c>
      <c r="CM18" s="510"/>
      <c r="CN18" s="1317">
        <v>43</v>
      </c>
      <c r="CO18" s="610"/>
      <c r="CP18" s="1444"/>
      <c r="CQ18" s="330">
        <v>48</v>
      </c>
      <c r="CR18" s="610"/>
      <c r="CS18" s="1421"/>
      <c r="CT18" s="323">
        <f t="shared" si="36"/>
        <v>0.11627906976744184</v>
      </c>
      <c r="CU18" s="315"/>
      <c r="CX18" s="506"/>
      <c r="CY18" s="521">
        <v>0</v>
      </c>
      <c r="CZ18" s="522">
        <f t="shared" si="25"/>
        <v>0</v>
      </c>
      <c r="DA18" s="521">
        <v>0</v>
      </c>
      <c r="DB18" s="522">
        <f t="shared" si="26"/>
        <v>0</v>
      </c>
      <c r="DC18" s="521">
        <v>0</v>
      </c>
      <c r="DD18" s="522">
        <f t="shared" si="27"/>
        <v>0</v>
      </c>
      <c r="DE18" s="521">
        <v>0</v>
      </c>
      <c r="DF18" s="522">
        <f t="shared" si="28"/>
        <v>0</v>
      </c>
      <c r="DG18" s="521">
        <v>0</v>
      </c>
      <c r="DH18" s="522">
        <f t="shared" si="29"/>
        <v>0</v>
      </c>
      <c r="DI18" s="521">
        <v>0</v>
      </c>
      <c r="DJ18" s="522">
        <f t="shared" si="30"/>
        <v>0</v>
      </c>
      <c r="DK18" s="521">
        <v>0</v>
      </c>
      <c r="DL18" s="522">
        <f t="shared" si="18"/>
        <v>0</v>
      </c>
      <c r="DM18" s="506">
        <f t="shared" si="24"/>
        <v>0</v>
      </c>
      <c r="DN18" s="313"/>
      <c r="DO18" s="313"/>
      <c r="DP18" s="313"/>
      <c r="DQ18" s="313"/>
      <c r="DR18" s="313"/>
      <c r="DS18" s="313"/>
      <c r="DT18" s="313"/>
      <c r="DU18" s="313"/>
      <c r="DV18" s="313"/>
      <c r="DW18" s="313"/>
    </row>
    <row r="19" spans="1:127" s="2" customFormat="1">
      <c r="A19" s="1857" t="s">
        <v>1217</v>
      </c>
      <c r="B19" s="1858" t="s">
        <v>1218</v>
      </c>
      <c r="C19" s="23">
        <v>7</v>
      </c>
      <c r="D19" s="329" t="s">
        <v>1216</v>
      </c>
      <c r="E19" s="481"/>
      <c r="F19" s="383"/>
      <c r="G19" s="383" t="s">
        <v>474</v>
      </c>
      <c r="H19" s="330" t="s">
        <v>282</v>
      </c>
      <c r="I19" s="382">
        <v>2</v>
      </c>
      <c r="J19" s="644">
        <f t="shared" si="31"/>
        <v>1</v>
      </c>
      <c r="K19" s="651">
        <f>AVERAGE(CO19,CG19,BY19,BQ19,BI19,BA19,AS19,AK19,AC19,U19)</f>
        <v>2</v>
      </c>
      <c r="L19" s="644">
        <f t="shared" si="32"/>
        <v>1</v>
      </c>
      <c r="M19" s="501">
        <f>AVERAGE(CR19,CJ19,CB19,BT19,BL19,BD19,AV19,AN19,AG19,Y19)</f>
        <v>2</v>
      </c>
      <c r="N19" s="502">
        <f t="shared" si="20"/>
        <v>0</v>
      </c>
      <c r="O19" s="500">
        <f t="shared" si="1"/>
        <v>0</v>
      </c>
      <c r="P19" s="500">
        <f t="shared" si="21"/>
        <v>0</v>
      </c>
      <c r="Q19" s="816">
        <f t="shared" si="22"/>
        <v>0</v>
      </c>
      <c r="R19" s="815">
        <f t="shared" si="23"/>
        <v>0</v>
      </c>
      <c r="S19" s="510"/>
      <c r="T19" s="1316">
        <f>IF(T21=0,"",T20/T21)</f>
        <v>1</v>
      </c>
      <c r="U19" s="322">
        <f>IF(T19=1,2,0)</f>
        <v>2</v>
      </c>
      <c r="V19" s="322"/>
      <c r="W19" s="640">
        <f>IF(W21=0,"",W20/W21)</f>
        <v>1</v>
      </c>
      <c r="X19" s="1423"/>
      <c r="Y19" s="322">
        <f>IF(W19=1,2,0)</f>
        <v>2</v>
      </c>
      <c r="Z19" s="323">
        <f t="shared" si="33"/>
        <v>0</v>
      </c>
      <c r="AA19" s="510"/>
      <c r="AB19" s="1316">
        <f>IF(AB21=0,"",AB20/AB21)</f>
        <v>1</v>
      </c>
      <c r="AC19" s="322">
        <f>IF(AB19=1,2,0)</f>
        <v>2</v>
      </c>
      <c r="AD19" s="322"/>
      <c r="AE19" s="1015">
        <f>IF(AE21=0,"",AE20/AE21)</f>
        <v>1</v>
      </c>
      <c r="AF19" s="1423"/>
      <c r="AG19" s="322">
        <f>IF(AE19=1,2,0)</f>
        <v>2</v>
      </c>
      <c r="AH19" s="323">
        <f t="shared" si="3"/>
        <v>0</v>
      </c>
      <c r="AI19" s="510"/>
      <c r="AJ19" s="1316">
        <f>IF(AJ21=0,"",AJ20/AJ21)</f>
        <v>1</v>
      </c>
      <c r="AK19" s="322">
        <f>IF(AJ19=1,2,0)</f>
        <v>2</v>
      </c>
      <c r="AL19" s="322"/>
      <c r="AM19" s="1324">
        <f>IF(AM21=0,"",AM20/AM21)</f>
        <v>1</v>
      </c>
      <c r="AN19" s="322">
        <f>IF(AM19=1,2,0)</f>
        <v>2</v>
      </c>
      <c r="AO19" s="322"/>
      <c r="AP19" s="323">
        <f t="shared" si="34"/>
        <v>0</v>
      </c>
      <c r="AQ19" s="510"/>
      <c r="AR19" s="1316">
        <f>IF(AR21=0,"",AR20/AR21)</f>
        <v>1</v>
      </c>
      <c r="AS19" s="322">
        <f>IF(AR19=1,2,0)</f>
        <v>2</v>
      </c>
      <c r="AT19" s="322"/>
      <c r="AU19" s="640">
        <f>IF(AU21=0,"",AU20/AU21)</f>
        <v>1</v>
      </c>
      <c r="AV19" s="322">
        <f>IF(AU19=1,2,0)</f>
        <v>2</v>
      </c>
      <c r="AW19" s="322"/>
      <c r="AX19" s="323">
        <f t="shared" si="35"/>
        <v>0</v>
      </c>
      <c r="AY19" s="510"/>
      <c r="AZ19" s="1316">
        <f>IF(AZ21=0,"",AZ20/AZ21)</f>
        <v>1</v>
      </c>
      <c r="BA19" s="322">
        <f>IF(AZ19=1,2,0)</f>
        <v>2</v>
      </c>
      <c r="BB19" s="322"/>
      <c r="BC19" s="640">
        <f>IF(BC21=0,"",BC20/BC21)</f>
        <v>1</v>
      </c>
      <c r="BD19" s="322">
        <f>IF(BC19=1,2,0)</f>
        <v>2</v>
      </c>
      <c r="BE19" s="322"/>
      <c r="BF19" s="323">
        <f t="shared" si="6"/>
        <v>0</v>
      </c>
      <c r="BG19" s="510"/>
      <c r="BH19" s="1316">
        <f>IF(BH21=0,"",BH20/BH21)</f>
        <v>1</v>
      </c>
      <c r="BI19" s="322">
        <f>IF(BH19=1,2,0)</f>
        <v>2</v>
      </c>
      <c r="BJ19" s="322"/>
      <c r="BK19" s="1331">
        <f>IF(BK21=0,"",BK20/BK21)</f>
        <v>1</v>
      </c>
      <c r="BL19" s="322">
        <f>IF(BK19=1,2,0)</f>
        <v>2</v>
      </c>
      <c r="BM19" s="322"/>
      <c r="BN19" s="323">
        <f t="shared" si="7"/>
        <v>0</v>
      </c>
      <c r="BO19" s="510"/>
      <c r="BP19" s="1316">
        <f>IF(BP21=0,"",BP20/BP21)</f>
        <v>1</v>
      </c>
      <c r="BQ19" s="322">
        <f>IF(BP19=1,2,0)</f>
        <v>2</v>
      </c>
      <c r="BR19" s="322"/>
      <c r="BS19" s="640">
        <f>IF(BS21=0,"",BS20/BS21)</f>
        <v>1</v>
      </c>
      <c r="BT19" s="322">
        <f>IF(BS19=1,2,0)</f>
        <v>2</v>
      </c>
      <c r="BU19" s="322"/>
      <c r="BV19" s="323">
        <f t="shared" si="8"/>
        <v>0</v>
      </c>
      <c r="BW19" s="510"/>
      <c r="BX19" s="1316">
        <f>IF(BX21=0,"",BX20/BX21)</f>
        <v>1</v>
      </c>
      <c r="BY19" s="322">
        <f>IF(BX19=1,2,0)</f>
        <v>2</v>
      </c>
      <c r="BZ19" s="322"/>
      <c r="CA19" s="640">
        <f>IF(CA21=0,"",CA20/CA21)</f>
        <v>1</v>
      </c>
      <c r="CB19" s="322">
        <f>IF(CA19=1,2,0)</f>
        <v>2</v>
      </c>
      <c r="CC19" s="322"/>
      <c r="CD19" s="323">
        <f t="shared" si="9"/>
        <v>0</v>
      </c>
      <c r="CE19" s="510"/>
      <c r="CF19" s="1316">
        <f>IF(CF21=0,"",CF20/CF21)</f>
        <v>1</v>
      </c>
      <c r="CG19" s="322">
        <f>IF(CF19=1,2,0)</f>
        <v>2</v>
      </c>
      <c r="CH19" s="322"/>
      <c r="CI19" s="640">
        <f>IF(CI21=0,"",CI20/CI21)</f>
        <v>1</v>
      </c>
      <c r="CJ19" s="322">
        <f>IF(CI19=1,2,0)</f>
        <v>2</v>
      </c>
      <c r="CK19" s="322"/>
      <c r="CL19" s="323">
        <f t="shared" si="10"/>
        <v>0</v>
      </c>
      <c r="CM19" s="510"/>
      <c r="CN19" s="1316">
        <f>IF(CN21=0,"",CN20/CN21)</f>
        <v>1</v>
      </c>
      <c r="CO19" s="322">
        <f>IF(CN19=1,2,0)</f>
        <v>2</v>
      </c>
      <c r="CP19" s="322"/>
      <c r="CQ19" s="640">
        <f>IF(CQ21=0,"",CQ20/CQ21)</f>
        <v>1</v>
      </c>
      <c r="CR19" s="322">
        <f>IF(CQ19=1,2,0)</f>
        <v>2</v>
      </c>
      <c r="CS19" s="322"/>
      <c r="CT19" s="323">
        <f t="shared" si="36"/>
        <v>0</v>
      </c>
      <c r="CU19" s="315"/>
      <c r="CX19" s="506" t="s">
        <v>1595</v>
      </c>
      <c r="CY19" s="521">
        <v>0</v>
      </c>
      <c r="CZ19" s="522">
        <f t="shared" si="25"/>
        <v>2</v>
      </c>
      <c r="DA19" s="521">
        <v>1</v>
      </c>
      <c r="DB19" s="522">
        <f t="shared" si="26"/>
        <v>2</v>
      </c>
      <c r="DC19" s="521">
        <v>1</v>
      </c>
      <c r="DD19" s="522">
        <f t="shared" si="27"/>
        <v>2</v>
      </c>
      <c r="DE19" s="521">
        <v>1</v>
      </c>
      <c r="DF19" s="522">
        <f t="shared" si="28"/>
        <v>2</v>
      </c>
      <c r="DG19" s="521">
        <v>1</v>
      </c>
      <c r="DH19" s="522">
        <f t="shared" si="29"/>
        <v>2</v>
      </c>
      <c r="DI19" s="521">
        <v>1</v>
      </c>
      <c r="DJ19" s="522">
        <f t="shared" si="30"/>
        <v>2</v>
      </c>
      <c r="DK19" s="521">
        <v>0</v>
      </c>
      <c r="DL19" s="522">
        <f t="shared" si="18"/>
        <v>2</v>
      </c>
      <c r="DM19" s="506">
        <f t="shared" si="24"/>
        <v>17</v>
      </c>
      <c r="DN19" s="313"/>
      <c r="DO19" s="313"/>
      <c r="DP19" s="313"/>
      <c r="DQ19" s="313"/>
      <c r="DR19" s="313"/>
      <c r="DS19" s="313"/>
      <c r="DT19" s="313"/>
      <c r="DU19" s="313"/>
      <c r="DV19" s="313"/>
      <c r="DW19" s="313"/>
    </row>
    <row r="20" spans="1:127" s="2" customFormat="1" ht="15.75" customHeight="1">
      <c r="A20" s="1855"/>
      <c r="B20" s="1859"/>
      <c r="C20" s="384">
        <v>7.1</v>
      </c>
      <c r="D20" s="325" t="s">
        <v>1219</v>
      </c>
      <c r="E20" s="483" t="s">
        <v>1199</v>
      </c>
      <c r="F20" s="320"/>
      <c r="G20" s="320"/>
      <c r="H20" s="335"/>
      <c r="I20" s="383"/>
      <c r="J20" s="645">
        <f t="shared" si="31"/>
        <v>721</v>
      </c>
      <c r="K20" s="651"/>
      <c r="L20" s="645">
        <f t="shared" si="32"/>
        <v>715.7</v>
      </c>
      <c r="M20" s="501"/>
      <c r="N20" s="502">
        <f t="shared" si="20"/>
        <v>0</v>
      </c>
      <c r="O20" s="500">
        <f t="shared" si="1"/>
        <v>0</v>
      </c>
      <c r="P20" s="500">
        <f t="shared" si="21"/>
        <v>0</v>
      </c>
      <c r="Q20" s="816">
        <f t="shared" si="22"/>
        <v>0</v>
      </c>
      <c r="R20" s="815">
        <f t="shared" si="23"/>
        <v>0</v>
      </c>
      <c r="S20" s="510"/>
      <c r="T20" s="1317">
        <v>131</v>
      </c>
      <c r="U20" s="610"/>
      <c r="V20" s="1444">
        <v>131</v>
      </c>
      <c r="W20" s="330">
        <v>120</v>
      </c>
      <c r="X20" s="1424"/>
      <c r="Y20" s="610"/>
      <c r="Z20" s="323">
        <f t="shared" si="33"/>
        <v>-8.3969465648854991E-2</v>
      </c>
      <c r="AA20" s="510"/>
      <c r="AB20" s="1317">
        <v>1115</v>
      </c>
      <c r="AC20" s="610"/>
      <c r="AD20" s="1444">
        <v>1766</v>
      </c>
      <c r="AE20" s="1017">
        <v>1048</v>
      </c>
      <c r="AF20" s="1424"/>
      <c r="AG20" s="610"/>
      <c r="AH20" s="323">
        <f t="shared" si="3"/>
        <v>-6.0089686098654727E-2</v>
      </c>
      <c r="AI20" s="510"/>
      <c r="AJ20" s="1317">
        <v>1363</v>
      </c>
      <c r="AK20" s="610"/>
      <c r="AL20" s="1444">
        <v>2255</v>
      </c>
      <c r="AM20" s="1325">
        <v>1530</v>
      </c>
      <c r="AN20" s="610"/>
      <c r="AO20" s="1421"/>
      <c r="AP20" s="323">
        <f t="shared" si="34"/>
        <v>0.12252384446074838</v>
      </c>
      <c r="AQ20" s="510"/>
      <c r="AR20" s="1317">
        <v>291</v>
      </c>
      <c r="AS20" s="610"/>
      <c r="AT20" s="1444">
        <v>340</v>
      </c>
      <c r="AU20" s="330">
        <v>280</v>
      </c>
      <c r="AV20" s="610"/>
      <c r="AW20" s="1421"/>
      <c r="AX20" s="323">
        <f t="shared" si="35"/>
        <v>-3.7800687285223344E-2</v>
      </c>
      <c r="AY20" s="510"/>
      <c r="AZ20" s="1317">
        <v>905</v>
      </c>
      <c r="BA20" s="610"/>
      <c r="BB20" s="1444"/>
      <c r="BC20" s="1329">
        <v>877</v>
      </c>
      <c r="BD20" s="610"/>
      <c r="BE20" s="1421"/>
      <c r="BF20" s="323">
        <f t="shared" si="6"/>
        <v>-3.0939226519337004E-2</v>
      </c>
      <c r="BG20" s="510"/>
      <c r="BH20" s="1317">
        <v>1004</v>
      </c>
      <c r="BI20" s="610"/>
      <c r="BJ20" s="1444"/>
      <c r="BK20" s="1332">
        <v>1002</v>
      </c>
      <c r="BL20" s="610"/>
      <c r="BM20" s="1421"/>
      <c r="BN20" s="323">
        <f t="shared" si="7"/>
        <v>-1.9920318725099584E-3</v>
      </c>
      <c r="BO20" s="510"/>
      <c r="BP20" s="1317">
        <v>245</v>
      </c>
      <c r="BQ20" s="610"/>
      <c r="BR20" s="1444"/>
      <c r="BS20" s="1332">
        <v>195</v>
      </c>
      <c r="BT20" s="610"/>
      <c r="BU20" s="1421"/>
      <c r="BV20" s="323">
        <f t="shared" si="8"/>
        <v>-0.20408163265306123</v>
      </c>
      <c r="BW20" s="510"/>
      <c r="BX20" s="1317">
        <v>1267</v>
      </c>
      <c r="BY20" s="610"/>
      <c r="BZ20" s="1444"/>
      <c r="CA20" s="330">
        <v>1180</v>
      </c>
      <c r="CB20" s="610"/>
      <c r="CC20" s="1421"/>
      <c r="CD20" s="323">
        <f t="shared" si="9"/>
        <v>-6.866614048934494E-2</v>
      </c>
      <c r="CE20" s="510"/>
      <c r="CF20" s="1317">
        <v>328</v>
      </c>
      <c r="CG20" s="610"/>
      <c r="CH20" s="1444"/>
      <c r="CI20" s="1332">
        <v>339</v>
      </c>
      <c r="CJ20" s="610"/>
      <c r="CK20" s="1421"/>
      <c r="CL20" s="323">
        <f t="shared" si="10"/>
        <v>3.3536585365853577E-2</v>
      </c>
      <c r="CM20" s="510"/>
      <c r="CN20" s="1317">
        <v>561</v>
      </c>
      <c r="CO20" s="610"/>
      <c r="CP20" s="1444"/>
      <c r="CQ20" s="330">
        <v>586</v>
      </c>
      <c r="CR20" s="610"/>
      <c r="CS20" s="1421"/>
      <c r="CT20" s="323">
        <f t="shared" si="36"/>
        <v>4.4563279857397609E-2</v>
      </c>
      <c r="CU20" s="315"/>
      <c r="CX20" s="506"/>
      <c r="CY20" s="521">
        <v>0</v>
      </c>
      <c r="CZ20" s="522">
        <f t="shared" si="25"/>
        <v>0</v>
      </c>
      <c r="DA20" s="521">
        <v>0</v>
      </c>
      <c r="DB20" s="522">
        <f t="shared" si="26"/>
        <v>0</v>
      </c>
      <c r="DC20" s="521">
        <v>0</v>
      </c>
      <c r="DD20" s="522">
        <f t="shared" si="27"/>
        <v>0</v>
      </c>
      <c r="DE20" s="521">
        <v>0</v>
      </c>
      <c r="DF20" s="522">
        <f t="shared" si="28"/>
        <v>0</v>
      </c>
      <c r="DG20" s="521">
        <v>0</v>
      </c>
      <c r="DH20" s="522">
        <f t="shared" si="29"/>
        <v>0</v>
      </c>
      <c r="DI20" s="521">
        <v>0</v>
      </c>
      <c r="DJ20" s="522">
        <f t="shared" si="30"/>
        <v>0</v>
      </c>
      <c r="DK20" s="521">
        <v>0</v>
      </c>
      <c r="DL20" s="522">
        <f t="shared" si="18"/>
        <v>0</v>
      </c>
      <c r="DM20" s="506">
        <f t="shared" si="24"/>
        <v>0</v>
      </c>
      <c r="DN20" s="313"/>
      <c r="DO20" s="313"/>
      <c r="DP20" s="313"/>
      <c r="DQ20" s="313"/>
      <c r="DR20" s="313"/>
      <c r="DS20" s="313"/>
      <c r="DT20" s="313"/>
      <c r="DU20" s="313"/>
      <c r="DV20" s="313"/>
      <c r="DW20" s="313"/>
    </row>
    <row r="21" spans="1:127" s="2" customFormat="1">
      <c r="A21" s="1855"/>
      <c r="B21" s="1859"/>
      <c r="C21" s="384">
        <v>7.2</v>
      </c>
      <c r="D21" s="325" t="s">
        <v>1220</v>
      </c>
      <c r="E21" s="483" t="s">
        <v>1199</v>
      </c>
      <c r="F21" s="320" t="s">
        <v>2343</v>
      </c>
      <c r="G21" s="320"/>
      <c r="I21" s="383"/>
      <c r="J21" s="645">
        <f t="shared" si="31"/>
        <v>721</v>
      </c>
      <c r="K21" s="651"/>
      <c r="L21" s="645">
        <f t="shared" si="32"/>
        <v>715.7</v>
      </c>
      <c r="M21" s="501"/>
      <c r="N21" s="502">
        <f t="shared" si="20"/>
        <v>0</v>
      </c>
      <c r="O21" s="500">
        <f t="shared" si="1"/>
        <v>0</v>
      </c>
      <c r="P21" s="500">
        <f t="shared" si="21"/>
        <v>0</v>
      </c>
      <c r="Q21" s="816">
        <f t="shared" si="22"/>
        <v>0</v>
      </c>
      <c r="R21" s="815">
        <f t="shared" si="23"/>
        <v>0</v>
      </c>
      <c r="S21" s="510"/>
      <c r="T21" s="1317">
        <v>131</v>
      </c>
      <c r="U21" s="610"/>
      <c r="V21" s="1444"/>
      <c r="W21" s="330">
        <v>120</v>
      </c>
      <c r="X21" s="1424"/>
      <c r="Y21" s="610"/>
      <c r="Z21" s="323">
        <f t="shared" si="33"/>
        <v>-8.3969465648854991E-2</v>
      </c>
      <c r="AA21" s="510"/>
      <c r="AB21" s="1317">
        <v>1115</v>
      </c>
      <c r="AC21" s="610"/>
      <c r="AD21" s="1444"/>
      <c r="AE21" s="1017">
        <v>1048</v>
      </c>
      <c r="AF21" s="1424"/>
      <c r="AG21" s="610"/>
      <c r="AH21" s="323">
        <f t="shared" si="3"/>
        <v>-6.0089686098654727E-2</v>
      </c>
      <c r="AI21" s="510"/>
      <c r="AJ21" s="1317">
        <v>1363</v>
      </c>
      <c r="AK21" s="610"/>
      <c r="AL21" s="1444"/>
      <c r="AM21" s="1325">
        <v>1530</v>
      </c>
      <c r="AN21" s="610"/>
      <c r="AO21" s="1421"/>
      <c r="AP21" s="323">
        <f t="shared" si="34"/>
        <v>0.12252384446074838</v>
      </c>
      <c r="AQ21" s="510"/>
      <c r="AR21" s="1317">
        <v>291</v>
      </c>
      <c r="AS21" s="610"/>
      <c r="AT21" s="1444"/>
      <c r="AU21" s="330">
        <v>280</v>
      </c>
      <c r="AV21" s="610"/>
      <c r="AW21" s="1421"/>
      <c r="AX21" s="323">
        <f t="shared" si="35"/>
        <v>-3.7800687285223344E-2</v>
      </c>
      <c r="AY21" s="510"/>
      <c r="AZ21" s="1317">
        <v>905</v>
      </c>
      <c r="BA21" s="610"/>
      <c r="BB21" s="1444"/>
      <c r="BC21" s="330">
        <v>877</v>
      </c>
      <c r="BD21" s="610"/>
      <c r="BE21" s="1421"/>
      <c r="BF21" s="323">
        <f t="shared" si="6"/>
        <v>-3.0939226519337004E-2</v>
      </c>
      <c r="BG21" s="510"/>
      <c r="BH21" s="1317">
        <v>1004</v>
      </c>
      <c r="BI21" s="610"/>
      <c r="BJ21" s="1444"/>
      <c r="BK21" s="1332">
        <v>1002</v>
      </c>
      <c r="BL21" s="610"/>
      <c r="BM21" s="1421"/>
      <c r="BN21" s="323">
        <f t="shared" si="7"/>
        <v>-1.9920318725099584E-3</v>
      </c>
      <c r="BO21" s="510"/>
      <c r="BP21" s="1317">
        <v>245</v>
      </c>
      <c r="BQ21" s="610"/>
      <c r="BR21" s="1444"/>
      <c r="BS21" s="1332">
        <v>195</v>
      </c>
      <c r="BT21" s="610"/>
      <c r="BU21" s="1421"/>
      <c r="BV21" s="323">
        <f t="shared" si="8"/>
        <v>-0.20408163265306123</v>
      </c>
      <c r="BW21" s="510"/>
      <c r="BX21" s="1317">
        <v>1267</v>
      </c>
      <c r="BY21" s="610"/>
      <c r="BZ21" s="1444"/>
      <c r="CA21" s="330">
        <v>1180</v>
      </c>
      <c r="CB21" s="610"/>
      <c r="CC21" s="1421"/>
      <c r="CD21" s="323">
        <f t="shared" si="9"/>
        <v>-6.866614048934494E-2</v>
      </c>
      <c r="CE21" s="510"/>
      <c r="CF21" s="1317">
        <v>328</v>
      </c>
      <c r="CG21" s="610"/>
      <c r="CH21" s="1444"/>
      <c r="CI21" s="1332">
        <v>339</v>
      </c>
      <c r="CJ21" s="610"/>
      <c r="CK21" s="1421"/>
      <c r="CL21" s="323">
        <f t="shared" si="10"/>
        <v>3.3536585365853577E-2</v>
      </c>
      <c r="CM21" s="510"/>
      <c r="CN21" s="1317">
        <v>561</v>
      </c>
      <c r="CO21" s="610"/>
      <c r="CP21" s="1444"/>
      <c r="CQ21" s="330">
        <v>586</v>
      </c>
      <c r="CR21" s="610"/>
      <c r="CS21" s="1421"/>
      <c r="CT21" s="323">
        <f t="shared" si="36"/>
        <v>4.4563279857397609E-2</v>
      </c>
      <c r="CU21" s="315"/>
      <c r="CX21" s="506"/>
      <c r="CY21" s="521">
        <v>0</v>
      </c>
      <c r="CZ21" s="522">
        <f t="shared" si="25"/>
        <v>0</v>
      </c>
      <c r="DA21" s="521">
        <v>0</v>
      </c>
      <c r="DB21" s="522">
        <f t="shared" si="26"/>
        <v>0</v>
      </c>
      <c r="DC21" s="521">
        <v>0</v>
      </c>
      <c r="DD21" s="522">
        <f t="shared" si="27"/>
        <v>0</v>
      </c>
      <c r="DE21" s="521">
        <v>0</v>
      </c>
      <c r="DF21" s="522">
        <f t="shared" si="28"/>
        <v>0</v>
      </c>
      <c r="DG21" s="521">
        <v>0</v>
      </c>
      <c r="DH21" s="522">
        <f t="shared" si="29"/>
        <v>0</v>
      </c>
      <c r="DI21" s="521">
        <v>0</v>
      </c>
      <c r="DJ21" s="522">
        <f t="shared" si="30"/>
        <v>0</v>
      </c>
      <c r="DK21" s="521">
        <v>0</v>
      </c>
      <c r="DL21" s="522">
        <f t="shared" si="18"/>
        <v>0</v>
      </c>
      <c r="DM21" s="506">
        <f t="shared" si="24"/>
        <v>0</v>
      </c>
      <c r="DN21" s="313"/>
      <c r="DO21" s="313"/>
      <c r="DP21" s="313"/>
      <c r="DQ21" s="313"/>
      <c r="DR21" s="313"/>
      <c r="DS21" s="313"/>
      <c r="DT21" s="313"/>
      <c r="DU21" s="313"/>
      <c r="DV21" s="313"/>
      <c r="DW21" s="313"/>
    </row>
    <row r="22" spans="1:127" s="2" customFormat="1">
      <c r="A22" s="1857" t="s">
        <v>1221</v>
      </c>
      <c r="B22" s="1858" t="s">
        <v>1222</v>
      </c>
      <c r="C22" s="23">
        <v>8</v>
      </c>
      <c r="D22" s="998" t="s">
        <v>2050</v>
      </c>
      <c r="E22" s="481"/>
      <c r="F22" s="383"/>
      <c r="G22" s="383" t="s">
        <v>472</v>
      </c>
      <c r="H22" s="330" t="s">
        <v>282</v>
      </c>
      <c r="I22" s="382">
        <v>2</v>
      </c>
      <c r="J22" s="1349">
        <f t="shared" si="31"/>
        <v>0.47901567033245368</v>
      </c>
      <c r="K22" s="1348">
        <f>AVERAGE(CO22,CG22,BY22,BQ22,BI22,BA22,AS22,AK22,AC22,U22)</f>
        <v>2</v>
      </c>
      <c r="L22" s="1349">
        <f t="shared" si="32"/>
        <v>0.56480257223891261</v>
      </c>
      <c r="M22" s="1333">
        <f>AVERAGE(CR22,CJ22,CB22,BT22,BL22,BD22,AV22,AN22,AG22,Y22)</f>
        <v>2</v>
      </c>
      <c r="N22" s="502">
        <f t="shared" si="20"/>
        <v>0</v>
      </c>
      <c r="O22" s="500">
        <f t="shared" si="1"/>
        <v>0</v>
      </c>
      <c r="P22" s="500">
        <f t="shared" si="21"/>
        <v>0</v>
      </c>
      <c r="Q22" s="816">
        <f t="shared" si="22"/>
        <v>0</v>
      </c>
      <c r="R22" s="815">
        <f t="shared" si="23"/>
        <v>0</v>
      </c>
      <c r="S22" s="510"/>
      <c r="T22" s="641">
        <f>IF(T24=0,"",T23*1000/T24)</f>
        <v>0.2188662727073758</v>
      </c>
      <c r="U22" s="322">
        <f>IF(T22&lt;=3,2,IF(T22&lt;=5,1,0))</f>
        <v>2</v>
      </c>
      <c r="V22" s="322"/>
      <c r="W22" s="641">
        <f>IF(W24=0,"",W23*1000/W24)</f>
        <v>0.29400235201881614</v>
      </c>
      <c r="X22" s="641"/>
      <c r="Y22" s="322">
        <f>IF(W22&lt;=3,2,IF(W22&lt;=5,1,0))</f>
        <v>2</v>
      </c>
      <c r="Z22" s="323">
        <f t="shared" si="33"/>
        <v>0.3432967463739709</v>
      </c>
      <c r="AA22" s="510"/>
      <c r="AB22" s="641">
        <f>IF(AB24=0,"",AB23*1000/AB24)</f>
        <v>0.22541379532427386</v>
      </c>
      <c r="AC22" s="322">
        <f>IF(AB22&lt;=3,2,IF(AB22&lt;=5,1,0))</f>
        <v>2</v>
      </c>
      <c r="AD22" s="322"/>
      <c r="AE22" s="641">
        <f>IF(AE24=0,"",AE23*1000/AE24)</f>
        <v>0.40790072323935928</v>
      </c>
      <c r="AF22" s="641"/>
      <c r="AG22" s="322">
        <f>IF(AE22&lt;=3,2,IF(AE22&lt;=5,1,0))</f>
        <v>2</v>
      </c>
      <c r="AH22" s="323">
        <f t="shared" si="3"/>
        <v>0.80956415135358029</v>
      </c>
      <c r="AI22" s="510"/>
      <c r="AJ22" s="641">
        <f>IF(AJ24=0,"",AJ23*1000/AJ24)</f>
        <v>0.50457558312882733</v>
      </c>
      <c r="AK22" s="322">
        <f>IF(AJ22&lt;=3,2,IF(AJ22&lt;=5,1,0))</f>
        <v>2</v>
      </c>
      <c r="AL22" s="322"/>
      <c r="AM22" s="641">
        <f>IF(AM24=0,"",AM23*1000/AM24)</f>
        <v>0.82949920368076446</v>
      </c>
      <c r="AN22" s="322">
        <f>IF(AM22&lt;=3,2,IF(AM22&lt;=5,1,0))</f>
        <v>2</v>
      </c>
      <c r="AO22" s="322"/>
      <c r="AP22" s="323">
        <f t="shared" si="34"/>
        <v>0.64395430816750054</v>
      </c>
      <c r="AQ22" s="510"/>
      <c r="AR22" s="641">
        <f>IF(AR24=0,"",AR23*1000/AR24)</f>
        <v>0</v>
      </c>
      <c r="AS22" s="322">
        <f>IF(AR22&lt;=3,2,IF(AR22&lt;=5,1,0))</f>
        <v>2</v>
      </c>
      <c r="AT22" s="322"/>
      <c r="AU22" s="641">
        <f>IF(AU24=0,"",AU23*1000/AU24)</f>
        <v>0</v>
      </c>
      <c r="AV22" s="322">
        <f>IF(AU22&lt;=3,2,IF(AU22&lt;=5,1,0))</f>
        <v>2</v>
      </c>
      <c r="AW22" s="322"/>
      <c r="AX22" s="323">
        <f t="shared" si="35"/>
        <v>0</v>
      </c>
      <c r="AY22" s="510"/>
      <c r="AZ22" s="641">
        <f>IF(AZ24=0,"",AZ23*1000/AZ24)</f>
        <v>1.6672864014201922</v>
      </c>
      <c r="BA22" s="322">
        <f>IF(AZ22&lt;=3,2,IF(AZ22&lt;=5,1,0))</f>
        <v>2</v>
      </c>
      <c r="BB22" s="322"/>
      <c r="BC22" s="641">
        <f>IF(BC24=0,"",BC23*1000/BC24)</f>
        <v>1.6126958899627211</v>
      </c>
      <c r="BD22" s="322">
        <f>IF(BC22&lt;=3,2,IF(BC22&lt;=5,1,0))</f>
        <v>2</v>
      </c>
      <c r="BE22" s="322"/>
      <c r="BF22" s="323">
        <f t="shared" si="6"/>
        <v>-3.2742132012215208E-2</v>
      </c>
      <c r="BG22" s="510"/>
      <c r="BH22" s="641">
        <f>IF(BH24=0,"",BH23*1000/BH24)</f>
        <v>1.0492402266358889</v>
      </c>
      <c r="BI22" s="322">
        <f>IF(BH22&lt;=3,2,IF(BH22&lt;=5,1,0))</f>
        <v>2</v>
      </c>
      <c r="BJ22" s="322"/>
      <c r="BK22" s="641">
        <f>IF(BK24=0,"",BK23*1000/BK24)</f>
        <v>1.7337031900138695</v>
      </c>
      <c r="BL22" s="322">
        <f>IF(BK22&lt;=3,2,IF(BK22&lt;=5,1,0))</f>
        <v>2</v>
      </c>
      <c r="BM22" s="322"/>
      <c r="BN22" s="323">
        <f t="shared" si="7"/>
        <v>0.65234151913192462</v>
      </c>
      <c r="BO22" s="510"/>
      <c r="BP22" s="641">
        <f>IF(BP24=0,"",BP23*1000/BP24)</f>
        <v>0.51788874023563936</v>
      </c>
      <c r="BQ22" s="322">
        <f>IF(BP22&lt;=3,2,IF(BP22&lt;=5,1,0))</f>
        <v>2</v>
      </c>
      <c r="BR22" s="322"/>
      <c r="BS22" s="641">
        <f>IF(BS24=0,"",BS23*1000/BS24)</f>
        <v>0.31142946122703208</v>
      </c>
      <c r="BT22" s="322">
        <f>IF(BS22&lt;=3,2,IF(BS22&lt;=5,1,0))</f>
        <v>2</v>
      </c>
      <c r="BU22" s="322"/>
      <c r="BV22" s="323">
        <f t="shared" si="8"/>
        <v>-0.39865566282570331</v>
      </c>
      <c r="BW22" s="510"/>
      <c r="BX22" s="641">
        <f>IF(BX24=0,"",BX23*1000/BX24)</f>
        <v>0.28524276196491516</v>
      </c>
      <c r="BY22" s="322">
        <f>IF(BX22&lt;=3,2,IF(BX22&lt;=5,1,0))</f>
        <v>2</v>
      </c>
      <c r="BZ22" s="322"/>
      <c r="CA22" s="641">
        <f>IF(CA24=0,"",CA23*1000/CA24)</f>
        <v>0.22866725103853044</v>
      </c>
      <c r="CB22" s="322">
        <f>IF(CA22&lt;=3,2,IF(CA22&lt;=5,1,0))</f>
        <v>2</v>
      </c>
      <c r="CC22" s="322"/>
      <c r="CD22" s="323">
        <f t="shared" si="9"/>
        <v>-0.19834161798413485</v>
      </c>
      <c r="CE22" s="510"/>
      <c r="CF22" s="641">
        <f>IF(CF24=0,"",CF23*1000/CF24)</f>
        <v>0.28220685762664033</v>
      </c>
      <c r="CG22" s="322">
        <f>IF(CF22&lt;=3,2,IF(CF22&lt;=5,1,0))</f>
        <v>2</v>
      </c>
      <c r="CH22" s="322"/>
      <c r="CI22" s="641">
        <f>IF(CI24=0,"",CI23*1000/CI24)</f>
        <v>6.7884054035707006E-2</v>
      </c>
      <c r="CJ22" s="322">
        <f>IF(CI22&lt;=3,2,IF(CI22&lt;=5,1,0))</f>
        <v>2</v>
      </c>
      <c r="CK22" s="322"/>
      <c r="CL22" s="323">
        <f t="shared" si="10"/>
        <v>-0.7594528545244722</v>
      </c>
      <c r="CM22" s="510"/>
      <c r="CN22" s="641">
        <f>IF(CN24=0,"",CN23*1000/CN24)</f>
        <v>3.9436064280784777E-2</v>
      </c>
      <c r="CO22" s="322">
        <f>IF(CN22&lt;=3,2,IF(CN22&lt;=5,1,0))</f>
        <v>2</v>
      </c>
      <c r="CP22" s="322"/>
      <c r="CQ22" s="641">
        <f>IF(CQ24=0,"",CQ23*1000/CQ24)</f>
        <v>0.16224359717232587</v>
      </c>
      <c r="CR22" s="322">
        <f>IF(CQ22&lt;=3,2,IF(CQ22&lt;=5,1,0))</f>
        <v>2</v>
      </c>
      <c r="CS22" s="322"/>
      <c r="CT22" s="323">
        <f t="shared" si="36"/>
        <v>3.1140920152972535</v>
      </c>
      <c r="CU22" s="315"/>
      <c r="CX22" s="506" t="s">
        <v>1595</v>
      </c>
      <c r="CY22" s="521">
        <v>1</v>
      </c>
      <c r="CZ22" s="522">
        <f t="shared" si="25"/>
        <v>2</v>
      </c>
      <c r="DA22" s="521">
        <v>1</v>
      </c>
      <c r="DB22" s="522">
        <f t="shared" si="26"/>
        <v>2</v>
      </c>
      <c r="DC22" s="521">
        <v>1</v>
      </c>
      <c r="DD22" s="522">
        <f t="shared" si="27"/>
        <v>2</v>
      </c>
      <c r="DE22" s="521">
        <v>1</v>
      </c>
      <c r="DF22" s="522">
        <f t="shared" si="28"/>
        <v>2</v>
      </c>
      <c r="DG22" s="521">
        <v>1</v>
      </c>
      <c r="DH22" s="522">
        <f t="shared" si="29"/>
        <v>2</v>
      </c>
      <c r="DI22" s="521">
        <v>1</v>
      </c>
      <c r="DJ22" s="522">
        <f t="shared" si="30"/>
        <v>2</v>
      </c>
      <c r="DK22" s="521">
        <v>0</v>
      </c>
      <c r="DL22" s="522">
        <f t="shared" si="18"/>
        <v>2</v>
      </c>
      <c r="DM22" s="506">
        <f t="shared" si="24"/>
        <v>18</v>
      </c>
      <c r="DN22" s="313"/>
      <c r="DO22" s="313"/>
      <c r="DP22" s="313"/>
      <c r="DQ22" s="313"/>
      <c r="DR22" s="313"/>
      <c r="DS22" s="313"/>
      <c r="DT22" s="313"/>
      <c r="DU22" s="313"/>
      <c r="DV22" s="313"/>
      <c r="DW22" s="313"/>
    </row>
    <row r="23" spans="1:127" s="2" customFormat="1">
      <c r="A23" s="1855"/>
      <c r="B23" s="1859"/>
      <c r="C23" s="1663">
        <v>8.1</v>
      </c>
      <c r="D23" s="1664" t="s">
        <v>2524</v>
      </c>
      <c r="E23" s="1665"/>
      <c r="F23" s="1666"/>
      <c r="G23" s="1649"/>
      <c r="H23" s="1667"/>
      <c r="I23" s="1649"/>
      <c r="J23" s="1668"/>
      <c r="K23" s="1669"/>
      <c r="L23" s="1668"/>
      <c r="M23" s="1670"/>
      <c r="N23" s="1662"/>
      <c r="O23" s="1662"/>
      <c r="P23" s="1662"/>
      <c r="Q23" s="1671"/>
      <c r="R23" s="1672">
        <f>Q23/2</f>
        <v>0</v>
      </c>
      <c r="S23" s="1673"/>
      <c r="T23" s="1668">
        <v>4</v>
      </c>
      <c r="U23" s="1649"/>
      <c r="V23" s="1649">
        <v>4</v>
      </c>
      <c r="W23" s="1668">
        <v>6</v>
      </c>
      <c r="X23" s="1668">
        <v>6</v>
      </c>
      <c r="Y23" s="1649">
        <f>IF(AND(T23=0,V23&lt;&gt;0),1,IF(AND(T23=0,V23=0),0,V23/T23-1))</f>
        <v>0</v>
      </c>
      <c r="Z23" s="1675"/>
      <c r="AA23" s="1673"/>
      <c r="AB23" s="1663">
        <v>14</v>
      </c>
      <c r="AC23" s="1649"/>
      <c r="AD23" s="1649">
        <v>14</v>
      </c>
      <c r="AE23" s="1663">
        <v>26</v>
      </c>
      <c r="AF23" s="1663">
        <v>26</v>
      </c>
      <c r="AG23" s="1649"/>
      <c r="AH23" s="1675"/>
      <c r="AI23" s="1673"/>
      <c r="AJ23" s="1663">
        <v>44</v>
      </c>
      <c r="AK23" s="1649"/>
      <c r="AL23" s="1649">
        <v>44</v>
      </c>
      <c r="AM23" s="1663">
        <v>75</v>
      </c>
      <c r="AN23" s="1649"/>
      <c r="AO23" s="1649">
        <v>75</v>
      </c>
      <c r="AP23" s="1675"/>
      <c r="AQ23" s="1673"/>
      <c r="AR23" s="1663">
        <v>0</v>
      </c>
      <c r="AS23" s="1649"/>
      <c r="AT23" s="1649">
        <v>0</v>
      </c>
      <c r="AU23" s="1663">
        <v>0</v>
      </c>
      <c r="AV23" s="1649"/>
      <c r="AW23" s="1649">
        <v>0</v>
      </c>
      <c r="AX23" s="1675"/>
      <c r="AY23" s="1673"/>
      <c r="AZ23" s="1663">
        <v>139</v>
      </c>
      <c r="BA23" s="1649"/>
      <c r="BB23" s="1649">
        <v>139</v>
      </c>
      <c r="BC23" s="1663">
        <v>138</v>
      </c>
      <c r="BD23" s="1649"/>
      <c r="BE23" s="1649">
        <v>139</v>
      </c>
      <c r="BF23" s="1675"/>
      <c r="BG23" s="1673"/>
      <c r="BH23" s="1674">
        <v>85</v>
      </c>
      <c r="BI23" s="1649"/>
      <c r="BJ23" s="1649">
        <v>85</v>
      </c>
      <c r="BK23" s="1674">
        <v>145</v>
      </c>
      <c r="BL23" s="1649"/>
      <c r="BM23" s="1649">
        <v>145</v>
      </c>
      <c r="BN23" s="1675"/>
      <c r="BO23" s="1673"/>
      <c r="BP23" s="1663">
        <v>12</v>
      </c>
      <c r="BQ23" s="1649"/>
      <c r="BR23" s="1649">
        <v>12</v>
      </c>
      <c r="BS23" s="1663">
        <v>7</v>
      </c>
      <c r="BT23" s="1649"/>
      <c r="BU23" s="1649">
        <v>7</v>
      </c>
      <c r="BV23" s="1675"/>
      <c r="BW23" s="1673"/>
      <c r="BX23" s="1663">
        <v>14</v>
      </c>
      <c r="BY23" s="1649"/>
      <c r="BZ23" s="1649">
        <v>14</v>
      </c>
      <c r="CA23" s="1663">
        <v>12</v>
      </c>
      <c r="CB23" s="1649"/>
      <c r="CC23" s="1649">
        <v>12</v>
      </c>
      <c r="CD23" s="1675"/>
      <c r="CE23" s="1673"/>
      <c r="CF23" s="1663">
        <v>4</v>
      </c>
      <c r="CG23" s="1649"/>
      <c r="CH23" s="1649">
        <v>4</v>
      </c>
      <c r="CI23" s="1663">
        <v>1</v>
      </c>
      <c r="CJ23" s="1649"/>
      <c r="CK23" s="1649">
        <v>1</v>
      </c>
      <c r="CL23" s="1675"/>
      <c r="CM23" s="1653"/>
      <c r="CN23" s="1644">
        <v>2</v>
      </c>
      <c r="CO23" s="1650"/>
      <c r="CP23" s="1650">
        <v>2</v>
      </c>
      <c r="CQ23" s="1644">
        <v>7</v>
      </c>
      <c r="CR23" s="1650"/>
      <c r="CS23" s="1650">
        <v>7</v>
      </c>
      <c r="CT23" s="1648"/>
      <c r="CU23" s="1647"/>
      <c r="CV23" s="1640"/>
      <c r="CW23" s="1640"/>
      <c r="CX23" s="1652"/>
      <c r="CY23" s="1654"/>
      <c r="CZ23" s="1655"/>
      <c r="DA23" s="1654"/>
      <c r="DB23" s="1655"/>
      <c r="DC23" s="1654"/>
      <c r="DD23" s="1655"/>
      <c r="DE23" s="1654"/>
      <c r="DF23" s="522">
        <f t="shared" si="28"/>
        <v>0</v>
      </c>
      <c r="DG23" s="521">
        <v>0</v>
      </c>
      <c r="DH23" s="522">
        <f t="shared" si="29"/>
        <v>0</v>
      </c>
      <c r="DI23" s="521">
        <v>0</v>
      </c>
      <c r="DJ23" s="522">
        <f t="shared" si="30"/>
        <v>0</v>
      </c>
      <c r="DK23" s="521">
        <v>0</v>
      </c>
      <c r="DL23" s="522">
        <f t="shared" si="18"/>
        <v>0</v>
      </c>
      <c r="DM23" s="506">
        <f t="shared" si="24"/>
        <v>0</v>
      </c>
      <c r="DN23" s="313"/>
      <c r="DO23" s="313"/>
      <c r="DP23" s="313"/>
      <c r="DQ23" s="313"/>
      <c r="DR23" s="313"/>
      <c r="DS23" s="313"/>
      <c r="DT23" s="313"/>
      <c r="DU23" s="313"/>
      <c r="DV23" s="313"/>
      <c r="DW23" s="313"/>
    </row>
    <row r="24" spans="1:127" s="2" customFormat="1">
      <c r="A24" s="1855"/>
      <c r="B24" s="1859"/>
      <c r="C24" s="384">
        <v>8.1999999999999993</v>
      </c>
      <c r="D24" s="325" t="s">
        <v>1224</v>
      </c>
      <c r="E24" s="482" t="s">
        <v>1223</v>
      </c>
      <c r="F24" s="328" t="s">
        <v>1225</v>
      </c>
      <c r="G24" s="383" t="s">
        <v>474</v>
      </c>
      <c r="H24" s="326"/>
      <c r="I24" s="383"/>
      <c r="J24" s="645">
        <f t="shared" si="31"/>
        <v>48825.9</v>
      </c>
      <c r="K24" s="651"/>
      <c r="L24" s="645">
        <f t="shared" si="32"/>
        <v>49580.6</v>
      </c>
      <c r="M24" s="501"/>
      <c r="N24" s="502">
        <f t="shared" si="20"/>
        <v>0</v>
      </c>
      <c r="O24" s="500">
        <f t="shared" si="1"/>
        <v>0</v>
      </c>
      <c r="P24" s="500">
        <f t="shared" si="21"/>
        <v>0</v>
      </c>
      <c r="Q24" s="816">
        <f t="shared" si="22"/>
        <v>0</v>
      </c>
      <c r="R24" s="815">
        <f t="shared" si="23"/>
        <v>0</v>
      </c>
      <c r="S24" s="510"/>
      <c r="T24" s="625">
        <v>18276</v>
      </c>
      <c r="U24" s="322"/>
      <c r="V24" s="322"/>
      <c r="W24" s="625">
        <v>20408</v>
      </c>
      <c r="X24" s="625"/>
      <c r="Y24" s="322"/>
      <c r="Z24" s="323">
        <f t="shared" si="33"/>
        <v>0.1166557233530312</v>
      </c>
      <c r="AA24" s="510"/>
      <c r="AB24" s="625">
        <v>62108</v>
      </c>
      <c r="AC24" s="322"/>
      <c r="AD24" s="322"/>
      <c r="AE24" s="625">
        <v>63741</v>
      </c>
      <c r="AF24" s="625"/>
      <c r="AG24" s="322"/>
      <c r="AH24" s="323">
        <f t="shared" si="3"/>
        <v>2.6292909126038433E-2</v>
      </c>
      <c r="AI24" s="510"/>
      <c r="AJ24" s="625">
        <v>87202</v>
      </c>
      <c r="AK24" s="322"/>
      <c r="AL24" s="322"/>
      <c r="AM24" s="625">
        <v>90416</v>
      </c>
      <c r="AN24" s="322"/>
      <c r="AO24" s="322"/>
      <c r="AP24" s="323">
        <f t="shared" si="34"/>
        <v>3.6856952822182931E-2</v>
      </c>
      <c r="AQ24" s="510"/>
      <c r="AR24" s="625">
        <v>19152</v>
      </c>
      <c r="AS24" s="610"/>
      <c r="AT24" s="1444"/>
      <c r="AU24" s="625">
        <v>19203</v>
      </c>
      <c r="AV24" s="610"/>
      <c r="AW24" s="1421"/>
      <c r="AX24" s="323">
        <f t="shared" si="35"/>
        <v>2.6629072681705335E-3</v>
      </c>
      <c r="AY24" s="510"/>
      <c r="AZ24" s="625">
        <v>83369</v>
      </c>
      <c r="BA24" s="322"/>
      <c r="BB24" s="322"/>
      <c r="BC24" s="625">
        <v>85571</v>
      </c>
      <c r="BD24" s="322"/>
      <c r="BE24" s="322"/>
      <c r="BF24" s="323">
        <f t="shared" si="6"/>
        <v>2.6412695366383243E-2</v>
      </c>
      <c r="BG24" s="510"/>
      <c r="BH24" s="625">
        <v>81011</v>
      </c>
      <c r="BI24" s="322"/>
      <c r="BJ24" s="322"/>
      <c r="BK24" s="625">
        <v>83636</v>
      </c>
      <c r="BL24" s="322"/>
      <c r="BM24" s="322"/>
      <c r="BN24" s="323">
        <f t="shared" si="7"/>
        <v>3.2403006999049522E-2</v>
      </c>
      <c r="BO24" s="510"/>
      <c r="BP24" s="625">
        <v>23171</v>
      </c>
      <c r="BQ24" s="322"/>
      <c r="BR24" s="322"/>
      <c r="BS24" s="625">
        <v>22477</v>
      </c>
      <c r="BT24" s="322"/>
      <c r="BU24" s="322"/>
      <c r="BV24" s="323">
        <f t="shared" si="8"/>
        <v>-2.9951232143627826E-2</v>
      </c>
      <c r="BW24" s="510"/>
      <c r="BX24" s="625">
        <v>49081</v>
      </c>
      <c r="BY24" s="610"/>
      <c r="BZ24" s="1444"/>
      <c r="CA24" s="625">
        <v>52478</v>
      </c>
      <c r="CB24" s="610"/>
      <c r="CC24" s="1421"/>
      <c r="CD24" s="323">
        <f t="shared" si="9"/>
        <v>6.9212118742487005E-2</v>
      </c>
      <c r="CE24" s="510"/>
      <c r="CF24" s="625">
        <v>14174</v>
      </c>
      <c r="CG24" s="610"/>
      <c r="CH24" s="1444"/>
      <c r="CI24" s="625">
        <v>14731</v>
      </c>
      <c r="CJ24" s="610"/>
      <c r="CK24" s="1421"/>
      <c r="CL24" s="323">
        <f t="shared" si="10"/>
        <v>3.9297304924509557E-2</v>
      </c>
      <c r="CM24" s="510"/>
      <c r="CN24" s="625">
        <v>50715</v>
      </c>
      <c r="CO24" s="610"/>
      <c r="CP24" s="1444"/>
      <c r="CQ24" s="625">
        <v>43145</v>
      </c>
      <c r="CR24" s="610"/>
      <c r="CS24" s="1421"/>
      <c r="CT24" s="323">
        <f t="shared" si="36"/>
        <v>-0.14926550330277033</v>
      </c>
      <c r="CU24" s="315"/>
      <c r="CX24" s="506"/>
      <c r="CY24" s="521">
        <v>0</v>
      </c>
      <c r="CZ24" s="522">
        <f t="shared" si="25"/>
        <v>0</v>
      </c>
      <c r="DA24" s="521">
        <v>0</v>
      </c>
      <c r="DB24" s="522">
        <f t="shared" si="26"/>
        <v>0</v>
      </c>
      <c r="DC24" s="521">
        <v>0</v>
      </c>
      <c r="DD24" s="522">
        <f t="shared" si="27"/>
        <v>0</v>
      </c>
      <c r="DE24" s="521">
        <v>0</v>
      </c>
      <c r="DF24" s="522">
        <f t="shared" si="28"/>
        <v>0</v>
      </c>
      <c r="DG24" s="521">
        <v>0</v>
      </c>
      <c r="DH24" s="522">
        <f t="shared" si="29"/>
        <v>0</v>
      </c>
      <c r="DI24" s="521">
        <v>0</v>
      </c>
      <c r="DJ24" s="522">
        <f t="shared" si="30"/>
        <v>0</v>
      </c>
      <c r="DK24" s="521">
        <v>0</v>
      </c>
      <c r="DL24" s="522">
        <f t="shared" si="18"/>
        <v>0</v>
      </c>
      <c r="DM24" s="506">
        <f t="shared" si="24"/>
        <v>0</v>
      </c>
      <c r="DN24" s="313"/>
      <c r="DO24" s="313"/>
      <c r="DP24" s="313"/>
      <c r="DQ24" s="313"/>
      <c r="DR24" s="313"/>
      <c r="DS24" s="313"/>
      <c r="DT24" s="313"/>
      <c r="DU24" s="313"/>
      <c r="DV24" s="313"/>
      <c r="DW24" s="313"/>
    </row>
    <row r="25" spans="1:127" s="2" customFormat="1">
      <c r="A25" s="1857" t="s">
        <v>1226</v>
      </c>
      <c r="B25" s="1858" t="s">
        <v>1227</v>
      </c>
      <c r="C25" s="23">
        <v>9</v>
      </c>
      <c r="D25" s="998" t="s">
        <v>2036</v>
      </c>
      <c r="E25" s="481"/>
      <c r="F25" s="383"/>
      <c r="G25" s="383" t="s">
        <v>474</v>
      </c>
      <c r="H25" s="330" t="s">
        <v>282</v>
      </c>
      <c r="I25" s="382">
        <v>2</v>
      </c>
      <c r="J25" s="644">
        <f t="shared" si="31"/>
        <v>0.34143161028888486</v>
      </c>
      <c r="K25" s="1334">
        <f>AVERAGE(CO25,CG25,BY25,BQ25,BI25,BA25,AS25,AK25,AC25,U25)</f>
        <v>0.68286322057776971</v>
      </c>
      <c r="L25" s="644">
        <f t="shared" si="32"/>
        <v>0.28589641414120737</v>
      </c>
      <c r="M25" s="1333">
        <f>AVERAGE(CR25,CJ25,CB25,BT25,BL25,BD25,AV25,AN25,AG25,Y25)</f>
        <v>0.57179282828241473</v>
      </c>
      <c r="N25" s="502">
        <f t="shared" si="20"/>
        <v>-0.11107039229535498</v>
      </c>
      <c r="O25" s="500">
        <f t="shared" si="1"/>
        <v>1.4282071717175853</v>
      </c>
      <c r="P25" s="500">
        <f t="shared" si="21"/>
        <v>0.9997450202023096</v>
      </c>
      <c r="Q25" s="816">
        <f t="shared" si="22"/>
        <v>0.11108278002247884</v>
      </c>
      <c r="R25" s="815">
        <f t="shared" si="23"/>
        <v>5.5541390011239422E-2</v>
      </c>
      <c r="S25" s="510"/>
      <c r="T25" s="1316">
        <f>IF(T27=0,"",T26/T27)</f>
        <v>0.81818181818181823</v>
      </c>
      <c r="U25" s="974">
        <f>T25*2</f>
        <v>1.6363636363636365</v>
      </c>
      <c r="V25" s="974"/>
      <c r="W25" s="640">
        <f>IF(W27=0,"",W26/W27)</f>
        <v>0.7</v>
      </c>
      <c r="X25" s="1423"/>
      <c r="Y25" s="974">
        <f>W25*2</f>
        <v>1.4</v>
      </c>
      <c r="Z25" s="323">
        <f t="shared" si="33"/>
        <v>-0.1444444444444446</v>
      </c>
      <c r="AA25" s="510"/>
      <c r="AB25" s="1316">
        <f>IF(AB27=0,"",AB26/AB27)</f>
        <v>0.18584070796460178</v>
      </c>
      <c r="AC25" s="974">
        <f>AB25*2</f>
        <v>0.37168141592920356</v>
      </c>
      <c r="AD25" s="974"/>
      <c r="AE25" s="640">
        <f>IF(AE27=0,"",AE26/AE27)</f>
        <v>0.22442244224422442</v>
      </c>
      <c r="AF25" s="1423"/>
      <c r="AG25" s="974">
        <f>AE25*2</f>
        <v>0.44884488448844884</v>
      </c>
      <c r="AH25" s="323">
        <f t="shared" si="3"/>
        <v>0.20760647493320761</v>
      </c>
      <c r="AI25" s="510"/>
      <c r="AJ25" s="1316">
        <f>IF(AJ27=0,"",AJ26/AJ27)</f>
        <v>0.35099337748344372</v>
      </c>
      <c r="AK25" s="537">
        <f>AJ25*2</f>
        <v>0.70198675496688745</v>
      </c>
      <c r="AL25" s="537"/>
      <c r="AM25" s="640">
        <f>IF(AM27=0,"",AM26/AM27)</f>
        <v>0.24161073825503357</v>
      </c>
      <c r="AN25" s="974">
        <f>AM25*2</f>
        <v>0.48322147651006714</v>
      </c>
      <c r="AO25" s="974"/>
      <c r="AP25" s="323">
        <f t="shared" si="34"/>
        <v>-0.31163733063188548</v>
      </c>
      <c r="AQ25" s="510"/>
      <c r="AR25" s="1316">
        <f>IF(AR27=0,"",AR26/AR27)</f>
        <v>0.25454545454545452</v>
      </c>
      <c r="AS25" s="974">
        <f>AR25*2</f>
        <v>0.50909090909090904</v>
      </c>
      <c r="AT25" s="974"/>
      <c r="AU25" s="640">
        <f>IF(AU27=0,"",AU26/AU27)</f>
        <v>0.16814159292035399</v>
      </c>
      <c r="AV25" s="974">
        <f>AU25*2</f>
        <v>0.33628318584070799</v>
      </c>
      <c r="AW25" s="974"/>
      <c r="AX25" s="323">
        <f t="shared" si="35"/>
        <v>-0.33944374209860928</v>
      </c>
      <c r="AY25" s="510"/>
      <c r="AZ25" s="1316">
        <f>IF(AZ27=0,"",AZ26/AZ27)</f>
        <v>0.46153846153846156</v>
      </c>
      <c r="BA25" s="974">
        <f>AZ25*2</f>
        <v>0.92307692307692313</v>
      </c>
      <c r="BB25" s="974"/>
      <c r="BC25" s="640">
        <f>IF(BC27=0,"",BC26/BC27)</f>
        <v>0.38172043010752688</v>
      </c>
      <c r="BD25" s="974">
        <f>BC25*2</f>
        <v>0.76344086021505375</v>
      </c>
      <c r="BE25" s="974"/>
      <c r="BF25" s="323">
        <f t="shared" si="6"/>
        <v>-0.17293906810035853</v>
      </c>
      <c r="BG25" s="510"/>
      <c r="BH25" s="1316">
        <f>IF(BH27=0,"",BH26/BH27)</f>
        <v>0.17696629213483145</v>
      </c>
      <c r="BI25" s="974">
        <f>BH25*2</f>
        <v>0.3539325842696629</v>
      </c>
      <c r="BJ25" s="974"/>
      <c r="BK25" s="1331">
        <f>IF(BK27=0,"",BK26/BK27)</f>
        <v>0.25345622119815669</v>
      </c>
      <c r="BL25" s="974">
        <f>BK25*2</f>
        <v>0.50691244239631339</v>
      </c>
      <c r="BM25" s="974"/>
      <c r="BN25" s="323">
        <f t="shared" si="7"/>
        <v>0.43222880550069509</v>
      </c>
      <c r="BO25" s="510"/>
      <c r="BP25" s="1316">
        <f>IF(BP27=0,"",BP26/BP27)</f>
        <v>0.21238938053097345</v>
      </c>
      <c r="BQ25" s="974">
        <f>BP25*2</f>
        <v>0.4247787610619469</v>
      </c>
      <c r="BR25" s="974"/>
      <c r="BS25" s="640">
        <f>IF(BS27=0,"",BS26/BS27)</f>
        <v>0.22500000000000001</v>
      </c>
      <c r="BT25" s="974">
        <f>BS25*2</f>
        <v>0.45</v>
      </c>
      <c r="BU25" s="974"/>
      <c r="BV25" s="323">
        <f t="shared" si="8"/>
        <v>5.9374999999999956E-2</v>
      </c>
      <c r="BW25" s="510"/>
      <c r="BX25" s="1316">
        <f>IF(BX27=0,"",BX26/BX27)</f>
        <v>0.26339285714285715</v>
      </c>
      <c r="BY25" s="974">
        <f>BX25*2</f>
        <v>0.5267857142857143</v>
      </c>
      <c r="BZ25" s="974"/>
      <c r="CA25" s="640">
        <f>IF(CA27=0,"",CA26/CA27)</f>
        <v>0.29629629629629628</v>
      </c>
      <c r="CB25" s="974">
        <f>CA25*2</f>
        <v>0.59259259259259256</v>
      </c>
      <c r="CC25" s="974"/>
      <c r="CD25" s="323">
        <f t="shared" si="9"/>
        <v>0.12492153170119269</v>
      </c>
      <c r="CE25" s="510"/>
      <c r="CF25" s="1316">
        <f>IF(CF27=0,"",CF26/CF27)</f>
        <v>0.46987951807228917</v>
      </c>
      <c r="CG25" s="974">
        <f>CF25*2</f>
        <v>0.93975903614457834</v>
      </c>
      <c r="CH25" s="974"/>
      <c r="CI25" s="640">
        <f>IF(CI27=0,"",CI26/CI27)</f>
        <v>0.15693430656934307</v>
      </c>
      <c r="CJ25" s="974">
        <f>CI25*2</f>
        <v>0.31386861313868614</v>
      </c>
      <c r="CK25" s="974"/>
      <c r="CL25" s="323">
        <f t="shared" si="10"/>
        <v>-0.66601160396780834</v>
      </c>
      <c r="CM25" s="510"/>
      <c r="CN25" s="1316">
        <f>IF(CN27=0,"",CN26/CN27)</f>
        <v>0.22058823529411764</v>
      </c>
      <c r="CO25" s="974">
        <f>CN25*2</f>
        <v>0.44117647058823528</v>
      </c>
      <c r="CP25" s="974"/>
      <c r="CQ25" s="640">
        <f>IF(CQ27=0,"",CQ26/CQ27)</f>
        <v>0.21138211382113822</v>
      </c>
      <c r="CR25" s="974">
        <f>CQ25*2</f>
        <v>0.42276422764227645</v>
      </c>
      <c r="CS25" s="974"/>
      <c r="CT25" s="323">
        <f t="shared" si="36"/>
        <v>-4.173441734417338E-2</v>
      </c>
      <c r="CU25" s="315"/>
      <c r="CX25" s="506"/>
      <c r="CY25" s="521">
        <v>0</v>
      </c>
      <c r="CZ25" s="522">
        <f t="shared" si="25"/>
        <v>0.57179282828241473</v>
      </c>
      <c r="DA25" s="521">
        <v>1</v>
      </c>
      <c r="DB25" s="522">
        <f t="shared" si="26"/>
        <v>0.57179282828241473</v>
      </c>
      <c r="DC25" s="521">
        <v>0</v>
      </c>
      <c r="DD25" s="522">
        <f t="shared" si="27"/>
        <v>0.57179282828241473</v>
      </c>
      <c r="DE25" s="521">
        <v>0</v>
      </c>
      <c r="DF25" s="522">
        <f t="shared" si="28"/>
        <v>0.57179282828241473</v>
      </c>
      <c r="DG25" s="521">
        <v>0</v>
      </c>
      <c r="DH25" s="522">
        <f t="shared" si="29"/>
        <v>0.57179282828241473</v>
      </c>
      <c r="DI25" s="521">
        <v>0</v>
      </c>
      <c r="DJ25" s="522">
        <f t="shared" si="30"/>
        <v>0.57179282828241473</v>
      </c>
      <c r="DK25" s="521">
        <v>0</v>
      </c>
      <c r="DL25" s="522">
        <f t="shared" si="18"/>
        <v>0.57179282828241473</v>
      </c>
      <c r="DM25" s="506">
        <f t="shared" si="24"/>
        <v>4.430756969694488</v>
      </c>
      <c r="DN25" s="313"/>
      <c r="DO25" s="313"/>
      <c r="DP25" s="313"/>
      <c r="DQ25" s="313"/>
      <c r="DR25" s="313"/>
      <c r="DS25" s="313"/>
      <c r="DT25" s="313"/>
      <c r="DU25" s="313"/>
      <c r="DV25" s="313"/>
      <c r="DW25" s="313"/>
    </row>
    <row r="26" spans="1:127" s="2" customFormat="1" ht="16.5" customHeight="1">
      <c r="A26" s="1855"/>
      <c r="B26" s="1859"/>
      <c r="C26" s="384">
        <v>9.1</v>
      </c>
      <c r="D26" s="1274" t="s">
        <v>2341</v>
      </c>
      <c r="E26" s="483" t="s">
        <v>1228</v>
      </c>
      <c r="F26" s="320"/>
      <c r="G26" s="320"/>
      <c r="H26" s="335"/>
      <c r="I26" s="383"/>
      <c r="J26" s="645">
        <f t="shared" si="31"/>
        <v>49.1</v>
      </c>
      <c r="K26" s="651"/>
      <c r="L26" s="645">
        <f t="shared" si="32"/>
        <v>48</v>
      </c>
      <c r="M26" s="501"/>
      <c r="N26" s="502">
        <f t="shared" si="20"/>
        <v>0</v>
      </c>
      <c r="O26" s="500">
        <f t="shared" si="1"/>
        <v>0</v>
      </c>
      <c r="P26" s="500">
        <f t="shared" si="21"/>
        <v>0</v>
      </c>
      <c r="Q26" s="816">
        <f t="shared" si="22"/>
        <v>0</v>
      </c>
      <c r="R26" s="815">
        <f t="shared" si="23"/>
        <v>0</v>
      </c>
      <c r="S26" s="510"/>
      <c r="T26" s="1317">
        <v>9</v>
      </c>
      <c r="U26" s="610"/>
      <c r="V26" s="1444"/>
      <c r="W26" s="330">
        <v>7</v>
      </c>
      <c r="X26" s="1424"/>
      <c r="Y26" s="610"/>
      <c r="Z26" s="323">
        <f t="shared" si="33"/>
        <v>-0.22222222222222221</v>
      </c>
      <c r="AA26" s="510"/>
      <c r="AB26" s="1317">
        <v>84</v>
      </c>
      <c r="AC26" s="610"/>
      <c r="AD26" s="1444"/>
      <c r="AE26" s="330">
        <v>68</v>
      </c>
      <c r="AF26" s="1424"/>
      <c r="AG26" s="610"/>
      <c r="AH26" s="323">
        <f t="shared" si="3"/>
        <v>-0.19047619047619047</v>
      </c>
      <c r="AI26" s="510"/>
      <c r="AJ26" s="1317">
        <v>106</v>
      </c>
      <c r="AK26" s="610"/>
      <c r="AL26" s="1444"/>
      <c r="AM26" s="330">
        <v>108</v>
      </c>
      <c r="AN26" s="610"/>
      <c r="AO26" s="1421"/>
      <c r="AP26" s="323">
        <f t="shared" si="34"/>
        <v>1.8867924528301883E-2</v>
      </c>
      <c r="AQ26" s="510"/>
      <c r="AR26" s="1317">
        <v>14</v>
      </c>
      <c r="AS26" s="610"/>
      <c r="AT26" s="1444"/>
      <c r="AU26" s="330">
        <v>19</v>
      </c>
      <c r="AV26" s="610"/>
      <c r="AW26" s="1421"/>
      <c r="AX26" s="323">
        <f t="shared" si="35"/>
        <v>0.35714285714285721</v>
      </c>
      <c r="AY26" s="510"/>
      <c r="AZ26" s="1317">
        <v>78</v>
      </c>
      <c r="BA26" s="610"/>
      <c r="BB26" s="1444"/>
      <c r="BC26" s="330">
        <v>71</v>
      </c>
      <c r="BD26" s="610"/>
      <c r="BE26" s="1421"/>
      <c r="BF26" s="323">
        <f t="shared" si="6"/>
        <v>-8.9743589743589758E-2</v>
      </c>
      <c r="BG26" s="510"/>
      <c r="BH26" s="1317">
        <v>63</v>
      </c>
      <c r="BI26" s="610"/>
      <c r="BJ26" s="1444"/>
      <c r="BK26" s="1332">
        <v>55</v>
      </c>
      <c r="BL26" s="610"/>
      <c r="BM26" s="1421"/>
      <c r="BN26" s="323">
        <f t="shared" si="7"/>
        <v>-0.12698412698412698</v>
      </c>
      <c r="BO26" s="510"/>
      <c r="BP26" s="1317">
        <v>24</v>
      </c>
      <c r="BQ26" s="610"/>
      <c r="BR26" s="1444"/>
      <c r="BS26" s="330">
        <v>27</v>
      </c>
      <c r="BT26" s="610"/>
      <c r="BU26" s="1421"/>
      <c r="BV26" s="323">
        <f t="shared" si="8"/>
        <v>0.125</v>
      </c>
      <c r="BW26" s="510"/>
      <c r="BX26" s="1317">
        <v>59</v>
      </c>
      <c r="BY26" s="610"/>
      <c r="BZ26" s="1444"/>
      <c r="CA26" s="330">
        <v>56</v>
      </c>
      <c r="CB26" s="610"/>
      <c r="CC26" s="1421"/>
      <c r="CD26" s="323">
        <f t="shared" si="9"/>
        <v>-5.084745762711862E-2</v>
      </c>
      <c r="CE26" s="510"/>
      <c r="CF26" s="1317">
        <v>39</v>
      </c>
      <c r="CG26" s="610"/>
      <c r="CH26" s="1444"/>
      <c r="CI26" s="330">
        <v>43</v>
      </c>
      <c r="CJ26" s="610"/>
      <c r="CK26" s="1421"/>
      <c r="CL26" s="323">
        <f t="shared" si="10"/>
        <v>0.10256410256410264</v>
      </c>
      <c r="CM26" s="510"/>
      <c r="CN26" s="1317">
        <v>15</v>
      </c>
      <c r="CO26" s="610"/>
      <c r="CP26" s="1444"/>
      <c r="CQ26" s="330">
        <v>26</v>
      </c>
      <c r="CR26" s="610"/>
      <c r="CS26" s="1421"/>
      <c r="CT26" s="323">
        <f t="shared" si="36"/>
        <v>0.73333333333333339</v>
      </c>
      <c r="CU26" s="315"/>
      <c r="CX26" s="506"/>
      <c r="CY26" s="521">
        <v>0</v>
      </c>
      <c r="CZ26" s="522">
        <f t="shared" si="25"/>
        <v>0</v>
      </c>
      <c r="DA26" s="521">
        <v>0</v>
      </c>
      <c r="DB26" s="522">
        <f t="shared" si="26"/>
        <v>0</v>
      </c>
      <c r="DC26" s="521">
        <v>0</v>
      </c>
      <c r="DD26" s="522">
        <f t="shared" si="27"/>
        <v>0</v>
      </c>
      <c r="DE26" s="521">
        <v>0</v>
      </c>
      <c r="DF26" s="522">
        <f t="shared" si="28"/>
        <v>0</v>
      </c>
      <c r="DG26" s="521">
        <v>0</v>
      </c>
      <c r="DH26" s="522">
        <f t="shared" si="29"/>
        <v>0</v>
      </c>
      <c r="DI26" s="521">
        <v>0</v>
      </c>
      <c r="DJ26" s="522">
        <f t="shared" si="30"/>
        <v>0</v>
      </c>
      <c r="DK26" s="521">
        <v>0</v>
      </c>
      <c r="DL26" s="522">
        <f t="shared" si="18"/>
        <v>0</v>
      </c>
      <c r="DM26" s="506">
        <f t="shared" si="24"/>
        <v>0</v>
      </c>
      <c r="DN26" s="313"/>
      <c r="DO26" s="313"/>
      <c r="DP26" s="313"/>
      <c r="DQ26" s="313"/>
      <c r="DR26" s="313"/>
      <c r="DS26" s="313"/>
      <c r="DT26" s="313"/>
      <c r="DU26" s="313"/>
      <c r="DV26" s="313"/>
      <c r="DW26" s="313"/>
    </row>
    <row r="27" spans="1:127" s="2" customFormat="1">
      <c r="A27" s="1855"/>
      <c r="B27" s="1859"/>
      <c r="C27" s="384">
        <v>9.1999999999999993</v>
      </c>
      <c r="D27" s="1274" t="s">
        <v>2342</v>
      </c>
      <c r="E27" s="483" t="s">
        <v>1228</v>
      </c>
      <c r="F27" s="320"/>
      <c r="G27" s="320"/>
      <c r="H27" s="335"/>
      <c r="I27" s="383"/>
      <c r="J27" s="645">
        <f t="shared" si="31"/>
        <v>183.3</v>
      </c>
      <c r="K27" s="651"/>
      <c r="L27" s="645">
        <f t="shared" si="32"/>
        <v>198.2</v>
      </c>
      <c r="M27" s="501"/>
      <c r="N27" s="502">
        <f t="shared" si="20"/>
        <v>0</v>
      </c>
      <c r="O27" s="500">
        <f t="shared" si="1"/>
        <v>0</v>
      </c>
      <c r="P27" s="500">
        <f t="shared" si="21"/>
        <v>0</v>
      </c>
      <c r="Q27" s="816">
        <f t="shared" si="22"/>
        <v>0</v>
      </c>
      <c r="R27" s="815">
        <f t="shared" si="23"/>
        <v>0</v>
      </c>
      <c r="S27" s="510"/>
      <c r="T27" s="1317">
        <v>11</v>
      </c>
      <c r="U27" s="610"/>
      <c r="V27" s="1444"/>
      <c r="W27" s="330">
        <v>10</v>
      </c>
      <c r="X27" s="1424"/>
      <c r="Y27" s="610"/>
      <c r="Z27" s="323">
        <f t="shared" si="33"/>
        <v>-9.0909090909090939E-2</v>
      </c>
      <c r="AA27" s="510"/>
      <c r="AB27" s="1317">
        <v>452</v>
      </c>
      <c r="AC27" s="610"/>
      <c r="AD27" s="1444"/>
      <c r="AE27" s="330">
        <v>303</v>
      </c>
      <c r="AF27" s="1424"/>
      <c r="AG27" s="610"/>
      <c r="AH27" s="323">
        <f t="shared" si="3"/>
        <v>-0.32964601769911506</v>
      </c>
      <c r="AI27" s="510"/>
      <c r="AJ27" s="1317">
        <v>302</v>
      </c>
      <c r="AK27" s="610"/>
      <c r="AL27" s="1444"/>
      <c r="AM27" s="330">
        <v>447</v>
      </c>
      <c r="AN27" s="610"/>
      <c r="AO27" s="1421"/>
      <c r="AP27" s="323">
        <f t="shared" si="34"/>
        <v>0.48013245033112573</v>
      </c>
      <c r="AQ27" s="510"/>
      <c r="AR27" s="1317">
        <v>55</v>
      </c>
      <c r="AS27" s="610"/>
      <c r="AT27" s="1444"/>
      <c r="AU27" s="330">
        <v>113</v>
      </c>
      <c r="AV27" s="610"/>
      <c r="AW27" s="1421"/>
      <c r="AX27" s="323">
        <f t="shared" si="35"/>
        <v>1.0545454545454547</v>
      </c>
      <c r="AY27" s="510"/>
      <c r="AZ27" s="1317">
        <v>169</v>
      </c>
      <c r="BA27" s="610"/>
      <c r="BB27" s="1444"/>
      <c r="BC27" s="330">
        <v>186</v>
      </c>
      <c r="BD27" s="610"/>
      <c r="BE27" s="1421"/>
      <c r="BF27" s="323">
        <f t="shared" si="6"/>
        <v>0.10059171597633143</v>
      </c>
      <c r="BG27" s="510"/>
      <c r="BH27" s="1317">
        <v>356</v>
      </c>
      <c r="BI27" s="610"/>
      <c r="BJ27" s="1444"/>
      <c r="BK27" s="1332">
        <v>217</v>
      </c>
      <c r="BL27" s="610"/>
      <c r="BM27" s="1421"/>
      <c r="BN27" s="323">
        <f t="shared" si="7"/>
        <v>-0.3904494382022472</v>
      </c>
      <c r="BO27" s="510"/>
      <c r="BP27" s="1317">
        <v>113</v>
      </c>
      <c r="BQ27" s="610"/>
      <c r="BR27" s="1444"/>
      <c r="BS27" s="330">
        <v>120</v>
      </c>
      <c r="BT27" s="610"/>
      <c r="BU27" s="1421"/>
      <c r="BV27" s="323">
        <f t="shared" si="8"/>
        <v>6.1946902654867353E-2</v>
      </c>
      <c r="BW27" s="510"/>
      <c r="BX27" s="1317">
        <v>224</v>
      </c>
      <c r="BY27" s="610"/>
      <c r="BZ27" s="1444"/>
      <c r="CA27" s="330">
        <v>189</v>
      </c>
      <c r="CB27" s="610"/>
      <c r="CC27" s="1421"/>
      <c r="CD27" s="323">
        <f t="shared" si="9"/>
        <v>-0.15625</v>
      </c>
      <c r="CE27" s="510"/>
      <c r="CF27" s="1317">
        <v>83</v>
      </c>
      <c r="CG27" s="610"/>
      <c r="CH27" s="1444"/>
      <c r="CI27" s="330">
        <v>274</v>
      </c>
      <c r="CJ27" s="610"/>
      <c r="CK27" s="1421"/>
      <c r="CL27" s="323">
        <f t="shared" si="10"/>
        <v>2.3012048192771086</v>
      </c>
      <c r="CM27" s="510"/>
      <c r="CN27" s="1317">
        <v>68</v>
      </c>
      <c r="CO27" s="610"/>
      <c r="CP27" s="1444"/>
      <c r="CQ27" s="330">
        <v>123</v>
      </c>
      <c r="CR27" s="610"/>
      <c r="CS27" s="1421"/>
      <c r="CT27" s="323">
        <f t="shared" si="36"/>
        <v>0.80882352941176472</v>
      </c>
      <c r="CU27" s="315"/>
      <c r="CX27" s="506"/>
      <c r="CY27" s="521">
        <v>0</v>
      </c>
      <c r="CZ27" s="522">
        <f t="shared" si="25"/>
        <v>0</v>
      </c>
      <c r="DA27" s="521">
        <v>0</v>
      </c>
      <c r="DB27" s="522">
        <f t="shared" si="26"/>
        <v>0</v>
      </c>
      <c r="DC27" s="521">
        <v>0</v>
      </c>
      <c r="DD27" s="522">
        <f t="shared" si="27"/>
        <v>0</v>
      </c>
      <c r="DE27" s="521">
        <v>0</v>
      </c>
      <c r="DF27" s="522">
        <f t="shared" si="28"/>
        <v>0</v>
      </c>
      <c r="DG27" s="521">
        <v>0</v>
      </c>
      <c r="DH27" s="522">
        <f t="shared" si="29"/>
        <v>0</v>
      </c>
      <c r="DI27" s="521">
        <v>0</v>
      </c>
      <c r="DJ27" s="522">
        <f t="shared" si="30"/>
        <v>0</v>
      </c>
      <c r="DK27" s="521">
        <v>0</v>
      </c>
      <c r="DL27" s="522">
        <f t="shared" si="18"/>
        <v>0</v>
      </c>
      <c r="DM27" s="506">
        <f t="shared" si="24"/>
        <v>0</v>
      </c>
      <c r="DN27" s="313"/>
      <c r="DO27" s="313"/>
      <c r="DP27" s="313"/>
      <c r="DQ27" s="313"/>
      <c r="DR27" s="313"/>
      <c r="DS27" s="313"/>
      <c r="DT27" s="313"/>
      <c r="DU27" s="313"/>
      <c r="DV27" s="313"/>
      <c r="DW27" s="313"/>
    </row>
    <row r="28" spans="1:127" s="2" customFormat="1" ht="29.25" customHeight="1">
      <c r="A28" s="1857" t="s">
        <v>1229</v>
      </c>
      <c r="B28" s="1858" t="s">
        <v>1230</v>
      </c>
      <c r="C28" s="23">
        <v>10</v>
      </c>
      <c r="D28" s="998" t="s">
        <v>1998</v>
      </c>
      <c r="E28" s="482" t="s">
        <v>1199</v>
      </c>
      <c r="F28" s="328" t="s">
        <v>1231</v>
      </c>
      <c r="G28" s="336" t="s">
        <v>1208</v>
      </c>
      <c r="H28" s="334" t="s">
        <v>282</v>
      </c>
      <c r="I28" s="1849">
        <v>6</v>
      </c>
      <c r="J28" s="647">
        <f t="shared" si="31"/>
        <v>1.5</v>
      </c>
      <c r="K28" s="1865">
        <f>AVERAGE(CO28,CG28,BY28,BQ28,BI28,BA28,AS28,AK28,AC28,U28)</f>
        <v>5.25</v>
      </c>
      <c r="L28" s="647">
        <f t="shared" si="32"/>
        <v>1.5</v>
      </c>
      <c r="M28" s="1865">
        <f>AVERAGE(CR28,CJ28,CB28,BT28,BL28,BD28,AV28,AN28,AG28,Y28)</f>
        <v>4.8499999999999996</v>
      </c>
      <c r="N28" s="1867">
        <f t="shared" si="20"/>
        <v>-0.40000000000000036</v>
      </c>
      <c r="O28" s="500">
        <f t="shared" si="1"/>
        <v>1.1500000000000004</v>
      </c>
      <c r="P28" s="500">
        <f t="shared" si="21"/>
        <v>0.80500000000000016</v>
      </c>
      <c r="Q28" s="816">
        <f t="shared" si="22"/>
        <v>8.9444444444444465E-2</v>
      </c>
      <c r="R28" s="815">
        <f t="shared" si="23"/>
        <v>4.4722222222222233E-2</v>
      </c>
      <c r="S28" s="510"/>
      <c r="T28" s="1317">
        <v>1</v>
      </c>
      <c r="U28" s="1826">
        <f>6-T28*0.5-T29*2</f>
        <v>5.5</v>
      </c>
      <c r="V28" s="1444"/>
      <c r="W28" s="330">
        <v>1</v>
      </c>
      <c r="X28" s="1424"/>
      <c r="Y28" s="1826">
        <f>6-W28*0.5-W29*2</f>
        <v>5.5</v>
      </c>
      <c r="Z28" s="323">
        <f t="shared" si="33"/>
        <v>0</v>
      </c>
      <c r="AA28" s="510"/>
      <c r="AB28" s="1317">
        <v>3</v>
      </c>
      <c r="AC28" s="1826">
        <f>6-AB28*0.5-AB29*2</f>
        <v>4.5</v>
      </c>
      <c r="AD28" s="1444"/>
      <c r="AE28" s="330">
        <v>3</v>
      </c>
      <c r="AF28" s="1424"/>
      <c r="AG28" s="1826">
        <f>6-AE28*0.5-AE29*2</f>
        <v>4.5</v>
      </c>
      <c r="AH28" s="323">
        <f t="shared" si="3"/>
        <v>0</v>
      </c>
      <c r="AI28" s="510"/>
      <c r="AJ28" s="1317">
        <v>1</v>
      </c>
      <c r="AK28" s="1826">
        <f>6-AJ28*0.5-AJ29*2</f>
        <v>5.5</v>
      </c>
      <c r="AL28" s="1444"/>
      <c r="AM28" s="330">
        <v>1</v>
      </c>
      <c r="AN28" s="1826">
        <f>6-AM28*0.5-AM29*2</f>
        <v>5.5</v>
      </c>
      <c r="AO28" s="1421"/>
      <c r="AP28" s="323">
        <f t="shared" si="34"/>
        <v>0</v>
      </c>
      <c r="AQ28" s="510"/>
      <c r="AR28" s="338">
        <v>1</v>
      </c>
      <c r="AS28" s="1826">
        <f>6-AR28*0.5-AR29*2</f>
        <v>5.5</v>
      </c>
      <c r="AT28" s="1444"/>
      <c r="AU28" s="338">
        <v>1</v>
      </c>
      <c r="AV28" s="1826">
        <f>6-AU28*0.5-AU29*2</f>
        <v>1.5</v>
      </c>
      <c r="AW28" s="1421"/>
      <c r="AX28" s="323">
        <f t="shared" si="35"/>
        <v>0</v>
      </c>
      <c r="AY28" s="510"/>
      <c r="AZ28" s="338">
        <v>3</v>
      </c>
      <c r="BA28" s="1826">
        <f>6-AZ28*0.5-AZ29*2</f>
        <v>4.5</v>
      </c>
      <c r="BB28" s="1444"/>
      <c r="BC28" s="338">
        <v>3</v>
      </c>
      <c r="BD28" s="1826">
        <f>6-BC28*0.5-BC29*2</f>
        <v>4.5</v>
      </c>
      <c r="BE28" s="1421"/>
      <c r="BF28" s="323">
        <f t="shared" si="6"/>
        <v>0</v>
      </c>
      <c r="BG28" s="510"/>
      <c r="BH28" s="1317">
        <v>3</v>
      </c>
      <c r="BI28" s="1826">
        <f>6-BH28*0.5-BH29*2</f>
        <v>4.5</v>
      </c>
      <c r="BJ28" s="1444"/>
      <c r="BK28" s="330">
        <v>3</v>
      </c>
      <c r="BL28" s="1826">
        <f>6-BK28*0.5-BK29*2</f>
        <v>4.5</v>
      </c>
      <c r="BM28" s="1421"/>
      <c r="BN28" s="323">
        <f t="shared" si="7"/>
        <v>0</v>
      </c>
      <c r="BO28" s="510"/>
      <c r="BP28" s="1317">
        <v>0</v>
      </c>
      <c r="BQ28" s="1826">
        <f>6-BP28*0.5-BP29*2</f>
        <v>6</v>
      </c>
      <c r="BR28" s="1444"/>
      <c r="BS28" s="330">
        <v>0</v>
      </c>
      <c r="BT28" s="1826">
        <f>6-BS28*0.5-BS29*2</f>
        <v>6</v>
      </c>
      <c r="BU28" s="1421"/>
      <c r="BV28" s="323">
        <f t="shared" si="8"/>
        <v>0</v>
      </c>
      <c r="BW28" s="510"/>
      <c r="BX28" s="1317">
        <v>2</v>
      </c>
      <c r="BY28" s="1826">
        <f>6-BX28*0.5-BX29*2</f>
        <v>5</v>
      </c>
      <c r="BZ28" s="1444"/>
      <c r="CA28" s="330">
        <v>2</v>
      </c>
      <c r="CB28" s="1826">
        <f>6-CA28*0.5-CA29*2</f>
        <v>5</v>
      </c>
      <c r="CC28" s="1421"/>
      <c r="CD28" s="323">
        <f t="shared" si="9"/>
        <v>0</v>
      </c>
      <c r="CE28" s="510"/>
      <c r="CF28" s="1317">
        <v>0</v>
      </c>
      <c r="CG28" s="1826">
        <f>6-CF28*0.5-CF29*2</f>
        <v>6</v>
      </c>
      <c r="CH28" s="1444"/>
      <c r="CI28" s="330">
        <v>0</v>
      </c>
      <c r="CJ28" s="1826">
        <f>6-CI28*0.5-CI29*2</f>
        <v>6</v>
      </c>
      <c r="CK28" s="1421"/>
      <c r="CL28" s="323">
        <f t="shared" si="10"/>
        <v>0</v>
      </c>
      <c r="CM28" s="510"/>
      <c r="CN28" s="338">
        <v>1</v>
      </c>
      <c r="CO28" s="1826">
        <f>6-CN28*0.5-CN29*2</f>
        <v>5.5</v>
      </c>
      <c r="CP28" s="1444"/>
      <c r="CQ28" s="338">
        <v>1</v>
      </c>
      <c r="CR28" s="1826">
        <f>6-CQ28*0.5-CQ29*2</f>
        <v>5.5</v>
      </c>
      <c r="CS28" s="1421"/>
      <c r="CT28" s="323">
        <f t="shared" si="36"/>
        <v>0</v>
      </c>
      <c r="CU28" s="315"/>
      <c r="CX28" s="506" t="s">
        <v>1595</v>
      </c>
      <c r="CY28" s="521">
        <v>0</v>
      </c>
      <c r="CZ28" s="522">
        <f t="shared" si="25"/>
        <v>4.8499999999999996</v>
      </c>
      <c r="DA28" s="521">
        <v>1</v>
      </c>
      <c r="DB28" s="523">
        <v>5.6</v>
      </c>
      <c r="DC28" s="521">
        <v>1</v>
      </c>
      <c r="DD28" s="523">
        <v>6</v>
      </c>
      <c r="DE28" s="521">
        <v>1</v>
      </c>
      <c r="DF28" s="523">
        <v>5.95</v>
      </c>
      <c r="DG28" s="521">
        <v>1</v>
      </c>
      <c r="DH28" s="523">
        <v>5.95</v>
      </c>
      <c r="DI28" s="521">
        <v>1</v>
      </c>
      <c r="DJ28" s="523">
        <v>6</v>
      </c>
      <c r="DK28" s="521">
        <v>0</v>
      </c>
      <c r="DL28" s="522">
        <f t="shared" si="18"/>
        <v>4.8499999999999996</v>
      </c>
      <c r="DM28" s="506">
        <f t="shared" si="24"/>
        <v>39.35</v>
      </c>
      <c r="DN28" s="313"/>
      <c r="DO28" s="313"/>
      <c r="DP28" s="313"/>
      <c r="DQ28" s="313"/>
      <c r="DR28" s="313"/>
      <c r="DS28" s="313"/>
      <c r="DT28" s="313"/>
      <c r="DU28" s="313"/>
      <c r="DV28" s="313"/>
      <c r="DW28" s="313"/>
    </row>
    <row r="29" spans="1:127" s="2" customFormat="1" ht="18" customHeight="1">
      <c r="A29" s="1855"/>
      <c r="B29" s="1859"/>
      <c r="C29" s="23">
        <v>11</v>
      </c>
      <c r="D29" s="998" t="s">
        <v>2381</v>
      </c>
      <c r="E29" s="482" t="s">
        <v>1199</v>
      </c>
      <c r="F29" s="328" t="s">
        <v>1231</v>
      </c>
      <c r="G29" s="336" t="s">
        <v>477</v>
      </c>
      <c r="H29" s="334" t="s">
        <v>282</v>
      </c>
      <c r="I29" s="1849"/>
      <c r="J29" s="647">
        <f t="shared" si="31"/>
        <v>0</v>
      </c>
      <c r="K29" s="1866"/>
      <c r="L29" s="647">
        <f t="shared" si="32"/>
        <v>0.2</v>
      </c>
      <c r="M29" s="1866"/>
      <c r="N29" s="1868"/>
      <c r="O29" s="500">
        <f t="shared" si="1"/>
        <v>0</v>
      </c>
      <c r="P29" s="500">
        <f t="shared" si="21"/>
        <v>0</v>
      </c>
      <c r="Q29" s="816">
        <f t="shared" si="22"/>
        <v>0</v>
      </c>
      <c r="R29" s="815">
        <f t="shared" si="23"/>
        <v>0</v>
      </c>
      <c r="S29" s="510"/>
      <c r="T29" s="1317">
        <v>0</v>
      </c>
      <c r="U29" s="1826"/>
      <c r="V29" s="1444"/>
      <c r="W29" s="330">
        <v>0</v>
      </c>
      <c r="X29" s="1424"/>
      <c r="Y29" s="1826"/>
      <c r="Z29" s="323">
        <f t="shared" si="33"/>
        <v>0</v>
      </c>
      <c r="AA29" s="510"/>
      <c r="AB29" s="1317">
        <v>0</v>
      </c>
      <c r="AC29" s="1826"/>
      <c r="AD29" s="1444"/>
      <c r="AE29" s="330">
        <v>0</v>
      </c>
      <c r="AF29" s="1424"/>
      <c r="AG29" s="1826"/>
      <c r="AH29" s="323">
        <f t="shared" si="3"/>
        <v>0</v>
      </c>
      <c r="AI29" s="510"/>
      <c r="AJ29" s="1317">
        <v>0</v>
      </c>
      <c r="AK29" s="1826"/>
      <c r="AL29" s="1444"/>
      <c r="AM29" s="330">
        <v>0</v>
      </c>
      <c r="AN29" s="1826"/>
      <c r="AO29" s="1421"/>
      <c r="AP29" s="323">
        <f t="shared" si="34"/>
        <v>0</v>
      </c>
      <c r="AQ29" s="510"/>
      <c r="AR29" s="338">
        <v>0</v>
      </c>
      <c r="AS29" s="1826"/>
      <c r="AT29" s="1444"/>
      <c r="AU29" s="338">
        <v>2</v>
      </c>
      <c r="AV29" s="1826"/>
      <c r="AW29" s="1421"/>
      <c r="AX29" s="323">
        <f t="shared" si="35"/>
        <v>1</v>
      </c>
      <c r="AY29" s="510"/>
      <c r="AZ29" s="338">
        <v>0</v>
      </c>
      <c r="BA29" s="1826"/>
      <c r="BB29" s="1444"/>
      <c r="BC29" s="338">
        <v>0</v>
      </c>
      <c r="BD29" s="1826"/>
      <c r="BE29" s="1421"/>
      <c r="BF29" s="323">
        <f t="shared" si="6"/>
        <v>0</v>
      </c>
      <c r="BG29" s="510"/>
      <c r="BH29" s="1317">
        <v>0</v>
      </c>
      <c r="BI29" s="1826"/>
      <c r="BJ29" s="1444"/>
      <c r="BK29" s="330">
        <v>0</v>
      </c>
      <c r="BL29" s="1826"/>
      <c r="BM29" s="1421"/>
      <c r="BN29" s="323">
        <f t="shared" si="7"/>
        <v>0</v>
      </c>
      <c r="BO29" s="510"/>
      <c r="BP29" s="1317">
        <v>0</v>
      </c>
      <c r="BQ29" s="1826"/>
      <c r="BR29" s="1444"/>
      <c r="BS29" s="330">
        <v>0</v>
      </c>
      <c r="BT29" s="1826"/>
      <c r="BU29" s="1421"/>
      <c r="BV29" s="323">
        <f t="shared" si="8"/>
        <v>0</v>
      </c>
      <c r="BW29" s="510"/>
      <c r="BX29" s="1317">
        <v>0</v>
      </c>
      <c r="BY29" s="1826"/>
      <c r="BZ29" s="1444"/>
      <c r="CA29" s="330">
        <v>0</v>
      </c>
      <c r="CB29" s="1826"/>
      <c r="CC29" s="1421"/>
      <c r="CD29" s="323">
        <f t="shared" si="9"/>
        <v>0</v>
      </c>
      <c r="CE29" s="510"/>
      <c r="CF29" s="1317">
        <v>0</v>
      </c>
      <c r="CG29" s="1826"/>
      <c r="CH29" s="1444"/>
      <c r="CI29" s="330">
        <v>0</v>
      </c>
      <c r="CJ29" s="1826"/>
      <c r="CK29" s="1421"/>
      <c r="CL29" s="323">
        <f t="shared" si="10"/>
        <v>0</v>
      </c>
      <c r="CM29" s="510"/>
      <c r="CN29" s="338">
        <v>0</v>
      </c>
      <c r="CO29" s="1826"/>
      <c r="CP29" s="1444"/>
      <c r="CQ29" s="338">
        <v>0</v>
      </c>
      <c r="CR29" s="1826"/>
      <c r="CS29" s="1421"/>
      <c r="CT29" s="323">
        <f t="shared" si="36"/>
        <v>0</v>
      </c>
      <c r="CU29" s="315"/>
      <c r="CX29" s="506" t="s">
        <v>1595</v>
      </c>
      <c r="CY29" s="521">
        <v>0</v>
      </c>
      <c r="CZ29" s="522">
        <f t="shared" si="25"/>
        <v>0</v>
      </c>
      <c r="DA29" s="521">
        <v>1</v>
      </c>
      <c r="DB29" s="522">
        <f t="shared" ref="DB29:DB34" si="37">$M29</f>
        <v>0</v>
      </c>
      <c r="DC29" s="521">
        <v>1</v>
      </c>
      <c r="DD29" s="522">
        <f t="shared" ref="DD29:DD34" si="38">$M29</f>
        <v>0</v>
      </c>
      <c r="DE29" s="521">
        <v>1</v>
      </c>
      <c r="DF29" s="522">
        <f t="shared" ref="DF29:DF34" si="39">$M29</f>
        <v>0</v>
      </c>
      <c r="DG29" s="521">
        <v>1</v>
      </c>
      <c r="DH29" s="522">
        <f t="shared" ref="DH29:DH34" si="40">$M29</f>
        <v>0</v>
      </c>
      <c r="DI29" s="521">
        <v>1</v>
      </c>
      <c r="DJ29" s="522">
        <f t="shared" ref="DJ29:DJ34" si="41">$M29</f>
        <v>0</v>
      </c>
      <c r="DK29" s="521">
        <v>0</v>
      </c>
      <c r="DL29" s="522">
        <f t="shared" si="18"/>
        <v>0</v>
      </c>
      <c r="DM29" s="506">
        <f t="shared" si="24"/>
        <v>5</v>
      </c>
      <c r="DN29" s="313"/>
      <c r="DO29" s="313"/>
      <c r="DP29" s="313"/>
      <c r="DQ29" s="313"/>
      <c r="DR29" s="313"/>
      <c r="DS29" s="313"/>
      <c r="DT29" s="313"/>
      <c r="DU29" s="313"/>
      <c r="DV29" s="313"/>
      <c r="DW29" s="313"/>
    </row>
    <row r="30" spans="1:127" s="2" customFormat="1" ht="28.5">
      <c r="A30" s="1857" t="s">
        <v>1233</v>
      </c>
      <c r="B30" s="1858" t="s">
        <v>2415</v>
      </c>
      <c r="C30" s="23">
        <v>12</v>
      </c>
      <c r="D30" s="329" t="s">
        <v>1232</v>
      </c>
      <c r="E30" s="482" t="s">
        <v>1199</v>
      </c>
      <c r="F30" s="328" t="s">
        <v>1231</v>
      </c>
      <c r="G30" s="336" t="s">
        <v>1208</v>
      </c>
      <c r="H30" s="334" t="s">
        <v>282</v>
      </c>
      <c r="I30" s="1849">
        <v>6</v>
      </c>
      <c r="J30" s="647">
        <f t="shared" si="31"/>
        <v>0</v>
      </c>
      <c r="K30" s="651">
        <f>AVERAGE(CO30,CG30,BY30,BQ30,BI30,BA30,AS30,AK30,AC30,U30)</f>
        <v>6</v>
      </c>
      <c r="L30" s="647">
        <f t="shared" si="32"/>
        <v>0</v>
      </c>
      <c r="M30" s="501">
        <f>AVERAGE(CR30,CJ30,CB30,BT30,BL30,BD30,AV30,AN30,AG30,Y30)</f>
        <v>6</v>
      </c>
      <c r="N30" s="502">
        <f t="shared" si="20"/>
        <v>0</v>
      </c>
      <c r="O30" s="500">
        <f t="shared" si="1"/>
        <v>0</v>
      </c>
      <c r="P30" s="500">
        <f t="shared" si="21"/>
        <v>0</v>
      </c>
      <c r="Q30" s="816">
        <f t="shared" si="22"/>
        <v>0</v>
      </c>
      <c r="R30" s="815">
        <f t="shared" si="23"/>
        <v>0</v>
      </c>
      <c r="S30" s="510"/>
      <c r="T30" s="1317">
        <v>0</v>
      </c>
      <c r="U30" s="1826">
        <f>6-T30*0.5-T31*2</f>
        <v>6</v>
      </c>
      <c r="V30" s="1444"/>
      <c r="W30" s="330">
        <v>0</v>
      </c>
      <c r="X30" s="1424"/>
      <c r="Y30" s="1826">
        <f>6-W30*0.5-W31*2</f>
        <v>6</v>
      </c>
      <c r="Z30" s="323">
        <f t="shared" si="33"/>
        <v>0</v>
      </c>
      <c r="AA30" s="510"/>
      <c r="AB30" s="1317">
        <v>0</v>
      </c>
      <c r="AC30" s="1826">
        <f>6-AB30*0.5-AB31*2</f>
        <v>6</v>
      </c>
      <c r="AD30" s="1444"/>
      <c r="AE30" s="330">
        <v>0</v>
      </c>
      <c r="AF30" s="1424"/>
      <c r="AG30" s="1826">
        <f>6-AE30*0.5-AE31*2</f>
        <v>6</v>
      </c>
      <c r="AH30" s="323">
        <f t="shared" si="3"/>
        <v>0</v>
      </c>
      <c r="AI30" s="510"/>
      <c r="AJ30" s="1317">
        <v>0</v>
      </c>
      <c r="AK30" s="1826">
        <f>6-AJ30*0.5-AJ31*2</f>
        <v>6</v>
      </c>
      <c r="AL30" s="1444"/>
      <c r="AM30" s="330">
        <v>0</v>
      </c>
      <c r="AN30" s="1826">
        <f>6-AM30*0.5-AM31*2</f>
        <v>6</v>
      </c>
      <c r="AO30" s="1421"/>
      <c r="AP30" s="323">
        <f t="shared" si="34"/>
        <v>0</v>
      </c>
      <c r="AQ30" s="510"/>
      <c r="AR30" s="338">
        <v>0</v>
      </c>
      <c r="AS30" s="1826">
        <f>6-AR30*0.5-AR31*2</f>
        <v>6</v>
      </c>
      <c r="AT30" s="1444"/>
      <c r="AU30" s="338">
        <v>0</v>
      </c>
      <c r="AV30" s="1826">
        <f>6-AU30*0.5-AU31*2</f>
        <v>6</v>
      </c>
      <c r="AW30" s="1421"/>
      <c r="AX30" s="323">
        <f t="shared" si="35"/>
        <v>0</v>
      </c>
      <c r="AY30" s="510"/>
      <c r="AZ30" s="338">
        <v>0</v>
      </c>
      <c r="BA30" s="1826">
        <f>6-AZ30*0.5-AZ31*2</f>
        <v>6</v>
      </c>
      <c r="BB30" s="1444"/>
      <c r="BC30" s="338">
        <v>0</v>
      </c>
      <c r="BD30" s="1826">
        <f>6-BC30*0.5-BC31*2</f>
        <v>6</v>
      </c>
      <c r="BE30" s="1421"/>
      <c r="BF30" s="323">
        <f t="shared" si="6"/>
        <v>0</v>
      </c>
      <c r="BG30" s="510"/>
      <c r="BH30" s="1317">
        <v>0</v>
      </c>
      <c r="BI30" s="1826">
        <f>6-BH30*0.5-BH31*2</f>
        <v>6</v>
      </c>
      <c r="BJ30" s="1444"/>
      <c r="BK30" s="330">
        <v>0</v>
      </c>
      <c r="BL30" s="1826">
        <f>6-BK30*0.5-BK31*2</f>
        <v>6</v>
      </c>
      <c r="BM30" s="1421"/>
      <c r="BN30" s="323">
        <f t="shared" si="7"/>
        <v>0</v>
      </c>
      <c r="BO30" s="510"/>
      <c r="BP30" s="1317">
        <v>0</v>
      </c>
      <c r="BQ30" s="1826">
        <f>6-BP30*0.5-BP31*2</f>
        <v>6</v>
      </c>
      <c r="BR30" s="1444"/>
      <c r="BS30" s="330">
        <v>0</v>
      </c>
      <c r="BT30" s="1826">
        <f>6-BS30*0.5-BS31*2</f>
        <v>6</v>
      </c>
      <c r="BU30" s="1421"/>
      <c r="BV30" s="323">
        <f t="shared" si="8"/>
        <v>0</v>
      </c>
      <c r="BW30" s="510"/>
      <c r="BX30" s="1317">
        <v>0</v>
      </c>
      <c r="BY30" s="1826">
        <f>6-BX30*0.5-BX31*2</f>
        <v>6</v>
      </c>
      <c r="BZ30" s="1444"/>
      <c r="CA30" s="330">
        <v>0</v>
      </c>
      <c r="CB30" s="1826">
        <f>6-CA30*0.5-CA31*2</f>
        <v>6</v>
      </c>
      <c r="CC30" s="1421"/>
      <c r="CD30" s="323">
        <f t="shared" si="9"/>
        <v>0</v>
      </c>
      <c r="CE30" s="510"/>
      <c r="CF30" s="1317">
        <v>0</v>
      </c>
      <c r="CG30" s="1826">
        <f>6-CF30*0.5-CF31*2</f>
        <v>6</v>
      </c>
      <c r="CH30" s="1444"/>
      <c r="CI30" s="330">
        <v>0</v>
      </c>
      <c r="CJ30" s="1826">
        <f>6-CI30*0.5-CI31*2</f>
        <v>6</v>
      </c>
      <c r="CK30" s="1421"/>
      <c r="CL30" s="323">
        <f t="shared" si="10"/>
        <v>0</v>
      </c>
      <c r="CM30" s="510"/>
      <c r="CN30" s="338">
        <v>0</v>
      </c>
      <c r="CO30" s="1826">
        <f>6-CN30*0.5-CN31*2</f>
        <v>6</v>
      </c>
      <c r="CP30" s="1444"/>
      <c r="CQ30" s="338">
        <v>0</v>
      </c>
      <c r="CR30" s="1826">
        <f>6-CQ30*0.5-CQ31*2</f>
        <v>6</v>
      </c>
      <c r="CS30" s="1421"/>
      <c r="CT30" s="323">
        <f t="shared" si="36"/>
        <v>0</v>
      </c>
      <c r="CU30" s="315"/>
      <c r="CX30" s="506" t="s">
        <v>1595</v>
      </c>
      <c r="CY30" s="521">
        <v>0</v>
      </c>
      <c r="CZ30" s="522">
        <f t="shared" si="25"/>
        <v>6</v>
      </c>
      <c r="DA30" s="521">
        <v>1</v>
      </c>
      <c r="DB30" s="522">
        <f t="shared" si="37"/>
        <v>6</v>
      </c>
      <c r="DC30" s="521">
        <v>1</v>
      </c>
      <c r="DD30" s="522">
        <f t="shared" si="38"/>
        <v>6</v>
      </c>
      <c r="DE30" s="521">
        <v>1</v>
      </c>
      <c r="DF30" s="522">
        <f t="shared" si="39"/>
        <v>6</v>
      </c>
      <c r="DG30" s="521">
        <v>1</v>
      </c>
      <c r="DH30" s="522">
        <f t="shared" si="40"/>
        <v>6</v>
      </c>
      <c r="DI30" s="521">
        <v>0</v>
      </c>
      <c r="DJ30" s="522">
        <f t="shared" si="41"/>
        <v>6</v>
      </c>
      <c r="DK30" s="521">
        <v>0</v>
      </c>
      <c r="DL30" s="522">
        <f t="shared" si="18"/>
        <v>6</v>
      </c>
      <c r="DM30" s="506">
        <f t="shared" si="24"/>
        <v>40</v>
      </c>
      <c r="DN30" s="313"/>
      <c r="DO30" s="313"/>
      <c r="DP30" s="313"/>
      <c r="DQ30" s="313"/>
      <c r="DR30" s="313"/>
      <c r="DS30" s="313"/>
      <c r="DT30" s="313"/>
      <c r="DU30" s="313"/>
      <c r="DV30" s="313"/>
      <c r="DW30" s="313"/>
    </row>
    <row r="31" spans="1:127" s="2" customFormat="1" ht="28.5">
      <c r="A31" s="1855"/>
      <c r="B31" s="1859"/>
      <c r="C31" s="23">
        <v>13</v>
      </c>
      <c r="D31" s="329" t="s">
        <v>1234</v>
      </c>
      <c r="E31" s="482" t="s">
        <v>1199</v>
      </c>
      <c r="F31" s="328" t="s">
        <v>1231</v>
      </c>
      <c r="G31" s="336" t="s">
        <v>477</v>
      </c>
      <c r="H31" s="334" t="s">
        <v>282</v>
      </c>
      <c r="I31" s="1849"/>
      <c r="J31" s="647">
        <f t="shared" si="31"/>
        <v>0</v>
      </c>
      <c r="K31" s="651">
        <v>0</v>
      </c>
      <c r="L31" s="647">
        <f t="shared" si="32"/>
        <v>0</v>
      </c>
      <c r="M31" s="501"/>
      <c r="N31" s="502">
        <f t="shared" si="20"/>
        <v>0</v>
      </c>
      <c r="O31" s="500">
        <f t="shared" si="1"/>
        <v>0</v>
      </c>
      <c r="P31" s="500">
        <f t="shared" si="21"/>
        <v>0</v>
      </c>
      <c r="Q31" s="816">
        <f t="shared" si="22"/>
        <v>0</v>
      </c>
      <c r="R31" s="815">
        <f t="shared" si="23"/>
        <v>0</v>
      </c>
      <c r="S31" s="510"/>
      <c r="T31" s="1317">
        <v>0</v>
      </c>
      <c r="U31" s="1826"/>
      <c r="V31" s="1444"/>
      <c r="W31" s="330">
        <v>0</v>
      </c>
      <c r="X31" s="1424"/>
      <c r="Y31" s="1826"/>
      <c r="Z31" s="323">
        <f t="shared" si="33"/>
        <v>0</v>
      </c>
      <c r="AA31" s="510"/>
      <c r="AB31" s="1317">
        <v>0</v>
      </c>
      <c r="AC31" s="1826"/>
      <c r="AD31" s="1444"/>
      <c r="AE31" s="330">
        <v>0</v>
      </c>
      <c r="AF31" s="1424"/>
      <c r="AG31" s="1826"/>
      <c r="AH31" s="323">
        <f t="shared" si="3"/>
        <v>0</v>
      </c>
      <c r="AI31" s="510"/>
      <c r="AJ31" s="1317">
        <v>0</v>
      </c>
      <c r="AK31" s="1826"/>
      <c r="AL31" s="1444"/>
      <c r="AM31" s="330">
        <v>0</v>
      </c>
      <c r="AN31" s="1826"/>
      <c r="AO31" s="1421"/>
      <c r="AP31" s="323">
        <f t="shared" si="34"/>
        <v>0</v>
      </c>
      <c r="AQ31" s="510"/>
      <c r="AR31" s="338">
        <v>0</v>
      </c>
      <c r="AS31" s="1826"/>
      <c r="AT31" s="1444"/>
      <c r="AU31" s="338">
        <v>0</v>
      </c>
      <c r="AV31" s="1826"/>
      <c r="AW31" s="1421"/>
      <c r="AX31" s="323">
        <f t="shared" si="35"/>
        <v>0</v>
      </c>
      <c r="AY31" s="510"/>
      <c r="AZ31" s="338">
        <v>0</v>
      </c>
      <c r="BA31" s="1826"/>
      <c r="BB31" s="1444"/>
      <c r="BC31" s="338">
        <v>0</v>
      </c>
      <c r="BD31" s="1826"/>
      <c r="BE31" s="1421"/>
      <c r="BF31" s="323">
        <f t="shared" si="6"/>
        <v>0</v>
      </c>
      <c r="BG31" s="510"/>
      <c r="BH31" s="1317">
        <v>0</v>
      </c>
      <c r="BI31" s="1826"/>
      <c r="BJ31" s="1444"/>
      <c r="BK31" s="330">
        <v>0</v>
      </c>
      <c r="BL31" s="1826"/>
      <c r="BM31" s="1421"/>
      <c r="BN31" s="323">
        <f t="shared" si="7"/>
        <v>0</v>
      </c>
      <c r="BO31" s="510"/>
      <c r="BP31" s="1317">
        <v>0</v>
      </c>
      <c r="BQ31" s="1826"/>
      <c r="BR31" s="1444"/>
      <c r="BS31" s="330">
        <v>0</v>
      </c>
      <c r="BT31" s="1826"/>
      <c r="BU31" s="1421"/>
      <c r="BV31" s="323">
        <f t="shared" si="8"/>
        <v>0</v>
      </c>
      <c r="BW31" s="510"/>
      <c r="BX31" s="1317">
        <v>0</v>
      </c>
      <c r="BY31" s="1826"/>
      <c r="BZ31" s="1444"/>
      <c r="CA31" s="330">
        <v>0</v>
      </c>
      <c r="CB31" s="1826"/>
      <c r="CC31" s="1421"/>
      <c r="CD31" s="323">
        <f t="shared" si="9"/>
        <v>0</v>
      </c>
      <c r="CE31" s="510"/>
      <c r="CF31" s="1317">
        <v>0</v>
      </c>
      <c r="CG31" s="1826"/>
      <c r="CH31" s="1444"/>
      <c r="CI31" s="330">
        <v>0</v>
      </c>
      <c r="CJ31" s="1826"/>
      <c r="CK31" s="1421"/>
      <c r="CL31" s="323">
        <f t="shared" si="10"/>
        <v>0</v>
      </c>
      <c r="CM31" s="510"/>
      <c r="CN31" s="338">
        <v>0</v>
      </c>
      <c r="CO31" s="1826"/>
      <c r="CP31" s="1444"/>
      <c r="CQ31" s="338">
        <v>0</v>
      </c>
      <c r="CR31" s="1826"/>
      <c r="CS31" s="1421"/>
      <c r="CT31" s="323">
        <f t="shared" si="36"/>
        <v>0</v>
      </c>
      <c r="CU31" s="315"/>
      <c r="CX31" s="506" t="s">
        <v>1595</v>
      </c>
      <c r="CY31" s="521">
        <v>0</v>
      </c>
      <c r="CZ31" s="522">
        <f t="shared" si="25"/>
        <v>0</v>
      </c>
      <c r="DA31" s="521"/>
      <c r="DB31" s="522">
        <f t="shared" si="37"/>
        <v>0</v>
      </c>
      <c r="DC31" s="521">
        <v>1</v>
      </c>
      <c r="DD31" s="522">
        <f t="shared" si="38"/>
        <v>0</v>
      </c>
      <c r="DE31" s="521">
        <v>1</v>
      </c>
      <c r="DF31" s="522">
        <f t="shared" si="39"/>
        <v>0</v>
      </c>
      <c r="DG31" s="521">
        <v>1</v>
      </c>
      <c r="DH31" s="522">
        <f t="shared" si="40"/>
        <v>0</v>
      </c>
      <c r="DI31" s="521">
        <v>0</v>
      </c>
      <c r="DJ31" s="522">
        <f t="shared" si="41"/>
        <v>0</v>
      </c>
      <c r="DK31" s="521">
        <v>0</v>
      </c>
      <c r="DL31" s="522">
        <f t="shared" si="18"/>
        <v>0</v>
      </c>
      <c r="DM31" s="506">
        <f t="shared" si="24"/>
        <v>3</v>
      </c>
      <c r="DN31" s="313"/>
      <c r="DO31" s="313"/>
      <c r="DP31" s="313"/>
      <c r="DQ31" s="313"/>
      <c r="DR31" s="313"/>
      <c r="DS31" s="313"/>
      <c r="DT31" s="313"/>
      <c r="DU31" s="313"/>
      <c r="DV31" s="313"/>
      <c r="DW31" s="313"/>
    </row>
    <row r="32" spans="1:127" s="2" customFormat="1" ht="17.25" customHeight="1">
      <c r="A32" s="1852" t="s">
        <v>1997</v>
      </c>
      <c r="B32" s="1853" t="s">
        <v>2382</v>
      </c>
      <c r="C32" s="23">
        <v>14</v>
      </c>
      <c r="D32" s="998" t="s">
        <v>1746</v>
      </c>
      <c r="E32" s="482" t="s">
        <v>1199</v>
      </c>
      <c r="F32" s="328" t="s">
        <v>1231</v>
      </c>
      <c r="G32" s="336" t="s">
        <v>1208</v>
      </c>
      <c r="H32" s="334" t="s">
        <v>282</v>
      </c>
      <c r="I32" s="1849">
        <v>6</v>
      </c>
      <c r="J32" s="647">
        <f t="shared" si="31"/>
        <v>0.1</v>
      </c>
      <c r="K32" s="1334">
        <f>AVERAGE(CO32,CG32,BY32,BQ32,BI32,BA32,AS32,AK32,AC32,U32)</f>
        <v>5.7</v>
      </c>
      <c r="L32" s="647">
        <f t="shared" si="32"/>
        <v>0.1</v>
      </c>
      <c r="M32" s="1333">
        <f>AVERAGE(CR32,CJ32,CB32,BT32,BL32,BD32,AV32,AN32,AG32,Y32)</f>
        <v>5.7</v>
      </c>
      <c r="N32" s="1012">
        <f t="shared" si="20"/>
        <v>0</v>
      </c>
      <c r="O32" s="500">
        <f t="shared" si="1"/>
        <v>0.29999999999999982</v>
      </c>
      <c r="P32" s="500">
        <f t="shared" si="21"/>
        <v>0.20999999999999985</v>
      </c>
      <c r="Q32" s="816">
        <f t="shared" si="22"/>
        <v>2.3333333333333317E-2</v>
      </c>
      <c r="R32" s="815">
        <f t="shared" si="23"/>
        <v>1.1666666666666659E-2</v>
      </c>
      <c r="S32" s="510"/>
      <c r="T32" s="1317">
        <v>0</v>
      </c>
      <c r="U32" s="1826">
        <f>6-T32*3-T33*3</f>
        <v>6</v>
      </c>
      <c r="V32" s="1444"/>
      <c r="W32" s="330">
        <v>0</v>
      </c>
      <c r="X32" s="1424"/>
      <c r="Y32" s="1826">
        <f>6-W32*3-W33*3</f>
        <v>6</v>
      </c>
      <c r="Z32" s="323">
        <f t="shared" si="33"/>
        <v>0</v>
      </c>
      <c r="AA32" s="510"/>
      <c r="AB32" s="1317">
        <v>0</v>
      </c>
      <c r="AC32" s="1826">
        <f>6-AB32*3-AB33*3</f>
        <v>6</v>
      </c>
      <c r="AD32" s="1444"/>
      <c r="AE32" s="330">
        <v>0</v>
      </c>
      <c r="AF32" s="1424"/>
      <c r="AG32" s="1826">
        <f>6-AE32*3-AE33*3</f>
        <v>6</v>
      </c>
      <c r="AH32" s="323">
        <f t="shared" si="3"/>
        <v>0</v>
      </c>
      <c r="AI32" s="510"/>
      <c r="AJ32" s="1317">
        <v>0</v>
      </c>
      <c r="AK32" s="1826">
        <f>6-AJ32*3-AJ33*3</f>
        <v>6</v>
      </c>
      <c r="AL32" s="1444"/>
      <c r="AM32" s="330">
        <v>0</v>
      </c>
      <c r="AN32" s="1826">
        <f>6-AM32*3-AM33*3</f>
        <v>6</v>
      </c>
      <c r="AO32" s="1421"/>
      <c r="AP32" s="323">
        <f t="shared" si="34"/>
        <v>0</v>
      </c>
      <c r="AQ32" s="510"/>
      <c r="AR32" s="338">
        <v>0</v>
      </c>
      <c r="AS32" s="1826">
        <f>6-AR32*3-AR33*3</f>
        <v>6</v>
      </c>
      <c r="AT32" s="1444"/>
      <c r="AU32" s="338">
        <v>0</v>
      </c>
      <c r="AV32" s="1826">
        <f>6-AU32*3-AU33*3</f>
        <v>6</v>
      </c>
      <c r="AW32" s="1421"/>
      <c r="AX32" s="323">
        <f t="shared" si="35"/>
        <v>0</v>
      </c>
      <c r="AY32" s="510"/>
      <c r="AZ32" s="338">
        <v>0</v>
      </c>
      <c r="BA32" s="1826">
        <f>6-AZ32*3-AZ33*3</f>
        <v>6</v>
      </c>
      <c r="BB32" s="1444"/>
      <c r="BC32" s="338">
        <v>0</v>
      </c>
      <c r="BD32" s="1826">
        <f>6-BC32*3-BC33*3</f>
        <v>6</v>
      </c>
      <c r="BE32" s="1421"/>
      <c r="BF32" s="323">
        <f t="shared" si="6"/>
        <v>0</v>
      </c>
      <c r="BG32" s="510"/>
      <c r="BH32" s="1317">
        <v>1</v>
      </c>
      <c r="BI32" s="1826">
        <f>6-BH32*3-BH33*3</f>
        <v>3</v>
      </c>
      <c r="BJ32" s="1444"/>
      <c r="BK32" s="330">
        <v>1</v>
      </c>
      <c r="BL32" s="1826">
        <f>6-BK32*3-BK33*3</f>
        <v>3</v>
      </c>
      <c r="BM32" s="1421"/>
      <c r="BN32" s="323">
        <f t="shared" si="7"/>
        <v>0</v>
      </c>
      <c r="BO32" s="510"/>
      <c r="BP32" s="1317">
        <v>0</v>
      </c>
      <c r="BQ32" s="1826">
        <f>6-BP32*3-BP33*3</f>
        <v>6</v>
      </c>
      <c r="BR32" s="1444"/>
      <c r="BS32" s="330">
        <v>0</v>
      </c>
      <c r="BT32" s="1826">
        <f>6-BS32*3-BS33*3</f>
        <v>6</v>
      </c>
      <c r="BU32" s="1421"/>
      <c r="BV32" s="323">
        <f t="shared" si="8"/>
        <v>0</v>
      </c>
      <c r="BW32" s="510"/>
      <c r="BX32" s="1317">
        <v>0</v>
      </c>
      <c r="BY32" s="1826">
        <f>6-BX32*3-BX33*3</f>
        <v>6</v>
      </c>
      <c r="BZ32" s="1444"/>
      <c r="CA32" s="330">
        <v>0</v>
      </c>
      <c r="CB32" s="1826">
        <f>6-CA32*3-CA33*3</f>
        <v>6</v>
      </c>
      <c r="CC32" s="1421"/>
      <c r="CD32" s="323">
        <f t="shared" si="9"/>
        <v>0</v>
      </c>
      <c r="CE32" s="510"/>
      <c r="CF32" s="1317">
        <v>0</v>
      </c>
      <c r="CG32" s="1826">
        <f>6-CF32*3-CF33*3</f>
        <v>6</v>
      </c>
      <c r="CH32" s="1444"/>
      <c r="CI32" s="330">
        <v>0</v>
      </c>
      <c r="CJ32" s="1826">
        <f>6-CI32*3-CI33*3</f>
        <v>6</v>
      </c>
      <c r="CK32" s="1421"/>
      <c r="CL32" s="323">
        <f t="shared" si="10"/>
        <v>0</v>
      </c>
      <c r="CM32" s="510"/>
      <c r="CN32" s="338">
        <v>0</v>
      </c>
      <c r="CO32" s="1826">
        <f>6-CN32*3-CN33*3</f>
        <v>6</v>
      </c>
      <c r="CP32" s="1444"/>
      <c r="CQ32" s="338">
        <v>0</v>
      </c>
      <c r="CR32" s="1826">
        <f>6-CQ32*3-CQ33*3</f>
        <v>6</v>
      </c>
      <c r="CS32" s="1421"/>
      <c r="CT32" s="323">
        <f t="shared" si="36"/>
        <v>0</v>
      </c>
      <c r="CU32" s="315"/>
      <c r="CX32" s="506" t="s">
        <v>1595</v>
      </c>
      <c r="CY32" s="521">
        <v>0</v>
      </c>
      <c r="CZ32" s="522">
        <f t="shared" si="25"/>
        <v>5.7</v>
      </c>
      <c r="DA32" s="521">
        <v>1</v>
      </c>
      <c r="DB32" s="522">
        <f t="shared" si="37"/>
        <v>5.7</v>
      </c>
      <c r="DC32" s="521">
        <v>1</v>
      </c>
      <c r="DD32" s="522">
        <f t="shared" si="38"/>
        <v>5.7</v>
      </c>
      <c r="DE32" s="521">
        <v>1</v>
      </c>
      <c r="DF32" s="522">
        <f t="shared" si="39"/>
        <v>5.7</v>
      </c>
      <c r="DG32" s="521">
        <v>1</v>
      </c>
      <c r="DH32" s="522">
        <f t="shared" si="40"/>
        <v>5.7</v>
      </c>
      <c r="DI32" s="521">
        <v>1</v>
      </c>
      <c r="DJ32" s="522">
        <f t="shared" si="41"/>
        <v>5.7</v>
      </c>
      <c r="DK32" s="521">
        <v>0</v>
      </c>
      <c r="DL32" s="522">
        <f t="shared" si="18"/>
        <v>5.7</v>
      </c>
      <c r="DM32" s="506">
        <f t="shared" si="24"/>
        <v>39.200000000000003</v>
      </c>
      <c r="DN32" s="313"/>
      <c r="DO32" s="313"/>
      <c r="DP32" s="313"/>
      <c r="DQ32" s="313"/>
      <c r="DR32" s="313"/>
      <c r="DS32" s="313"/>
      <c r="DT32" s="313"/>
      <c r="DU32" s="313"/>
      <c r="DV32" s="313"/>
      <c r="DW32" s="313"/>
    </row>
    <row r="33" spans="1:127" s="2" customFormat="1" ht="28.5">
      <c r="A33" s="1852"/>
      <c r="B33" s="1853"/>
      <c r="C33" s="23">
        <v>15</v>
      </c>
      <c r="D33" s="329" t="s">
        <v>2409</v>
      </c>
      <c r="E33" s="482" t="s">
        <v>1199</v>
      </c>
      <c r="F33" s="328" t="s">
        <v>1231</v>
      </c>
      <c r="G33" s="336" t="s">
        <v>477</v>
      </c>
      <c r="H33" s="334" t="s">
        <v>282</v>
      </c>
      <c r="I33" s="1849"/>
      <c r="J33" s="647">
        <f t="shared" si="31"/>
        <v>0</v>
      </c>
      <c r="K33" s="651">
        <v>0</v>
      </c>
      <c r="L33" s="647">
        <f t="shared" si="32"/>
        <v>0</v>
      </c>
      <c r="M33" s="501"/>
      <c r="N33" s="502">
        <f t="shared" si="20"/>
        <v>0</v>
      </c>
      <c r="O33" s="500">
        <f t="shared" si="1"/>
        <v>0</v>
      </c>
      <c r="P33" s="500">
        <f t="shared" si="21"/>
        <v>0</v>
      </c>
      <c r="Q33" s="816">
        <f t="shared" si="22"/>
        <v>0</v>
      </c>
      <c r="R33" s="815">
        <f t="shared" si="23"/>
        <v>0</v>
      </c>
      <c r="S33" s="510"/>
      <c r="T33" s="1317">
        <v>0</v>
      </c>
      <c r="U33" s="1826"/>
      <c r="V33" s="1444"/>
      <c r="W33" s="330">
        <v>0</v>
      </c>
      <c r="X33" s="1424"/>
      <c r="Y33" s="1826"/>
      <c r="Z33" s="323">
        <f t="shared" si="33"/>
        <v>0</v>
      </c>
      <c r="AA33" s="510"/>
      <c r="AB33" s="1317">
        <v>0</v>
      </c>
      <c r="AC33" s="1826"/>
      <c r="AD33" s="1444"/>
      <c r="AE33" s="330">
        <v>0</v>
      </c>
      <c r="AF33" s="1424"/>
      <c r="AG33" s="1826"/>
      <c r="AH33" s="323">
        <f t="shared" si="3"/>
        <v>0</v>
      </c>
      <c r="AI33" s="510"/>
      <c r="AJ33" s="1317">
        <v>0</v>
      </c>
      <c r="AK33" s="1826"/>
      <c r="AL33" s="1444"/>
      <c r="AM33" s="330">
        <v>0</v>
      </c>
      <c r="AN33" s="1826"/>
      <c r="AO33" s="1421"/>
      <c r="AP33" s="323">
        <f t="shared" si="34"/>
        <v>0</v>
      </c>
      <c r="AQ33" s="510"/>
      <c r="AR33" s="338">
        <v>0</v>
      </c>
      <c r="AS33" s="1826"/>
      <c r="AT33" s="1444"/>
      <c r="AU33" s="338">
        <v>0</v>
      </c>
      <c r="AV33" s="1826"/>
      <c r="AW33" s="1421"/>
      <c r="AX33" s="323">
        <f t="shared" si="35"/>
        <v>0</v>
      </c>
      <c r="AY33" s="510"/>
      <c r="AZ33" s="338">
        <v>0</v>
      </c>
      <c r="BA33" s="1826"/>
      <c r="BB33" s="1444"/>
      <c r="BC33" s="338">
        <v>0</v>
      </c>
      <c r="BD33" s="1826"/>
      <c r="BE33" s="1421"/>
      <c r="BF33" s="323">
        <f t="shared" si="6"/>
        <v>0</v>
      </c>
      <c r="BG33" s="510"/>
      <c r="BH33" s="1317">
        <v>0</v>
      </c>
      <c r="BI33" s="1826"/>
      <c r="BJ33" s="1444"/>
      <c r="BK33" s="330">
        <v>0</v>
      </c>
      <c r="BL33" s="1826"/>
      <c r="BM33" s="1421"/>
      <c r="BN33" s="323">
        <f t="shared" si="7"/>
        <v>0</v>
      </c>
      <c r="BO33" s="510"/>
      <c r="BP33" s="1317">
        <v>0</v>
      </c>
      <c r="BQ33" s="1826"/>
      <c r="BR33" s="1444"/>
      <c r="BS33" s="330">
        <v>0</v>
      </c>
      <c r="BT33" s="1826"/>
      <c r="BU33" s="1421"/>
      <c r="BV33" s="323">
        <f t="shared" si="8"/>
        <v>0</v>
      </c>
      <c r="BW33" s="510"/>
      <c r="BX33" s="1317">
        <v>0</v>
      </c>
      <c r="BY33" s="1826"/>
      <c r="BZ33" s="1444"/>
      <c r="CA33" s="330">
        <v>0</v>
      </c>
      <c r="CB33" s="1826"/>
      <c r="CC33" s="1421"/>
      <c r="CD33" s="323">
        <f t="shared" si="9"/>
        <v>0</v>
      </c>
      <c r="CE33" s="510"/>
      <c r="CF33" s="1317">
        <v>0</v>
      </c>
      <c r="CG33" s="1826"/>
      <c r="CH33" s="1444"/>
      <c r="CI33" s="330">
        <v>0</v>
      </c>
      <c r="CJ33" s="1826"/>
      <c r="CK33" s="1421"/>
      <c r="CL33" s="323">
        <f t="shared" si="10"/>
        <v>0</v>
      </c>
      <c r="CM33" s="510"/>
      <c r="CN33" s="338">
        <v>0</v>
      </c>
      <c r="CO33" s="1826"/>
      <c r="CP33" s="1444"/>
      <c r="CQ33" s="338">
        <v>0</v>
      </c>
      <c r="CR33" s="1826"/>
      <c r="CS33" s="1421"/>
      <c r="CT33" s="323">
        <f t="shared" si="36"/>
        <v>0</v>
      </c>
      <c r="CU33" s="315"/>
      <c r="CX33" s="506" t="s">
        <v>1595</v>
      </c>
      <c r="CY33" s="521">
        <v>0</v>
      </c>
      <c r="CZ33" s="522">
        <f t="shared" si="25"/>
        <v>0</v>
      </c>
      <c r="DA33" s="521">
        <v>1</v>
      </c>
      <c r="DB33" s="522">
        <f t="shared" si="37"/>
        <v>0</v>
      </c>
      <c r="DC33" s="521">
        <v>1</v>
      </c>
      <c r="DD33" s="522">
        <f t="shared" si="38"/>
        <v>0</v>
      </c>
      <c r="DE33" s="521">
        <v>1</v>
      </c>
      <c r="DF33" s="522">
        <f t="shared" si="39"/>
        <v>0</v>
      </c>
      <c r="DG33" s="521">
        <v>1</v>
      </c>
      <c r="DH33" s="522">
        <f t="shared" si="40"/>
        <v>0</v>
      </c>
      <c r="DI33" s="521">
        <v>1</v>
      </c>
      <c r="DJ33" s="522">
        <f t="shared" si="41"/>
        <v>0</v>
      </c>
      <c r="DK33" s="521">
        <v>0</v>
      </c>
      <c r="DL33" s="522">
        <f t="shared" si="18"/>
        <v>0</v>
      </c>
      <c r="DM33" s="506">
        <f t="shared" si="24"/>
        <v>5</v>
      </c>
      <c r="DN33" s="313"/>
      <c r="DO33" s="313"/>
      <c r="DP33" s="313"/>
      <c r="DQ33" s="313"/>
      <c r="DR33" s="313"/>
      <c r="DS33" s="313"/>
      <c r="DT33" s="313"/>
      <c r="DU33" s="313"/>
      <c r="DV33" s="313"/>
      <c r="DW33" s="313"/>
    </row>
    <row r="34" spans="1:127" s="77" customFormat="1">
      <c r="A34" s="337" t="s">
        <v>1235</v>
      </c>
      <c r="B34" s="337" t="s">
        <v>1236</v>
      </c>
      <c r="C34" s="23">
        <v>16</v>
      </c>
      <c r="D34" s="511" t="s">
        <v>1734</v>
      </c>
      <c r="E34" s="482" t="s">
        <v>1223</v>
      </c>
      <c r="F34" s="489"/>
      <c r="G34" s="489" t="s">
        <v>474</v>
      </c>
      <c r="H34" s="334" t="s">
        <v>282</v>
      </c>
      <c r="I34" s="487">
        <v>1</v>
      </c>
      <c r="J34" s="646" t="s">
        <v>1237</v>
      </c>
      <c r="K34" s="651">
        <f>AVERAGE(CO34,CG34,BY34,BQ34,BI34,BA34,AS34,AK34,AC34,U34)</f>
        <v>1</v>
      </c>
      <c r="L34" s="646" t="s">
        <v>1237</v>
      </c>
      <c r="M34" s="501">
        <f>AVERAGE(CR34,CJ34,CB34,BT34,BL34,BD34,AV34,AN34,AG34,Y34)</f>
        <v>1</v>
      </c>
      <c r="N34" s="502">
        <f t="shared" si="20"/>
        <v>0</v>
      </c>
      <c r="O34" s="500">
        <f t="shared" si="1"/>
        <v>0</v>
      </c>
      <c r="P34" s="500">
        <f t="shared" si="21"/>
        <v>0</v>
      </c>
      <c r="Q34" s="816">
        <f t="shared" si="22"/>
        <v>0</v>
      </c>
      <c r="R34" s="815">
        <f t="shared" si="23"/>
        <v>0</v>
      </c>
      <c r="S34" s="510" t="s">
        <v>1238</v>
      </c>
      <c r="T34" s="1317" t="s">
        <v>1237</v>
      </c>
      <c r="U34" s="610">
        <f>IF(LEFT(T34,1)="1",1,0)</f>
        <v>1</v>
      </c>
      <c r="V34" s="1444"/>
      <c r="W34" s="330" t="s">
        <v>1237</v>
      </c>
      <c r="X34" s="1424"/>
      <c r="Y34" s="610">
        <f>IF(LEFT(W34,1)="1",1,0)</f>
        <v>1</v>
      </c>
      <c r="Z34" s="323">
        <f>IF((W34=T34)=TRUE,0,1)</f>
        <v>0</v>
      </c>
      <c r="AA34" s="510"/>
      <c r="AB34" s="1317" t="s">
        <v>1237</v>
      </c>
      <c r="AC34" s="610">
        <f>IF(LEFT(AB34,1)="1",1,0)</f>
        <v>1</v>
      </c>
      <c r="AD34" s="1444"/>
      <c r="AE34" s="330" t="s">
        <v>1237</v>
      </c>
      <c r="AF34" s="1424"/>
      <c r="AG34" s="610">
        <f>IF(LEFT(AE34,1)="1",1,0)</f>
        <v>1</v>
      </c>
      <c r="AH34" s="323">
        <f>IF((AE34=AB34)=TRUE,0,1)</f>
        <v>0</v>
      </c>
      <c r="AI34" s="510"/>
      <c r="AJ34" s="1317" t="s">
        <v>1237</v>
      </c>
      <c r="AK34" s="610">
        <f>IF(LEFT(AJ34,1)="1",1,0)</f>
        <v>1</v>
      </c>
      <c r="AL34" s="1444"/>
      <c r="AM34" s="330" t="s">
        <v>1237</v>
      </c>
      <c r="AN34" s="610">
        <f>IF(LEFT(AM34,1)="1",1,0)</f>
        <v>1</v>
      </c>
      <c r="AO34" s="1421"/>
      <c r="AP34" s="323">
        <f>IF((AM34=AJ34)=TRUE,0,1)</f>
        <v>0</v>
      </c>
      <c r="AQ34" s="510"/>
      <c r="AR34" s="338" t="s">
        <v>1237</v>
      </c>
      <c r="AS34" s="610">
        <f>IF(LEFT(AR34,1)="1",1,0)</f>
        <v>1</v>
      </c>
      <c r="AT34" s="1444"/>
      <c r="AU34" s="338" t="s">
        <v>1237</v>
      </c>
      <c r="AV34" s="610">
        <f>IF(LEFT(AU34,1)="1",1,0)</f>
        <v>1</v>
      </c>
      <c r="AW34" s="1421"/>
      <c r="AX34" s="323">
        <f>IF((AU34=AR34)=TRUE,0,1)</f>
        <v>0</v>
      </c>
      <c r="AY34" s="510"/>
      <c r="AZ34" s="338" t="s">
        <v>1237</v>
      </c>
      <c r="BA34" s="610">
        <f>IF(LEFT(AZ34,1)="1",1,0)</f>
        <v>1</v>
      </c>
      <c r="BB34" s="1444"/>
      <c r="BC34" s="338" t="s">
        <v>1237</v>
      </c>
      <c r="BD34" s="610">
        <f>IF(LEFT(BC34,1)="1",1,0)</f>
        <v>1</v>
      </c>
      <c r="BE34" s="1421"/>
      <c r="BF34" s="323">
        <f>IF((BC34=AZ34)=TRUE,0,1)</f>
        <v>0</v>
      </c>
      <c r="BG34" s="510"/>
      <c r="BH34" s="1317" t="s">
        <v>1237</v>
      </c>
      <c r="BI34" s="610">
        <f>IF(LEFT(BH34,1)="1",1,0)</f>
        <v>1</v>
      </c>
      <c r="BJ34" s="1444"/>
      <c r="BK34" s="330" t="s">
        <v>1237</v>
      </c>
      <c r="BL34" s="610">
        <f>IF(LEFT(BK34,1)="1",1,0)</f>
        <v>1</v>
      </c>
      <c r="BM34" s="1421"/>
      <c r="BN34" s="323">
        <f>IF((BK34=BH34)=TRUE,0,1)</f>
        <v>0</v>
      </c>
      <c r="BO34" s="510"/>
      <c r="BP34" s="1317" t="s">
        <v>1237</v>
      </c>
      <c r="BQ34" s="610">
        <f>IF(LEFT(BP34,1)="1",1,0)</f>
        <v>1</v>
      </c>
      <c r="BR34" s="1444"/>
      <c r="BS34" s="330" t="s">
        <v>1237</v>
      </c>
      <c r="BT34" s="610">
        <f>IF(LEFT(BS34,1)="1",1,0)</f>
        <v>1</v>
      </c>
      <c r="BU34" s="1421"/>
      <c r="BV34" s="323">
        <f>IF((BS34=BP34)=TRUE,0,1)</f>
        <v>0</v>
      </c>
      <c r="BW34" s="510"/>
      <c r="BX34" s="1317" t="s">
        <v>1237</v>
      </c>
      <c r="BY34" s="610">
        <f>IF(LEFT(BX34,1)="1",1,0)</f>
        <v>1</v>
      </c>
      <c r="BZ34" s="1444"/>
      <c r="CA34" s="330" t="s">
        <v>1237</v>
      </c>
      <c r="CB34" s="610">
        <f>IF(LEFT(CA34,1)="1",1,0)</f>
        <v>1</v>
      </c>
      <c r="CC34" s="1421"/>
      <c r="CD34" s="323">
        <f>IF((CA34=BX34)=TRUE,0,1)</f>
        <v>0</v>
      </c>
      <c r="CE34" s="510"/>
      <c r="CF34" s="1317" t="s">
        <v>1237</v>
      </c>
      <c r="CG34" s="610">
        <f>IF(LEFT(CF34,1)="1",1,0)</f>
        <v>1</v>
      </c>
      <c r="CH34" s="1444"/>
      <c r="CI34" s="330" t="s">
        <v>1237</v>
      </c>
      <c r="CJ34" s="610">
        <f>IF(LEFT(CI34,1)="1",1,0)</f>
        <v>1</v>
      </c>
      <c r="CK34" s="1421"/>
      <c r="CL34" s="323">
        <f>IF((CI34=CF34)=TRUE,0,1)</f>
        <v>0</v>
      </c>
      <c r="CM34" s="510"/>
      <c r="CN34" s="338" t="s">
        <v>1237</v>
      </c>
      <c r="CO34" s="610">
        <f>IF(LEFT(CN34,1)="1",1,0)</f>
        <v>1</v>
      </c>
      <c r="CP34" s="1444"/>
      <c r="CQ34" s="338" t="s">
        <v>1237</v>
      </c>
      <c r="CR34" s="610">
        <f>IF(LEFT(CQ34,1)="1",1,0)</f>
        <v>1</v>
      </c>
      <c r="CS34" s="1421"/>
      <c r="CT34" s="323">
        <f>IF((CQ34=CN34)=TRUE,0,1)</f>
        <v>0</v>
      </c>
      <c r="CU34" s="315"/>
      <c r="CX34" s="506"/>
      <c r="CY34" s="521">
        <v>1</v>
      </c>
      <c r="CZ34" s="522">
        <f t="shared" si="25"/>
        <v>1</v>
      </c>
      <c r="DA34" s="521">
        <v>0</v>
      </c>
      <c r="DB34" s="522">
        <f t="shared" si="37"/>
        <v>1</v>
      </c>
      <c r="DC34" s="521">
        <v>0</v>
      </c>
      <c r="DD34" s="522">
        <f t="shared" si="38"/>
        <v>1</v>
      </c>
      <c r="DE34" s="521">
        <v>0</v>
      </c>
      <c r="DF34" s="522">
        <f t="shared" si="39"/>
        <v>1</v>
      </c>
      <c r="DG34" s="521">
        <v>0</v>
      </c>
      <c r="DH34" s="522">
        <f t="shared" si="40"/>
        <v>1</v>
      </c>
      <c r="DI34" s="521">
        <v>0</v>
      </c>
      <c r="DJ34" s="522">
        <f t="shared" si="41"/>
        <v>1</v>
      </c>
      <c r="DK34" s="521">
        <v>0</v>
      </c>
      <c r="DL34" s="522">
        <f t="shared" si="18"/>
        <v>1</v>
      </c>
      <c r="DM34" s="506">
        <f t="shared" si="24"/>
        <v>7</v>
      </c>
      <c r="DN34" s="313"/>
      <c r="DO34" s="313"/>
      <c r="DP34" s="313"/>
      <c r="DQ34" s="313"/>
      <c r="DR34" s="313"/>
      <c r="DS34" s="313"/>
      <c r="DT34" s="313"/>
      <c r="DU34" s="313"/>
      <c r="DV34" s="313"/>
      <c r="DW34" s="313"/>
    </row>
    <row r="35" spans="1:127" s="2" customFormat="1">
      <c r="A35" s="1854" t="s">
        <v>2377</v>
      </c>
      <c r="B35" s="1856" t="s">
        <v>1739</v>
      </c>
      <c r="C35" s="23">
        <v>17</v>
      </c>
      <c r="D35" s="329" t="s">
        <v>1239</v>
      </c>
      <c r="E35" s="481"/>
      <c r="F35" s="383"/>
      <c r="G35" s="383" t="s">
        <v>472</v>
      </c>
      <c r="H35" s="330" t="s">
        <v>282</v>
      </c>
      <c r="I35" s="382">
        <v>2</v>
      </c>
      <c r="J35" s="644">
        <f t="shared" ref="J35:J65" si="42">AVERAGE(CN35,CF35,BX35,BP35,BH35,AZ35,AR35,AJ35,AB35,T35)</f>
        <v>0.97441147734940059</v>
      </c>
      <c r="K35" s="651">
        <f>AVERAGE(CO35,CG35,BY35,BQ35,BI35,BA35,AS35,AK35,AC35,U35)</f>
        <v>2</v>
      </c>
      <c r="L35" s="644">
        <f t="shared" ref="L35:L65" si="43">AVERAGE(CQ35,CI35,CA35,BS35,BK35,BC35,AU35,AM35,AE35,W35)</f>
        <v>0.97710027386851872</v>
      </c>
      <c r="M35" s="501">
        <f>AVERAGE(CR35,CJ35,CB35,BT35,BL35,BD35,AV35,AN35,AG35,Y35)</f>
        <v>2</v>
      </c>
      <c r="N35" s="502">
        <f t="shared" si="20"/>
        <v>0</v>
      </c>
      <c r="O35" s="500">
        <f t="shared" si="1"/>
        <v>0</v>
      </c>
      <c r="P35" s="500">
        <f t="shared" si="21"/>
        <v>0</v>
      </c>
      <c r="Q35" s="816">
        <f t="shared" si="22"/>
        <v>0</v>
      </c>
      <c r="R35" s="815">
        <f t="shared" si="23"/>
        <v>0</v>
      </c>
      <c r="S35" s="510"/>
      <c r="T35" s="1316">
        <f>IF(T37=0,"",T36/T37)</f>
        <v>0.96267696267696268</v>
      </c>
      <c r="U35" s="332">
        <f>IF(T35&gt;0.9,2,IF(T35&gt;0.8,1,IF(T35&gt;0.7,0.5,0)))</f>
        <v>2</v>
      </c>
      <c r="V35" s="332"/>
      <c r="W35" s="640">
        <f>IF(W37=0,"",W36/W37)</f>
        <v>0.96022727272727271</v>
      </c>
      <c r="X35" s="1423"/>
      <c r="Y35" s="332">
        <f>IF(W35&gt;0.9,2,IF(W35&gt;0.8,1,IF(W35&gt;0.7,0.5,0)))</f>
        <v>2</v>
      </c>
      <c r="Z35" s="323">
        <f t="shared" ref="Z35:Z65" si="44">IF(AND(T35=0,W35&lt;&gt;0),1,IF(AND(T35=0,W35=0),0,W35/T35-1))</f>
        <v>-2.5446645600388784E-3</v>
      </c>
      <c r="AA35" s="510"/>
      <c r="AB35" s="1316">
        <f>IF(AB37=0,"",AB36/AB37)</f>
        <v>0.97476340694006314</v>
      </c>
      <c r="AC35" s="332">
        <f>IF(AB35&gt;0.9,2,IF(AB35&gt;0.8,1,IF(AB35&gt;0.7,0.5,0)))</f>
        <v>2</v>
      </c>
      <c r="AD35" s="332"/>
      <c r="AE35" s="640">
        <f>IF(AE37=0,"",AE36/AE37)</f>
        <v>0.98671552908841043</v>
      </c>
      <c r="AF35" s="1423"/>
      <c r="AG35" s="332">
        <f>IF(AE35&gt;0.9,2,IF(AE35&gt;0.8,1,IF(AE35&gt;0.7,0.5,0)))</f>
        <v>2</v>
      </c>
      <c r="AH35" s="323">
        <f t="shared" si="3"/>
        <v>1.2261562203967902E-2</v>
      </c>
      <c r="AI35" s="510"/>
      <c r="AJ35" s="1316">
        <f>IF(AJ37=0,"",AJ36/AJ37)</f>
        <v>0.98141263940520451</v>
      </c>
      <c r="AK35" s="332">
        <f>IF(AJ35&gt;0.9,2,IF(AJ35&gt;0.8,1,IF(AJ35&gt;0.7,0.5,0)))</f>
        <v>2</v>
      </c>
      <c r="AL35" s="332"/>
      <c r="AM35" s="640">
        <f>IF(AM37=0,"",AM36/AM37)</f>
        <v>0.98898128898128901</v>
      </c>
      <c r="AN35" s="332">
        <f>IF(AM35&gt;0.9,2,IF(AM35&gt;0.8,1,IF(AM35&gt;0.7,0.5,0)))</f>
        <v>2</v>
      </c>
      <c r="AO35" s="332"/>
      <c r="AP35" s="323">
        <f t="shared" ref="AP35:AP65" si="45">IF(AND(AJ35=0,AM35&lt;&gt;0),1,IF(AND(AJ35=0,AM35=0),0,AM35/AJ35-1))</f>
        <v>7.7119952119952817E-3</v>
      </c>
      <c r="AQ35" s="510"/>
      <c r="AR35" s="1316">
        <f>IF(AR37=0,"",AR36/AR37)</f>
        <v>0.9563758389261745</v>
      </c>
      <c r="AS35" s="332">
        <f>IF(AR35&gt;0.9,2,IF(AR35&gt;0.8,1,IF(AR35&gt;0.7,0.5,0)))</f>
        <v>2</v>
      </c>
      <c r="AT35" s="332"/>
      <c r="AU35" s="640">
        <f>IF(AU37=0,"",AU36/AU37)</f>
        <v>0.96200345423143352</v>
      </c>
      <c r="AV35" s="332">
        <f>IF(AU35&gt;0.9,2,IF(AU35&gt;0.8,1,IF(AU35&gt;0.7,0.5,0)))</f>
        <v>2</v>
      </c>
      <c r="AW35" s="332"/>
      <c r="AX35" s="323">
        <f t="shared" ref="AX35:AX65" si="46">IF(AND(AR35=0,AU35&lt;&gt;0),1,IF(AND(AR35=0,AU35=0),0,AU35/AR35-1))</f>
        <v>5.8843135472532726E-3</v>
      </c>
      <c r="AY35" s="510"/>
      <c r="AZ35" s="1316">
        <f>IF(AZ37=0,"",AZ36/AZ37)</f>
        <v>0.96902079722703638</v>
      </c>
      <c r="BA35" s="332">
        <f>IF(AZ35&gt;0.9,2,IF(AZ35&gt;0.8,1,IF(AZ35&gt;0.7,0.5,0)))</f>
        <v>2</v>
      </c>
      <c r="BB35" s="332"/>
      <c r="BC35" s="640">
        <f>IF(BC37=0,"",BC36/BC37)</f>
        <v>0.96264141015522231</v>
      </c>
      <c r="BD35" s="332">
        <f>IF(BC35&gt;0.9,2,IF(BC35&gt;0.8,1,IF(BC35&gt;0.7,0.5,0)))</f>
        <v>2</v>
      </c>
      <c r="BE35" s="332"/>
      <c r="BF35" s="323">
        <f t="shared" si="6"/>
        <v>-6.5833334950802236E-3</v>
      </c>
      <c r="BG35" s="510"/>
      <c r="BH35" s="1316">
        <f>IF(BH37=0,"",BH36/BH37)</f>
        <v>0.98240469208211145</v>
      </c>
      <c r="BI35" s="332">
        <f>IF(BH35&gt;0.9,2,IF(BH35&gt;0.8,1,IF(BH35&gt;0.7,0.5,0)))</f>
        <v>2</v>
      </c>
      <c r="BJ35" s="332"/>
      <c r="BK35" s="640">
        <f>IF(BK37=0,"",BK36/BK37)</f>
        <v>0.99509937380887559</v>
      </c>
      <c r="BL35" s="332">
        <f>IF(BK35&gt;0.9,2,IF(BK35&gt;0.8,1,IF(BK35&gt;0.7,0.5,0)))</f>
        <v>2</v>
      </c>
      <c r="BM35" s="332"/>
      <c r="BN35" s="323">
        <f t="shared" si="7"/>
        <v>1.2922049160676297E-2</v>
      </c>
      <c r="BO35" s="510"/>
      <c r="BP35" s="1316">
        <f>IF(BP37=0,"",BP36/BP37)</f>
        <v>0.97928653624856155</v>
      </c>
      <c r="BQ35" s="332">
        <f>IF(BP35&gt;0.9,2,IF(BP35&gt;0.8,1,IF(BP35&gt;0.7,0.5,0)))</f>
        <v>2</v>
      </c>
      <c r="BR35" s="332"/>
      <c r="BS35" s="640">
        <f>IF(BS37=0,"",BS36/BS37)</f>
        <v>0.99178644763860369</v>
      </c>
      <c r="BT35" s="332">
        <f>IF(BS35&gt;0.9,2,IF(BS35&gt;0.8,1,IF(BS35&gt;0.7,0.5,0)))</f>
        <v>2</v>
      </c>
      <c r="BU35" s="332"/>
      <c r="BV35" s="323">
        <f t="shared" si="8"/>
        <v>1.2764304345413091E-2</v>
      </c>
      <c r="BW35" s="510"/>
      <c r="BX35" s="1316">
        <f>IF(BX37=0,"",BX36/BX37)</f>
        <v>0.98495125052988552</v>
      </c>
      <c r="BY35" s="332">
        <f>IF(BX35&gt;0.9,2,IF(BX35&gt;0.8,1,IF(BX35&gt;0.7,0.5,0)))</f>
        <v>2</v>
      </c>
      <c r="BZ35" s="332"/>
      <c r="CA35" s="640">
        <f>IF(CA37=0,"",CA36/CA37)</f>
        <v>0.98953771289537718</v>
      </c>
      <c r="CB35" s="332">
        <f>IF(CA35&gt;0.9,2,IF(CA35&gt;0.8,1,IF(CA35&gt;0.7,0.5,0)))</f>
        <v>2</v>
      </c>
      <c r="CC35" s="332"/>
      <c r="CD35" s="323">
        <f t="shared" si="9"/>
        <v>4.6565374306841711E-3</v>
      </c>
      <c r="CE35" s="510"/>
      <c r="CF35" s="1316">
        <f>IF(CF37=0,"",CF36/CF37)</f>
        <v>0.98113207547169812</v>
      </c>
      <c r="CG35" s="332">
        <f>IF(CF35&gt;0.9,2,IF(CF35&gt;0.8,1,IF(CF35&gt;0.7,0.5,0)))</f>
        <v>2</v>
      </c>
      <c r="CH35" s="332"/>
      <c r="CI35" s="640">
        <f>IF(CI37=0,"",CI36/CI37)</f>
        <v>0.94616419919246297</v>
      </c>
      <c r="CJ35" s="332">
        <f>IF(CI35&gt;0.9,2,IF(CI35&gt;0.8,1,IF(CI35&gt;0.7,0.5,0)))</f>
        <v>2</v>
      </c>
      <c r="CK35" s="332"/>
      <c r="CL35" s="323">
        <f t="shared" si="10"/>
        <v>-3.5640335438451243E-2</v>
      </c>
      <c r="CM35" s="510"/>
      <c r="CN35" s="1316">
        <f>IF(CN37=0,"",CN36/CN37)</f>
        <v>0.9720905739863086</v>
      </c>
      <c r="CO35" s="332">
        <f>IF(CN35&gt;0.9,2,IF(CN35&gt;0.8,1,IF(CN35&gt;0.7,0.5,0)))</f>
        <v>2</v>
      </c>
      <c r="CP35" s="332"/>
      <c r="CQ35" s="640">
        <f>IF(CQ37=0,"",CQ36/CQ37)</f>
        <v>0.98784604996623904</v>
      </c>
      <c r="CR35" s="332">
        <f>IF(CQ35&gt;0.9,2,IF(CQ35&gt;0.8,1,IF(CQ35&gt;0.7,0.5,0)))</f>
        <v>2</v>
      </c>
      <c r="CS35" s="332"/>
      <c r="CT35" s="323">
        <f t="shared" ref="CT35:CT65" si="47">IF(AND(CN35=0,CQ35&lt;&gt;0),1,IF(AND(CN35=0,CQ35=0),0,CQ35/CN35-1))</f>
        <v>1.6207827132116881E-2</v>
      </c>
      <c r="CU35" s="315"/>
      <c r="CX35" s="506" t="s">
        <v>1596</v>
      </c>
      <c r="CY35" s="521">
        <v>1</v>
      </c>
      <c r="CZ35" s="522">
        <f t="shared" si="25"/>
        <v>2</v>
      </c>
      <c r="DA35" s="521">
        <v>1</v>
      </c>
      <c r="DB35" s="523">
        <v>2</v>
      </c>
      <c r="DC35" s="521">
        <v>0</v>
      </c>
      <c r="DD35" s="523">
        <v>1.8333333333333333</v>
      </c>
      <c r="DE35" s="521">
        <v>1</v>
      </c>
      <c r="DF35" s="523">
        <v>2</v>
      </c>
      <c r="DG35" s="521">
        <v>1</v>
      </c>
      <c r="DH35" s="523">
        <v>2</v>
      </c>
      <c r="DI35" s="521">
        <v>1</v>
      </c>
      <c r="DJ35" s="523">
        <v>2</v>
      </c>
      <c r="DK35" s="521">
        <v>0</v>
      </c>
      <c r="DL35" s="522">
        <f t="shared" si="18"/>
        <v>2</v>
      </c>
      <c r="DM35" s="506">
        <f t="shared" si="24"/>
        <v>16.833333333333332</v>
      </c>
      <c r="DN35" s="313"/>
      <c r="DO35" s="313"/>
      <c r="DP35" s="313"/>
      <c r="DQ35" s="313"/>
      <c r="DR35" s="313"/>
      <c r="DS35" s="313"/>
      <c r="DT35" s="313"/>
      <c r="DU35" s="313"/>
      <c r="DV35" s="313"/>
      <c r="DW35" s="313"/>
    </row>
    <row r="36" spans="1:127" s="2" customFormat="1" ht="28.5">
      <c r="A36" s="1855"/>
      <c r="B36" s="1856"/>
      <c r="C36" s="1477">
        <v>17.100000000000001</v>
      </c>
      <c r="D36" s="1478" t="s">
        <v>1240</v>
      </c>
      <c r="E36" s="1479" t="s">
        <v>1223</v>
      </c>
      <c r="F36" s="1480" t="s">
        <v>1241</v>
      </c>
      <c r="G36" s="1474"/>
      <c r="H36" s="1481"/>
      <c r="I36" s="1475"/>
      <c r="J36" s="1482">
        <f t="shared" si="42"/>
        <v>3017.5</v>
      </c>
      <c r="K36" s="1483"/>
      <c r="L36" s="1482">
        <f t="shared" si="43"/>
        <v>2217.4</v>
      </c>
      <c r="M36" s="1484"/>
      <c r="N36" s="1476">
        <f t="shared" si="20"/>
        <v>0</v>
      </c>
      <c r="O36" s="1476">
        <f t="shared" ref="O36:O68" si="48">I36-M36</f>
        <v>0</v>
      </c>
      <c r="P36" s="1476">
        <f t="shared" si="21"/>
        <v>0</v>
      </c>
      <c r="Q36" s="1485">
        <f t="shared" si="22"/>
        <v>0</v>
      </c>
      <c r="R36" s="1486">
        <f t="shared" si="23"/>
        <v>0</v>
      </c>
      <c r="S36" s="1487"/>
      <c r="T36" s="1488">
        <v>748</v>
      </c>
      <c r="U36" s="1475"/>
      <c r="V36" s="1505">
        <v>913</v>
      </c>
      <c r="W36" s="1488">
        <v>676</v>
      </c>
      <c r="X36" s="1507">
        <v>763</v>
      </c>
      <c r="Y36" s="1475"/>
      <c r="Z36" s="1489">
        <f t="shared" si="44"/>
        <v>-9.6256684491978661E-2</v>
      </c>
      <c r="AA36" s="1487"/>
      <c r="AB36" s="1488">
        <v>3399</v>
      </c>
      <c r="AC36" s="1475"/>
      <c r="AD36" s="1510">
        <v>3703</v>
      </c>
      <c r="AE36" s="1488">
        <v>2154</v>
      </c>
      <c r="AF36" s="1512">
        <v>2248</v>
      </c>
      <c r="AG36" s="1475"/>
      <c r="AH36" s="1489">
        <f t="shared" si="3"/>
        <v>-0.36628420123565752</v>
      </c>
      <c r="AI36" s="1487"/>
      <c r="AJ36" s="1477">
        <v>6336</v>
      </c>
      <c r="AK36" s="1475"/>
      <c r="AL36" s="1515">
        <v>7150</v>
      </c>
      <c r="AM36" s="1477">
        <v>4757</v>
      </c>
      <c r="AN36" s="1475"/>
      <c r="AO36" s="1517">
        <v>5016</v>
      </c>
      <c r="AP36" s="1489">
        <f t="shared" si="45"/>
        <v>-0.24921085858585856</v>
      </c>
      <c r="AQ36" s="1487"/>
      <c r="AR36" s="1477">
        <v>1140</v>
      </c>
      <c r="AS36" s="1475"/>
      <c r="AT36" s="1520">
        <v>1222</v>
      </c>
      <c r="AU36" s="1477">
        <v>557</v>
      </c>
      <c r="AV36" s="1475"/>
      <c r="AW36" s="1522">
        <v>570</v>
      </c>
      <c r="AX36" s="1489">
        <f t="shared" si="46"/>
        <v>-0.51140350877192975</v>
      </c>
      <c r="AY36" s="1487"/>
      <c r="AZ36" s="1477">
        <v>4473</v>
      </c>
      <c r="BA36" s="1475"/>
      <c r="BB36" s="1525">
        <v>5634</v>
      </c>
      <c r="BC36" s="1477">
        <v>3659</v>
      </c>
      <c r="BD36" s="1475"/>
      <c r="BE36" s="1527">
        <v>3978</v>
      </c>
      <c r="BF36" s="1489">
        <f t="shared" si="6"/>
        <v>-0.18198077353006925</v>
      </c>
      <c r="BG36" s="1487"/>
      <c r="BH36" s="1477">
        <v>5695</v>
      </c>
      <c r="BI36" s="1475"/>
      <c r="BJ36" s="1530">
        <v>6715</v>
      </c>
      <c r="BK36" s="1477">
        <v>3655</v>
      </c>
      <c r="BL36" s="1475"/>
      <c r="BM36" s="1532">
        <v>3800</v>
      </c>
      <c r="BN36" s="1489">
        <f t="shared" si="7"/>
        <v>-0.35820895522388063</v>
      </c>
      <c r="BO36" s="1487"/>
      <c r="BP36" s="1477">
        <v>851</v>
      </c>
      <c r="BQ36" s="1475"/>
      <c r="BR36" s="1535">
        <v>958</v>
      </c>
      <c r="BS36" s="1477">
        <v>483</v>
      </c>
      <c r="BT36" s="1475"/>
      <c r="BU36" s="1537">
        <v>494</v>
      </c>
      <c r="BV36" s="1489">
        <f t="shared" si="8"/>
        <v>-0.43243243243243246</v>
      </c>
      <c r="BW36" s="1487"/>
      <c r="BX36" s="1477">
        <v>4647</v>
      </c>
      <c r="BY36" s="1475"/>
      <c r="BZ36" s="1540">
        <v>5386</v>
      </c>
      <c r="CA36" s="1477">
        <v>4067</v>
      </c>
      <c r="CB36" s="1475"/>
      <c r="CC36" s="1542">
        <v>4227</v>
      </c>
      <c r="CD36" s="1489">
        <f t="shared" si="9"/>
        <v>-0.12481170647729722</v>
      </c>
      <c r="CE36" s="1487"/>
      <c r="CF36" s="1477">
        <v>1040</v>
      </c>
      <c r="CG36" s="1475"/>
      <c r="CH36" s="1545">
        <v>1193</v>
      </c>
      <c r="CI36" s="1477">
        <v>703</v>
      </c>
      <c r="CJ36" s="1475"/>
      <c r="CK36" s="1547">
        <v>781</v>
      </c>
      <c r="CL36" s="1489">
        <f t="shared" si="10"/>
        <v>-0.3240384615384615</v>
      </c>
      <c r="CM36" s="1487"/>
      <c r="CN36" s="1477">
        <v>1846</v>
      </c>
      <c r="CO36" s="1475"/>
      <c r="CP36" s="1550">
        <v>2136</v>
      </c>
      <c r="CQ36" s="1477">
        <v>1463</v>
      </c>
      <c r="CR36" s="1475"/>
      <c r="CS36" s="1552">
        <v>1528</v>
      </c>
      <c r="CT36" s="1489">
        <f t="shared" si="47"/>
        <v>-0.20747562296858069</v>
      </c>
      <c r="CU36" s="315"/>
      <c r="CX36" s="506"/>
      <c r="CY36" s="521">
        <v>0</v>
      </c>
      <c r="CZ36" s="522">
        <f t="shared" si="25"/>
        <v>0</v>
      </c>
      <c r="DA36" s="521">
        <v>0</v>
      </c>
      <c r="DB36" s="522">
        <f>$M36</f>
        <v>0</v>
      </c>
      <c r="DC36" s="521">
        <v>0</v>
      </c>
      <c r="DD36" s="522">
        <f>$M36</f>
        <v>0</v>
      </c>
      <c r="DE36" s="521">
        <v>0</v>
      </c>
      <c r="DF36" s="522">
        <f>$M36</f>
        <v>0</v>
      </c>
      <c r="DG36" s="521">
        <v>0</v>
      </c>
      <c r="DH36" s="522">
        <f>$M36</f>
        <v>0</v>
      </c>
      <c r="DI36" s="521">
        <v>0</v>
      </c>
      <c r="DJ36" s="522">
        <f>$M36</f>
        <v>0</v>
      </c>
      <c r="DK36" s="521">
        <v>0</v>
      </c>
      <c r="DL36" s="522">
        <f t="shared" ref="DL36:DL72" si="49">$M36</f>
        <v>0</v>
      </c>
      <c r="DM36" s="506">
        <f t="shared" si="24"/>
        <v>0</v>
      </c>
      <c r="DN36" s="313"/>
      <c r="DO36" s="313"/>
      <c r="DP36" s="313"/>
      <c r="DQ36" s="313"/>
      <c r="DR36" s="313"/>
      <c r="DS36" s="313"/>
      <c r="DT36" s="313"/>
      <c r="DU36" s="313"/>
      <c r="DV36" s="313"/>
      <c r="DW36" s="313"/>
    </row>
    <row r="37" spans="1:127" s="2" customFormat="1" ht="15" customHeight="1">
      <c r="A37" s="1855"/>
      <c r="B37" s="1856"/>
      <c r="C37" s="1477">
        <v>17.2</v>
      </c>
      <c r="D37" s="1478" t="s">
        <v>1242</v>
      </c>
      <c r="E37" s="1479" t="s">
        <v>1223</v>
      </c>
      <c r="F37" s="1480" t="s">
        <v>1241</v>
      </c>
      <c r="G37" s="1475"/>
      <c r="H37" s="1488"/>
      <c r="I37" s="1475"/>
      <c r="J37" s="1482">
        <f t="shared" si="42"/>
        <v>3087.1</v>
      </c>
      <c r="K37" s="1483"/>
      <c r="L37" s="1482">
        <f t="shared" si="43"/>
        <v>2257.1</v>
      </c>
      <c r="M37" s="1484"/>
      <c r="N37" s="1476">
        <f t="shared" si="20"/>
        <v>0</v>
      </c>
      <c r="O37" s="1476">
        <f t="shared" si="48"/>
        <v>0</v>
      </c>
      <c r="P37" s="1476">
        <f t="shared" si="21"/>
        <v>0</v>
      </c>
      <c r="Q37" s="1485">
        <f t="shared" si="22"/>
        <v>0</v>
      </c>
      <c r="R37" s="1486">
        <f t="shared" si="23"/>
        <v>0</v>
      </c>
      <c r="S37" s="1487"/>
      <c r="T37" s="1488">
        <v>777</v>
      </c>
      <c r="U37" s="1475"/>
      <c r="V37" s="1505">
        <v>942</v>
      </c>
      <c r="W37" s="1488">
        <v>704</v>
      </c>
      <c r="X37" s="1507">
        <v>793</v>
      </c>
      <c r="Y37" s="1475"/>
      <c r="Z37" s="1489">
        <f t="shared" si="44"/>
        <v>-9.3951093951093911E-2</v>
      </c>
      <c r="AA37" s="1487"/>
      <c r="AB37" s="1488">
        <v>3487</v>
      </c>
      <c r="AC37" s="1475"/>
      <c r="AD37" s="1510">
        <v>3774</v>
      </c>
      <c r="AE37" s="1488">
        <v>2183</v>
      </c>
      <c r="AF37" s="1512">
        <v>2265</v>
      </c>
      <c r="AG37" s="1475"/>
      <c r="AH37" s="1489">
        <f t="shared" si="3"/>
        <v>-0.37396042443361055</v>
      </c>
      <c r="AI37" s="1487"/>
      <c r="AJ37" s="1477">
        <v>6456</v>
      </c>
      <c r="AK37" s="1475"/>
      <c r="AL37" s="1515">
        <v>7253</v>
      </c>
      <c r="AM37" s="1477">
        <v>4810</v>
      </c>
      <c r="AN37" s="1475"/>
      <c r="AO37" s="1517">
        <v>5047</v>
      </c>
      <c r="AP37" s="1489">
        <f t="shared" si="45"/>
        <v>-0.25495662949194553</v>
      </c>
      <c r="AQ37" s="1487"/>
      <c r="AR37" s="1477">
        <v>1192</v>
      </c>
      <c r="AS37" s="1475"/>
      <c r="AT37" s="1520">
        <v>1249</v>
      </c>
      <c r="AU37" s="1477">
        <v>579</v>
      </c>
      <c r="AV37" s="1475"/>
      <c r="AW37" s="1522">
        <v>579</v>
      </c>
      <c r="AX37" s="1489">
        <f t="shared" si="46"/>
        <v>-0.51426174496644295</v>
      </c>
      <c r="AY37" s="1487"/>
      <c r="AZ37" s="1477">
        <v>4616</v>
      </c>
      <c r="BA37" s="1475"/>
      <c r="BB37" s="1525">
        <v>5802</v>
      </c>
      <c r="BC37" s="1477">
        <v>3801</v>
      </c>
      <c r="BD37" s="1475"/>
      <c r="BE37" s="1527">
        <v>4072</v>
      </c>
      <c r="BF37" s="1489">
        <f t="shared" si="6"/>
        <v>-0.17655979202772965</v>
      </c>
      <c r="BG37" s="1487"/>
      <c r="BH37" s="1477">
        <v>5797</v>
      </c>
      <c r="BI37" s="1475"/>
      <c r="BJ37" s="1530">
        <v>6720</v>
      </c>
      <c r="BK37" s="1477">
        <v>3673</v>
      </c>
      <c r="BL37" s="1475"/>
      <c r="BM37" s="1532">
        <v>3800</v>
      </c>
      <c r="BN37" s="1489">
        <f t="shared" si="7"/>
        <v>-0.36639641193720895</v>
      </c>
      <c r="BO37" s="1487"/>
      <c r="BP37" s="1477">
        <v>869</v>
      </c>
      <c r="BQ37" s="1475"/>
      <c r="BR37" s="1535">
        <v>966</v>
      </c>
      <c r="BS37" s="1477">
        <v>487</v>
      </c>
      <c r="BT37" s="1475"/>
      <c r="BU37" s="1537">
        <v>496</v>
      </c>
      <c r="BV37" s="1489">
        <f t="shared" si="8"/>
        <v>-0.4395857307249712</v>
      </c>
      <c r="BW37" s="1487"/>
      <c r="BX37" s="1477">
        <v>4718</v>
      </c>
      <c r="BY37" s="1475"/>
      <c r="BZ37" s="1540">
        <v>5402</v>
      </c>
      <c r="CA37" s="1477">
        <v>4110</v>
      </c>
      <c r="CB37" s="1475"/>
      <c r="CC37" s="1542">
        <v>4236</v>
      </c>
      <c r="CD37" s="1489">
        <f t="shared" si="9"/>
        <v>-0.12886816447647309</v>
      </c>
      <c r="CE37" s="1487"/>
      <c r="CF37" s="1477">
        <v>1060</v>
      </c>
      <c r="CG37" s="1475"/>
      <c r="CH37" s="1545">
        <v>1211</v>
      </c>
      <c r="CI37" s="1477">
        <v>743</v>
      </c>
      <c r="CJ37" s="1475"/>
      <c r="CK37" s="1547">
        <v>809</v>
      </c>
      <c r="CL37" s="1489">
        <f t="shared" si="10"/>
        <v>-0.29905660377358489</v>
      </c>
      <c r="CM37" s="1487"/>
      <c r="CN37" s="1477">
        <v>1899</v>
      </c>
      <c r="CO37" s="1475"/>
      <c r="CP37" s="1550">
        <v>2187</v>
      </c>
      <c r="CQ37" s="1477">
        <v>1481</v>
      </c>
      <c r="CR37" s="1475"/>
      <c r="CS37" s="1552">
        <v>1545</v>
      </c>
      <c r="CT37" s="1489">
        <f t="shared" si="47"/>
        <v>-0.22011585044760396</v>
      </c>
      <c r="CU37" s="315"/>
      <c r="CX37" s="521"/>
      <c r="CY37" s="521">
        <v>0</v>
      </c>
      <c r="CZ37" s="522">
        <f t="shared" si="25"/>
        <v>0</v>
      </c>
      <c r="DA37" s="521">
        <v>0</v>
      </c>
      <c r="DB37" s="522">
        <f>$M37</f>
        <v>0</v>
      </c>
      <c r="DC37" s="521">
        <v>0</v>
      </c>
      <c r="DD37" s="522">
        <f>$M37</f>
        <v>0</v>
      </c>
      <c r="DE37" s="521">
        <v>0</v>
      </c>
      <c r="DF37" s="522">
        <f>$M37</f>
        <v>0</v>
      </c>
      <c r="DG37" s="521">
        <v>0</v>
      </c>
      <c r="DH37" s="522">
        <f>$M37</f>
        <v>0</v>
      </c>
      <c r="DI37" s="521">
        <v>0</v>
      </c>
      <c r="DJ37" s="522">
        <f>$M37</f>
        <v>0</v>
      </c>
      <c r="DK37" s="521">
        <v>0</v>
      </c>
      <c r="DL37" s="522">
        <f t="shared" si="49"/>
        <v>0</v>
      </c>
      <c r="DM37" s="521">
        <f t="shared" si="24"/>
        <v>0</v>
      </c>
      <c r="DN37" s="313"/>
      <c r="DO37" s="313"/>
      <c r="DP37" s="313"/>
      <c r="DQ37" s="313"/>
      <c r="DR37" s="313"/>
      <c r="DS37" s="313"/>
      <c r="DT37" s="313"/>
      <c r="DU37" s="313"/>
      <c r="DV37" s="313"/>
      <c r="DW37" s="313"/>
    </row>
    <row r="38" spans="1:127" s="2" customFormat="1" ht="14.25">
      <c r="A38" s="1838" t="s">
        <v>2378</v>
      </c>
      <c r="B38" s="1840" t="s">
        <v>2038</v>
      </c>
      <c r="C38" s="1490">
        <v>18</v>
      </c>
      <c r="D38" s="1491" t="s">
        <v>2037</v>
      </c>
      <c r="E38" s="1492"/>
      <c r="F38" s="1493"/>
      <c r="G38" s="1494" t="s">
        <v>472</v>
      </c>
      <c r="H38" s="1495" t="s">
        <v>282</v>
      </c>
      <c r="I38" s="1494">
        <v>2</v>
      </c>
      <c r="J38" s="1496">
        <f t="shared" si="42"/>
        <v>0.94813698096594601</v>
      </c>
      <c r="K38" s="1497">
        <f>AVERAGE(CO38,CG38,BY38,BQ38,BI38,BA38,AS38,AK38,AC38,U38)</f>
        <v>1.5</v>
      </c>
      <c r="L38" s="1496">
        <f t="shared" si="43"/>
        <v>0.98013313435379135</v>
      </c>
      <c r="M38" s="1498">
        <f>AVERAGE(CR38,CJ38,CB38,BT38,BL38,BD38,AV38,AN38,AG38,Y38)</f>
        <v>2</v>
      </c>
      <c r="N38" s="1499">
        <f t="shared" si="20"/>
        <v>0.5</v>
      </c>
      <c r="O38" s="1499">
        <f t="shared" si="48"/>
        <v>0</v>
      </c>
      <c r="P38" s="1499">
        <f t="shared" si="21"/>
        <v>0</v>
      </c>
      <c r="Q38" s="1500">
        <f t="shared" si="22"/>
        <v>0</v>
      </c>
      <c r="R38" s="1501">
        <f t="shared" si="23"/>
        <v>0</v>
      </c>
      <c r="S38" s="1502"/>
      <c r="T38" s="1496">
        <f>IF(T40=0,"",T39/T40)</f>
        <v>0.95109395109395112</v>
      </c>
      <c r="U38" s="1503">
        <f>IF(T38&gt;=0.95,2,IF(T38&gt;=0.9,1,0))</f>
        <v>2</v>
      </c>
      <c r="V38" s="1506"/>
      <c r="W38" s="1496">
        <f>IF(W40=0,"",W39/W40)</f>
        <v>0.98721590909090906</v>
      </c>
      <c r="X38" s="1508"/>
      <c r="Y38" s="1503">
        <f>IF(W38&gt;=0.95,2,IF(W38&gt;=0.9,1,0))</f>
        <v>2</v>
      </c>
      <c r="Z38" s="1504">
        <f t="shared" si="44"/>
        <v>3.7979379382457878E-2</v>
      </c>
      <c r="AA38" s="1502"/>
      <c r="AB38" s="1496">
        <f>IF(AB40=0,"",AB39/AB40)</f>
        <v>0.95382850587897905</v>
      </c>
      <c r="AC38" s="1503">
        <f>IF(AB38&gt;=0.95,2,IF(AB38&gt;=0.9,1,0))</f>
        <v>2</v>
      </c>
      <c r="AD38" s="1511"/>
      <c r="AE38" s="1496">
        <f>IF(AE40=0,"",AE39/AE40)</f>
        <v>0.98579935868071467</v>
      </c>
      <c r="AF38" s="1513"/>
      <c r="AG38" s="1503">
        <f>IF(AE38&gt;=0.95,2,IF(AE38&gt;=0.9,1,0))</f>
        <v>2</v>
      </c>
      <c r="AH38" s="1504">
        <f t="shared" si="3"/>
        <v>3.35184497052472E-2</v>
      </c>
      <c r="AI38" s="1502"/>
      <c r="AJ38" s="1496">
        <f>IF(AJ40=0,"",AJ39/AJ40)</f>
        <v>0.94872986369268897</v>
      </c>
      <c r="AK38" s="1503">
        <f>IF(AJ38&gt;=0.95,2,IF(AJ38&gt;=0.9,1,0))</f>
        <v>1</v>
      </c>
      <c r="AL38" s="1516"/>
      <c r="AM38" s="1496">
        <f>IF(AM40=0,"",AM39/AM40)</f>
        <v>0.98814968814968818</v>
      </c>
      <c r="AN38" s="1503">
        <f>IF(AM38&gt;=0.95,2,IF(AM38&gt;=0.9,1,0))</f>
        <v>2</v>
      </c>
      <c r="AO38" s="1518"/>
      <c r="AP38" s="1504">
        <f t="shared" si="45"/>
        <v>4.1550103950104056E-2</v>
      </c>
      <c r="AQ38" s="1502"/>
      <c r="AR38" s="1496">
        <f>IF(AR40=0,"",AR39/AR40)</f>
        <v>0.92701342281879195</v>
      </c>
      <c r="AS38" s="1503">
        <f>IF(AR38&gt;=0.95,2,IF(AR38&gt;=0.9,1,0))</f>
        <v>1</v>
      </c>
      <c r="AT38" s="1521"/>
      <c r="AU38" s="1496">
        <f>IF(AU40=0,"",AU39/AU40)</f>
        <v>0.9671848013816926</v>
      </c>
      <c r="AV38" s="1503">
        <f>IF(AU38&gt;=0.95,2,IF(AU38&gt;=0.9,1,0))</f>
        <v>2</v>
      </c>
      <c r="AW38" s="1523"/>
      <c r="AX38" s="1504">
        <f t="shared" si="46"/>
        <v>4.3334192983690123E-2</v>
      </c>
      <c r="AY38" s="1502"/>
      <c r="AZ38" s="1496">
        <f>IF(AZ40=0,"",AZ39/AZ40)</f>
        <v>0.9267764298093587</v>
      </c>
      <c r="BA38" s="1503">
        <f>IF(AZ38&gt;=0.95,2,IF(AZ38&gt;=0.9,1,0))</f>
        <v>1</v>
      </c>
      <c r="BB38" s="1526"/>
      <c r="BC38" s="1496">
        <f>IF(BC40=0,"",BC39/BC40)</f>
        <v>0.97632202052091555</v>
      </c>
      <c r="BD38" s="1503">
        <f>IF(BC38&gt;=0.95,2,IF(BC38&gt;=0.9,1,0))</f>
        <v>2</v>
      </c>
      <c r="BE38" s="1528"/>
      <c r="BF38" s="1504">
        <f t="shared" si="6"/>
        <v>5.3460132474181021E-2</v>
      </c>
      <c r="BG38" s="1502"/>
      <c r="BH38" s="1496">
        <f>IF(BH40=0,"",BH39/BH40)</f>
        <v>0.94893910643436263</v>
      </c>
      <c r="BI38" s="1503">
        <f>IF(BH38&gt;=0.95,2,IF(BH38&gt;=0.9,1,0))</f>
        <v>1</v>
      </c>
      <c r="BJ38" s="1531"/>
      <c r="BK38" s="1496">
        <f>IF(BK40=0,"",BK39/BK40)</f>
        <v>0.98992649060713311</v>
      </c>
      <c r="BL38" s="1503">
        <f>IF(BK38&gt;=0.95,2,IF(BK38&gt;=0.9,1,0))</f>
        <v>2</v>
      </c>
      <c r="BM38" s="1533"/>
      <c r="BN38" s="1504">
        <f t="shared" si="7"/>
        <v>4.319284967270498E-2</v>
      </c>
      <c r="BO38" s="1502"/>
      <c r="BP38" s="1496">
        <f>IF(BP40=0,"",BP39/BP40)</f>
        <v>0.94361334867663982</v>
      </c>
      <c r="BQ38" s="1503">
        <f>IF(BP38&gt;=0.95,2,IF(BP38&gt;=0.9,1,0))</f>
        <v>1</v>
      </c>
      <c r="BR38" s="1536"/>
      <c r="BS38" s="1496">
        <f>IF(BS40=0,"",BS39/BS40)</f>
        <v>0.98151950718685832</v>
      </c>
      <c r="BT38" s="1503">
        <f>IF(BS38&gt;=0.95,2,IF(BS38&gt;=0.9,1,0))</f>
        <v>2</v>
      </c>
      <c r="BU38" s="1538"/>
      <c r="BV38" s="1504">
        <f t="shared" si="8"/>
        <v>4.0171282616316972E-2</v>
      </c>
      <c r="BW38" s="1502"/>
      <c r="BX38" s="1496">
        <f>IF(BX40=0,"",BX39/BX40)</f>
        <v>0.9542178889359898</v>
      </c>
      <c r="BY38" s="1503">
        <f>IF(BX38&gt;=0.95,2,IF(BX38&gt;=0.9,1,0))</f>
        <v>2</v>
      </c>
      <c r="BZ38" s="1541"/>
      <c r="CA38" s="1496">
        <f>IF(CA40=0,"",CA39/CA40)</f>
        <v>0.98515815085158154</v>
      </c>
      <c r="CB38" s="1503">
        <f>IF(CA38&gt;=0.95,2,IF(CA38&gt;=0.9,1,0))</f>
        <v>2</v>
      </c>
      <c r="CC38" s="1543"/>
      <c r="CD38" s="1504">
        <f t="shared" si="9"/>
        <v>3.242473472184848E-2</v>
      </c>
      <c r="CE38" s="1502"/>
      <c r="CF38" s="1496">
        <f>IF(CF40=0,"",CF39/CF40)</f>
        <v>0.96981132075471699</v>
      </c>
      <c r="CG38" s="1503">
        <f>IF(CF38&gt;=0.95,2,IF(CF38&gt;=0.9,1,0))</f>
        <v>2</v>
      </c>
      <c r="CH38" s="1546"/>
      <c r="CI38" s="1496">
        <f>IF(CI40=0,"",CI39/CI40)</f>
        <v>0.955585464333782</v>
      </c>
      <c r="CJ38" s="1503">
        <f>IF(CI38&gt;=0.95,2,IF(CI38&gt;=0.9,1,0))</f>
        <v>2</v>
      </c>
      <c r="CK38" s="1548"/>
      <c r="CL38" s="1504">
        <f t="shared" si="10"/>
        <v>-1.4668684636372609E-2</v>
      </c>
      <c r="CM38" s="1502"/>
      <c r="CN38" s="1496">
        <f>IF(CN40=0,"",CN39/CN40)</f>
        <v>0.95734597156398105</v>
      </c>
      <c r="CO38" s="1503">
        <f>IF(CN38&gt;=0.95,2,IF(CN38&gt;=0.9,1,0))</f>
        <v>2</v>
      </c>
      <c r="CP38" s="1551"/>
      <c r="CQ38" s="1496">
        <f>IF(CQ40=0,"",CQ39/CQ40)</f>
        <v>0.98446995273463878</v>
      </c>
      <c r="CR38" s="1503">
        <f>IF(CQ38&gt;=0.95,2,IF(CQ38&gt;=0.9,1,0))</f>
        <v>2</v>
      </c>
      <c r="CS38" s="1553"/>
      <c r="CT38" s="1504">
        <f t="shared" si="47"/>
        <v>2.8332475381231514E-2</v>
      </c>
      <c r="CU38" s="315"/>
      <c r="CX38" s="521" t="s">
        <v>1596</v>
      </c>
      <c r="CY38" s="521">
        <v>1</v>
      </c>
      <c r="CZ38" s="522">
        <f t="shared" si="25"/>
        <v>2</v>
      </c>
      <c r="DA38" s="521">
        <v>1</v>
      </c>
      <c r="DB38" s="523">
        <v>2</v>
      </c>
      <c r="DC38" s="521">
        <v>0</v>
      </c>
      <c r="DD38" s="523">
        <v>1.6666666666666667</v>
      </c>
      <c r="DE38" s="521">
        <v>1</v>
      </c>
      <c r="DF38" s="523">
        <v>1.625</v>
      </c>
      <c r="DG38" s="521">
        <v>1</v>
      </c>
      <c r="DH38" s="523">
        <v>2</v>
      </c>
      <c r="DI38" s="521">
        <v>1</v>
      </c>
      <c r="DJ38" s="523">
        <v>2</v>
      </c>
      <c r="DK38" s="521">
        <v>0</v>
      </c>
      <c r="DL38" s="522">
        <f t="shared" si="49"/>
        <v>2</v>
      </c>
      <c r="DM38" s="521">
        <f t="shared" si="24"/>
        <v>16.291666666666668</v>
      </c>
      <c r="DN38" s="313"/>
      <c r="DO38" s="313"/>
      <c r="DP38" s="313"/>
      <c r="DQ38" s="313"/>
      <c r="DR38" s="313"/>
      <c r="DS38" s="313"/>
      <c r="DT38" s="313"/>
      <c r="DU38" s="313"/>
      <c r="DV38" s="313"/>
      <c r="DW38" s="313"/>
    </row>
    <row r="39" spans="1:127" s="2" customFormat="1" ht="28.5">
      <c r="A39" s="1839"/>
      <c r="B39" s="1841"/>
      <c r="C39" s="1477">
        <v>18.100000000000001</v>
      </c>
      <c r="D39" s="1478" t="s">
        <v>1999</v>
      </c>
      <c r="E39" s="1479" t="s">
        <v>1223</v>
      </c>
      <c r="F39" s="1480" t="s">
        <v>1241</v>
      </c>
      <c r="G39" s="1475"/>
      <c r="H39" s="1488"/>
      <c r="I39" s="1475"/>
      <c r="J39" s="1482">
        <f t="shared" si="42"/>
        <v>2924.2</v>
      </c>
      <c r="K39" s="1483"/>
      <c r="L39" s="1482">
        <f t="shared" si="43"/>
        <v>2220.1999999999998</v>
      </c>
      <c r="M39" s="1484"/>
      <c r="N39" s="1476">
        <f t="shared" si="20"/>
        <v>0</v>
      </c>
      <c r="O39" s="1476">
        <f t="shared" si="48"/>
        <v>0</v>
      </c>
      <c r="P39" s="1476">
        <f t="shared" si="21"/>
        <v>0</v>
      </c>
      <c r="Q39" s="1485">
        <f t="shared" si="22"/>
        <v>0</v>
      </c>
      <c r="R39" s="1486">
        <f t="shared" si="23"/>
        <v>0</v>
      </c>
      <c r="S39" s="1487"/>
      <c r="T39" s="1488">
        <v>739</v>
      </c>
      <c r="U39" s="1475"/>
      <c r="V39" s="1505">
        <v>930</v>
      </c>
      <c r="W39" s="1488">
        <v>695</v>
      </c>
      <c r="X39" s="1507">
        <v>788</v>
      </c>
      <c r="Y39" s="1475"/>
      <c r="Z39" s="1489">
        <f t="shared" si="44"/>
        <v>-5.953991880920162E-2</v>
      </c>
      <c r="AA39" s="1487"/>
      <c r="AB39" s="1488">
        <v>3326</v>
      </c>
      <c r="AC39" s="1475"/>
      <c r="AD39" s="1510">
        <v>3754</v>
      </c>
      <c r="AE39" s="1488">
        <v>2152</v>
      </c>
      <c r="AF39" s="1512">
        <v>2261</v>
      </c>
      <c r="AG39" s="1475"/>
      <c r="AH39" s="1489">
        <f t="shared" si="3"/>
        <v>-0.35297654840649428</v>
      </c>
      <c r="AI39" s="1487"/>
      <c r="AJ39" s="1477">
        <v>6125</v>
      </c>
      <c r="AK39" s="1475"/>
      <c r="AL39" s="1515">
        <v>7252</v>
      </c>
      <c r="AM39" s="1477">
        <v>4753</v>
      </c>
      <c r="AN39" s="1475"/>
      <c r="AO39" s="1517">
        <v>5046</v>
      </c>
      <c r="AP39" s="1489">
        <f t="shared" si="45"/>
        <v>-0.22399999999999998</v>
      </c>
      <c r="AQ39" s="1487"/>
      <c r="AR39" s="1477">
        <v>1105</v>
      </c>
      <c r="AS39" s="1475"/>
      <c r="AT39" s="1520">
        <v>1243</v>
      </c>
      <c r="AU39" s="1477">
        <v>560</v>
      </c>
      <c r="AV39" s="1475"/>
      <c r="AW39" s="1522">
        <v>578</v>
      </c>
      <c r="AX39" s="1489">
        <f t="shared" si="46"/>
        <v>-0.49321266968325794</v>
      </c>
      <c r="AY39" s="1487"/>
      <c r="AZ39" s="1477">
        <v>4278</v>
      </c>
      <c r="BA39" s="1475"/>
      <c r="BB39" s="1525">
        <v>5789</v>
      </c>
      <c r="BC39" s="1477">
        <v>3711</v>
      </c>
      <c r="BD39" s="1475"/>
      <c r="BE39" s="1527">
        <v>4069</v>
      </c>
      <c r="BF39" s="1489">
        <f t="shared" si="6"/>
        <v>-0.13253856942496489</v>
      </c>
      <c r="BG39" s="1487"/>
      <c r="BH39" s="1477">
        <v>5501</v>
      </c>
      <c r="BI39" s="1475"/>
      <c r="BJ39" s="1530">
        <v>6719</v>
      </c>
      <c r="BK39" s="1477">
        <v>3636</v>
      </c>
      <c r="BL39" s="1475"/>
      <c r="BM39" s="1532">
        <v>3800</v>
      </c>
      <c r="BN39" s="1489">
        <f t="shared" si="7"/>
        <v>-0.3390292674059262</v>
      </c>
      <c r="BO39" s="1487"/>
      <c r="BP39" s="1477">
        <v>820</v>
      </c>
      <c r="BQ39" s="1475"/>
      <c r="BR39" s="1535">
        <v>966</v>
      </c>
      <c r="BS39" s="1477">
        <v>478</v>
      </c>
      <c r="BT39" s="1475"/>
      <c r="BU39" s="1537">
        <v>494</v>
      </c>
      <c r="BV39" s="1489">
        <f t="shared" si="8"/>
        <v>-0.41707317073170735</v>
      </c>
      <c r="BW39" s="1487"/>
      <c r="BX39" s="1477">
        <v>4502</v>
      </c>
      <c r="BY39" s="1475"/>
      <c r="BZ39" s="1540">
        <v>5400</v>
      </c>
      <c r="CA39" s="1477">
        <v>4049</v>
      </c>
      <c r="CB39" s="1475"/>
      <c r="CC39" s="1542">
        <v>4236</v>
      </c>
      <c r="CD39" s="1489">
        <f t="shared" si="9"/>
        <v>-0.10062194580186579</v>
      </c>
      <c r="CE39" s="1487"/>
      <c r="CF39" s="1477">
        <v>1028</v>
      </c>
      <c r="CG39" s="1475"/>
      <c r="CH39" s="1545">
        <v>1210</v>
      </c>
      <c r="CI39" s="1477">
        <v>710</v>
      </c>
      <c r="CJ39" s="1475"/>
      <c r="CK39" s="1547">
        <v>804</v>
      </c>
      <c r="CL39" s="1489">
        <f t="shared" si="10"/>
        <v>-0.30933852140077822</v>
      </c>
      <c r="CM39" s="1487"/>
      <c r="CN39" s="1477">
        <v>1818</v>
      </c>
      <c r="CO39" s="1475"/>
      <c r="CP39" s="1550">
        <v>2183</v>
      </c>
      <c r="CQ39" s="1477">
        <v>1458</v>
      </c>
      <c r="CR39" s="1475"/>
      <c r="CS39" s="1552">
        <v>1544</v>
      </c>
      <c r="CT39" s="1489">
        <f t="shared" si="47"/>
        <v>-0.19801980198019797</v>
      </c>
      <c r="CU39" s="315"/>
      <c r="CX39" s="521"/>
      <c r="CY39" s="521">
        <v>0</v>
      </c>
      <c r="CZ39" s="522">
        <f t="shared" si="25"/>
        <v>0</v>
      </c>
      <c r="DA39" s="521">
        <v>0</v>
      </c>
      <c r="DB39" s="522">
        <f t="shared" ref="DB39:DB44" si="50">$M39</f>
        <v>0</v>
      </c>
      <c r="DC39" s="521">
        <v>0</v>
      </c>
      <c r="DD39" s="522">
        <f t="shared" ref="DD39:DD51" si="51">$M39</f>
        <v>0</v>
      </c>
      <c r="DE39" s="521">
        <v>0</v>
      </c>
      <c r="DF39" s="522">
        <f t="shared" ref="DF39:DF44" si="52">$M39</f>
        <v>0</v>
      </c>
      <c r="DG39" s="521">
        <v>0</v>
      </c>
      <c r="DH39" s="522">
        <f t="shared" ref="DH39:DH44" si="53">$M39</f>
        <v>0</v>
      </c>
      <c r="DI39" s="521">
        <v>0</v>
      </c>
      <c r="DJ39" s="522">
        <f t="shared" ref="DJ39:DJ44" si="54">$M39</f>
        <v>0</v>
      </c>
      <c r="DK39" s="521">
        <v>0</v>
      </c>
      <c r="DL39" s="522">
        <f t="shared" si="49"/>
        <v>0</v>
      </c>
      <c r="DM39" s="521">
        <f t="shared" si="24"/>
        <v>0</v>
      </c>
      <c r="DN39" s="313"/>
      <c r="DO39" s="313"/>
      <c r="DP39" s="313"/>
      <c r="DQ39" s="313"/>
      <c r="DR39" s="313"/>
      <c r="DS39" s="313"/>
      <c r="DT39" s="313"/>
      <c r="DU39" s="313"/>
      <c r="DV39" s="313"/>
      <c r="DW39" s="313"/>
    </row>
    <row r="40" spans="1:127" s="2" customFormat="1" ht="14.25">
      <c r="A40" s="1839"/>
      <c r="B40" s="1841"/>
      <c r="C40" s="1477">
        <v>18.2</v>
      </c>
      <c r="D40" s="1478" t="s">
        <v>1242</v>
      </c>
      <c r="E40" s="1479" t="s">
        <v>1223</v>
      </c>
      <c r="F40" s="1480" t="s">
        <v>1241</v>
      </c>
      <c r="G40" s="1475"/>
      <c r="H40" s="1488"/>
      <c r="I40" s="1475"/>
      <c r="J40" s="1482">
        <f t="shared" si="42"/>
        <v>3087.1</v>
      </c>
      <c r="K40" s="1483"/>
      <c r="L40" s="1482">
        <f t="shared" si="43"/>
        <v>2257.1</v>
      </c>
      <c r="M40" s="1484"/>
      <c r="N40" s="1476">
        <f t="shared" si="20"/>
        <v>0</v>
      </c>
      <c r="O40" s="1476">
        <f t="shared" si="48"/>
        <v>0</v>
      </c>
      <c r="P40" s="1476">
        <f t="shared" si="21"/>
        <v>0</v>
      </c>
      <c r="Q40" s="1485">
        <f t="shared" si="22"/>
        <v>0</v>
      </c>
      <c r="R40" s="1486">
        <f t="shared" si="23"/>
        <v>0</v>
      </c>
      <c r="S40" s="1487"/>
      <c r="T40" s="1488">
        <v>777</v>
      </c>
      <c r="U40" s="1475"/>
      <c r="V40" s="1505">
        <v>942</v>
      </c>
      <c r="W40" s="1488">
        <v>704</v>
      </c>
      <c r="X40" s="1552">
        <v>793</v>
      </c>
      <c r="Y40" s="1475"/>
      <c r="Z40" s="1489">
        <f t="shared" si="44"/>
        <v>-9.3951093951093911E-2</v>
      </c>
      <c r="AA40" s="1487"/>
      <c r="AB40" s="1488">
        <v>3487</v>
      </c>
      <c r="AC40" s="1475"/>
      <c r="AD40" s="1509">
        <v>3774</v>
      </c>
      <c r="AE40" s="1488">
        <v>2183</v>
      </c>
      <c r="AF40" s="1552">
        <v>2265</v>
      </c>
      <c r="AG40" s="1475"/>
      <c r="AH40" s="1489">
        <f t="shared" si="3"/>
        <v>-0.37396042443361055</v>
      </c>
      <c r="AI40" s="1487"/>
      <c r="AJ40" s="1477">
        <v>6456</v>
      </c>
      <c r="AK40" s="1475"/>
      <c r="AL40" s="1514">
        <v>7253</v>
      </c>
      <c r="AM40" s="1477">
        <v>4810</v>
      </c>
      <c r="AN40" s="1475"/>
      <c r="AO40" s="1552">
        <v>5047</v>
      </c>
      <c r="AP40" s="1489">
        <f t="shared" si="45"/>
        <v>-0.25495662949194553</v>
      </c>
      <c r="AQ40" s="1487"/>
      <c r="AR40" s="1477">
        <v>1192</v>
      </c>
      <c r="AS40" s="1475"/>
      <c r="AT40" s="1519">
        <v>1249</v>
      </c>
      <c r="AU40" s="1477">
        <v>579</v>
      </c>
      <c r="AV40" s="1475"/>
      <c r="AW40" s="1552">
        <v>579</v>
      </c>
      <c r="AX40" s="1489">
        <f t="shared" si="46"/>
        <v>-0.51426174496644295</v>
      </c>
      <c r="AY40" s="1487"/>
      <c r="AZ40" s="1477">
        <v>4616</v>
      </c>
      <c r="BA40" s="1475"/>
      <c r="BB40" s="1524">
        <v>5802</v>
      </c>
      <c r="BC40" s="1477">
        <v>3801</v>
      </c>
      <c r="BD40" s="1475"/>
      <c r="BE40" s="1552">
        <v>4072</v>
      </c>
      <c r="BF40" s="1489">
        <f t="shared" si="6"/>
        <v>-0.17655979202772965</v>
      </c>
      <c r="BG40" s="1487"/>
      <c r="BH40" s="1477">
        <v>5797</v>
      </c>
      <c r="BI40" s="1475"/>
      <c r="BJ40" s="1529">
        <v>6720</v>
      </c>
      <c r="BK40" s="1477">
        <v>3673</v>
      </c>
      <c r="BL40" s="1475"/>
      <c r="BM40" s="1552">
        <v>3800</v>
      </c>
      <c r="BN40" s="1489">
        <f t="shared" si="7"/>
        <v>-0.36639641193720895</v>
      </c>
      <c r="BO40" s="1487"/>
      <c r="BP40" s="1477">
        <v>869</v>
      </c>
      <c r="BQ40" s="1475"/>
      <c r="BR40" s="1534">
        <v>966</v>
      </c>
      <c r="BS40" s="1477">
        <v>487</v>
      </c>
      <c r="BT40" s="1475"/>
      <c r="BU40" s="1552">
        <v>496</v>
      </c>
      <c r="BV40" s="1489">
        <f t="shared" si="8"/>
        <v>-0.4395857307249712</v>
      </c>
      <c r="BW40" s="1487"/>
      <c r="BX40" s="1477">
        <v>4718</v>
      </c>
      <c r="BY40" s="1475"/>
      <c r="BZ40" s="1539">
        <v>5402</v>
      </c>
      <c r="CA40" s="1477">
        <v>4110</v>
      </c>
      <c r="CB40" s="1475"/>
      <c r="CC40" s="1552">
        <v>4236</v>
      </c>
      <c r="CD40" s="1489">
        <f t="shared" si="9"/>
        <v>-0.12886816447647309</v>
      </c>
      <c r="CE40" s="1487"/>
      <c r="CF40" s="1477">
        <v>1060</v>
      </c>
      <c r="CG40" s="1475"/>
      <c r="CH40" s="1544">
        <v>1211</v>
      </c>
      <c r="CI40" s="1477">
        <v>743</v>
      </c>
      <c r="CJ40" s="1475"/>
      <c r="CK40" s="1552">
        <v>809</v>
      </c>
      <c r="CL40" s="1489">
        <f t="shared" si="10"/>
        <v>-0.29905660377358489</v>
      </c>
      <c r="CM40" s="1487"/>
      <c r="CN40" s="1477">
        <v>1899</v>
      </c>
      <c r="CO40" s="1475"/>
      <c r="CP40" s="1549">
        <v>2187</v>
      </c>
      <c r="CQ40" s="1477">
        <v>1481</v>
      </c>
      <c r="CR40" s="1475"/>
      <c r="CS40" s="1552">
        <v>1545</v>
      </c>
      <c r="CT40" s="1489">
        <f t="shared" si="47"/>
        <v>-0.22011585044760396</v>
      </c>
      <c r="CU40" s="315"/>
      <c r="CX40" s="521"/>
      <c r="CY40" s="521">
        <v>0</v>
      </c>
      <c r="CZ40" s="522">
        <f t="shared" si="25"/>
        <v>0</v>
      </c>
      <c r="DA40" s="521">
        <v>0</v>
      </c>
      <c r="DB40" s="522">
        <f t="shared" si="50"/>
        <v>0</v>
      </c>
      <c r="DC40" s="521">
        <v>0</v>
      </c>
      <c r="DD40" s="522">
        <f t="shared" si="51"/>
        <v>0</v>
      </c>
      <c r="DE40" s="521">
        <v>0</v>
      </c>
      <c r="DF40" s="522">
        <f t="shared" si="52"/>
        <v>0</v>
      </c>
      <c r="DG40" s="521">
        <v>0</v>
      </c>
      <c r="DH40" s="522">
        <f t="shared" si="53"/>
        <v>0</v>
      </c>
      <c r="DI40" s="521">
        <v>0</v>
      </c>
      <c r="DJ40" s="522">
        <f t="shared" si="54"/>
        <v>0</v>
      </c>
      <c r="DK40" s="521">
        <v>0</v>
      </c>
      <c r="DL40" s="522">
        <f t="shared" si="49"/>
        <v>0</v>
      </c>
      <c r="DM40" s="521">
        <f t="shared" si="24"/>
        <v>0</v>
      </c>
      <c r="DN40" s="313"/>
      <c r="DO40" s="313"/>
      <c r="DP40" s="313"/>
      <c r="DQ40" s="313"/>
      <c r="DR40" s="313"/>
      <c r="DS40" s="313"/>
      <c r="DT40" s="313"/>
      <c r="DU40" s="313"/>
      <c r="DV40" s="313"/>
      <c r="DW40" s="313"/>
    </row>
    <row r="41" spans="1:127" s="2" customFormat="1" ht="28.5">
      <c r="A41" s="1850" t="s">
        <v>2379</v>
      </c>
      <c r="B41" s="1851" t="s">
        <v>1244</v>
      </c>
      <c r="C41" s="23">
        <v>19</v>
      </c>
      <c r="D41" s="329" t="s">
        <v>1243</v>
      </c>
      <c r="E41" s="482" t="s">
        <v>254</v>
      </c>
      <c r="F41" s="488"/>
      <c r="G41" s="612" t="s">
        <v>478</v>
      </c>
      <c r="H41" s="334" t="s">
        <v>282</v>
      </c>
      <c r="I41" s="1849">
        <v>4</v>
      </c>
      <c r="J41" s="644">
        <f t="shared" si="42"/>
        <v>0</v>
      </c>
      <c r="K41" s="651">
        <f>AVERAGE(CO41,CG41,BY41,BQ41,BI41,BA41,AS41,AK41,AC41,U41)</f>
        <v>3.9</v>
      </c>
      <c r="L41" s="644">
        <f t="shared" si="43"/>
        <v>0</v>
      </c>
      <c r="M41" s="501">
        <f>AVERAGE(CR41,CJ41,CB41,BT41,BL41,BD41,AV41,AN41,AG41,Y41)</f>
        <v>4</v>
      </c>
      <c r="N41" s="502">
        <f t="shared" si="20"/>
        <v>0.10000000000000009</v>
      </c>
      <c r="O41" s="500">
        <f t="shared" si="48"/>
        <v>0</v>
      </c>
      <c r="P41" s="500">
        <f t="shared" si="21"/>
        <v>0</v>
      </c>
      <c r="Q41" s="816">
        <f t="shared" si="22"/>
        <v>0</v>
      </c>
      <c r="R41" s="815">
        <f t="shared" si="23"/>
        <v>0</v>
      </c>
      <c r="S41" s="510"/>
      <c r="T41" s="1317">
        <v>0</v>
      </c>
      <c r="U41" s="1826">
        <f>4-T41*2-T42*1</f>
        <v>4</v>
      </c>
      <c r="V41" s="1444"/>
      <c r="W41" s="330">
        <v>0</v>
      </c>
      <c r="X41" s="1424"/>
      <c r="Y41" s="1826">
        <f>4-W41*2-W42*1</f>
        <v>4</v>
      </c>
      <c r="Z41" s="323">
        <f t="shared" si="44"/>
        <v>0</v>
      </c>
      <c r="AA41" s="510"/>
      <c r="AB41" s="1317">
        <v>0</v>
      </c>
      <c r="AC41" s="1826">
        <f>4-AB41*2-AB42*1</f>
        <v>4</v>
      </c>
      <c r="AD41" s="1444"/>
      <c r="AE41" s="330">
        <v>0</v>
      </c>
      <c r="AF41" s="1424"/>
      <c r="AG41" s="1826">
        <f>4-AE41*2-AE42*1</f>
        <v>4</v>
      </c>
      <c r="AH41" s="323">
        <f t="shared" si="3"/>
        <v>0</v>
      </c>
      <c r="AI41" s="510"/>
      <c r="AJ41" s="1317">
        <v>0</v>
      </c>
      <c r="AK41" s="1826">
        <f>4-AJ41*2-AJ42*1</f>
        <v>3</v>
      </c>
      <c r="AL41" s="1444"/>
      <c r="AM41" s="330">
        <v>0</v>
      </c>
      <c r="AN41" s="1826">
        <f>4-AM41*2-AM42*1</f>
        <v>4</v>
      </c>
      <c r="AO41" s="1421"/>
      <c r="AP41" s="323">
        <f t="shared" si="45"/>
        <v>0</v>
      </c>
      <c r="AQ41" s="510"/>
      <c r="AR41" s="1317">
        <v>0</v>
      </c>
      <c r="AS41" s="1826">
        <f>4-AR41*2-AR42*1</f>
        <v>4</v>
      </c>
      <c r="AT41" s="1444"/>
      <c r="AU41" s="330">
        <v>0</v>
      </c>
      <c r="AV41" s="1826">
        <f>4-AU41*2-AU42*1</f>
        <v>4</v>
      </c>
      <c r="AW41" s="1421"/>
      <c r="AX41" s="323">
        <f t="shared" si="46"/>
        <v>0</v>
      </c>
      <c r="AY41" s="510"/>
      <c r="AZ41" s="1317">
        <v>0</v>
      </c>
      <c r="BA41" s="1826">
        <f>4-AZ41*2-AZ42*1</f>
        <v>4</v>
      </c>
      <c r="BB41" s="1444"/>
      <c r="BC41" s="330">
        <v>0</v>
      </c>
      <c r="BD41" s="1826">
        <f>4-BC41*2-BC42*1</f>
        <v>4</v>
      </c>
      <c r="BE41" s="1421"/>
      <c r="BF41" s="323">
        <f t="shared" si="6"/>
        <v>0</v>
      </c>
      <c r="BG41" s="510"/>
      <c r="BH41" s="1317">
        <v>0</v>
      </c>
      <c r="BI41" s="1826">
        <f>4-BH41*2-BH42*1</f>
        <v>4</v>
      </c>
      <c r="BJ41" s="1444"/>
      <c r="BK41" s="330">
        <v>0</v>
      </c>
      <c r="BL41" s="1826">
        <f>4-BK41*2-BK42*1</f>
        <v>4</v>
      </c>
      <c r="BM41" s="1421"/>
      <c r="BN41" s="323">
        <f t="shared" si="7"/>
        <v>0</v>
      </c>
      <c r="BO41" s="510"/>
      <c r="BP41" s="1317">
        <v>0</v>
      </c>
      <c r="BQ41" s="1826">
        <f>4-BP41*2-BP42*1</f>
        <v>4</v>
      </c>
      <c r="BR41" s="1444"/>
      <c r="BS41" s="330">
        <v>0</v>
      </c>
      <c r="BT41" s="1826">
        <f>4-BS41*2-BS42*1</f>
        <v>4</v>
      </c>
      <c r="BU41" s="1421"/>
      <c r="BV41" s="323">
        <f t="shared" si="8"/>
        <v>0</v>
      </c>
      <c r="BW41" s="510"/>
      <c r="BX41" s="1317">
        <v>0</v>
      </c>
      <c r="BY41" s="1826">
        <f>4-BX41*2-BX42*1</f>
        <v>4</v>
      </c>
      <c r="BZ41" s="1444"/>
      <c r="CA41" s="330">
        <v>0</v>
      </c>
      <c r="CB41" s="1826">
        <f>4-CA41*2-CA42*1</f>
        <v>4</v>
      </c>
      <c r="CC41" s="1421"/>
      <c r="CD41" s="323">
        <f t="shared" si="9"/>
        <v>0</v>
      </c>
      <c r="CE41" s="510"/>
      <c r="CF41" s="1317">
        <v>0</v>
      </c>
      <c r="CG41" s="1826">
        <f>4-CF41*2-CF42*1</f>
        <v>4</v>
      </c>
      <c r="CH41" s="1444"/>
      <c r="CI41" s="330">
        <v>0</v>
      </c>
      <c r="CJ41" s="1826">
        <f>4-CI41*2-CI42*1</f>
        <v>4</v>
      </c>
      <c r="CK41" s="1421"/>
      <c r="CL41" s="323">
        <f t="shared" si="10"/>
        <v>0</v>
      </c>
      <c r="CM41" s="510"/>
      <c r="CN41" s="1317">
        <v>0</v>
      </c>
      <c r="CO41" s="1826">
        <f>4-CN41*2-CN42*1</f>
        <v>4</v>
      </c>
      <c r="CP41" s="1444"/>
      <c r="CQ41" s="330">
        <v>0</v>
      </c>
      <c r="CR41" s="1826">
        <f>4-CQ41*2-CQ42*1</f>
        <v>4</v>
      </c>
      <c r="CS41" s="1421"/>
      <c r="CT41" s="323">
        <f t="shared" si="47"/>
        <v>0</v>
      </c>
      <c r="CU41" s="315"/>
      <c r="CX41" s="521"/>
      <c r="CY41" s="521">
        <v>0</v>
      </c>
      <c r="CZ41" s="522">
        <f t="shared" si="25"/>
        <v>4</v>
      </c>
      <c r="DA41" s="521">
        <v>0</v>
      </c>
      <c r="DB41" s="522">
        <f t="shared" si="50"/>
        <v>4</v>
      </c>
      <c r="DC41" s="521">
        <v>0</v>
      </c>
      <c r="DD41" s="522">
        <f t="shared" si="51"/>
        <v>4</v>
      </c>
      <c r="DE41" s="521">
        <v>0</v>
      </c>
      <c r="DF41" s="522">
        <f t="shared" si="52"/>
        <v>4</v>
      </c>
      <c r="DG41" s="521">
        <v>0</v>
      </c>
      <c r="DH41" s="522">
        <f t="shared" si="53"/>
        <v>4</v>
      </c>
      <c r="DI41" s="521">
        <v>0</v>
      </c>
      <c r="DJ41" s="522">
        <f t="shared" si="54"/>
        <v>4</v>
      </c>
      <c r="DK41" s="521">
        <v>0</v>
      </c>
      <c r="DL41" s="522">
        <f t="shared" si="49"/>
        <v>4</v>
      </c>
      <c r="DM41" s="521">
        <f t="shared" si="24"/>
        <v>24</v>
      </c>
      <c r="DN41" s="313"/>
      <c r="DO41" s="313"/>
      <c r="DP41" s="313"/>
      <c r="DQ41" s="313"/>
      <c r="DR41" s="313"/>
      <c r="DS41" s="313"/>
      <c r="DT41" s="313"/>
      <c r="DU41" s="313"/>
      <c r="DV41" s="313"/>
      <c r="DW41" s="313"/>
    </row>
    <row r="42" spans="1:127" s="2" customFormat="1" ht="28.5">
      <c r="A42" s="1850"/>
      <c r="B42" s="1851"/>
      <c r="C42" s="23">
        <v>20</v>
      </c>
      <c r="D42" s="329" t="s">
        <v>2000</v>
      </c>
      <c r="E42" s="482" t="s">
        <v>254</v>
      </c>
      <c r="F42" s="488"/>
      <c r="G42" s="612" t="s">
        <v>477</v>
      </c>
      <c r="H42" s="334" t="s">
        <v>282</v>
      </c>
      <c r="I42" s="1849"/>
      <c r="J42" s="648">
        <f t="shared" si="42"/>
        <v>0.1</v>
      </c>
      <c r="K42" s="651">
        <v>0</v>
      </c>
      <c r="L42" s="648">
        <f t="shared" si="43"/>
        <v>0</v>
      </c>
      <c r="M42" s="501"/>
      <c r="N42" s="502">
        <f t="shared" si="20"/>
        <v>0</v>
      </c>
      <c r="O42" s="500">
        <f t="shared" si="48"/>
        <v>0</v>
      </c>
      <c r="P42" s="500">
        <f t="shared" si="21"/>
        <v>0</v>
      </c>
      <c r="Q42" s="816">
        <f t="shared" si="22"/>
        <v>0</v>
      </c>
      <c r="R42" s="815">
        <f t="shared" si="23"/>
        <v>0</v>
      </c>
      <c r="S42" s="510"/>
      <c r="T42" s="1317">
        <v>0</v>
      </c>
      <c r="U42" s="1826"/>
      <c r="V42" s="1444"/>
      <c r="W42" s="330">
        <v>0</v>
      </c>
      <c r="X42" s="1424"/>
      <c r="Y42" s="1826"/>
      <c r="Z42" s="323">
        <f t="shared" si="44"/>
        <v>0</v>
      </c>
      <c r="AA42" s="510"/>
      <c r="AB42" s="1317">
        <v>0</v>
      </c>
      <c r="AC42" s="1826"/>
      <c r="AD42" s="1444"/>
      <c r="AE42" s="330">
        <v>0</v>
      </c>
      <c r="AF42" s="1424"/>
      <c r="AG42" s="1826"/>
      <c r="AH42" s="323">
        <f t="shared" si="3"/>
        <v>0</v>
      </c>
      <c r="AI42" s="510"/>
      <c r="AJ42" s="1317">
        <v>1</v>
      </c>
      <c r="AK42" s="1826"/>
      <c r="AL42" s="1444"/>
      <c r="AM42" s="330">
        <v>0</v>
      </c>
      <c r="AN42" s="1826"/>
      <c r="AO42" s="1421"/>
      <c r="AP42" s="323">
        <f t="shared" si="45"/>
        <v>-1</v>
      </c>
      <c r="AQ42" s="510"/>
      <c r="AR42" s="1317">
        <v>0</v>
      </c>
      <c r="AS42" s="1826"/>
      <c r="AT42" s="1444"/>
      <c r="AU42" s="330">
        <v>0</v>
      </c>
      <c r="AV42" s="1826"/>
      <c r="AW42" s="1421"/>
      <c r="AX42" s="323">
        <f t="shared" si="46"/>
        <v>0</v>
      </c>
      <c r="AY42" s="510"/>
      <c r="AZ42" s="1317">
        <v>0</v>
      </c>
      <c r="BA42" s="1826"/>
      <c r="BB42" s="1444"/>
      <c r="BC42" s="330">
        <v>0</v>
      </c>
      <c r="BD42" s="1826"/>
      <c r="BE42" s="1421"/>
      <c r="BF42" s="323">
        <f t="shared" si="6"/>
        <v>0</v>
      </c>
      <c r="BG42" s="510"/>
      <c r="BH42" s="1317">
        <v>0</v>
      </c>
      <c r="BI42" s="1826"/>
      <c r="BJ42" s="1444"/>
      <c r="BK42" s="330">
        <v>0</v>
      </c>
      <c r="BL42" s="1826"/>
      <c r="BM42" s="1421"/>
      <c r="BN42" s="323">
        <f t="shared" si="7"/>
        <v>0</v>
      </c>
      <c r="BO42" s="510"/>
      <c r="BP42" s="1317">
        <v>0</v>
      </c>
      <c r="BQ42" s="1826"/>
      <c r="BR42" s="1444"/>
      <c r="BS42" s="330">
        <v>0</v>
      </c>
      <c r="BT42" s="1826"/>
      <c r="BU42" s="1421"/>
      <c r="BV42" s="323">
        <f t="shared" si="8"/>
        <v>0</v>
      </c>
      <c r="BW42" s="510"/>
      <c r="BX42" s="1317">
        <v>0</v>
      </c>
      <c r="BY42" s="1826"/>
      <c r="BZ42" s="1444"/>
      <c r="CA42" s="330">
        <v>0</v>
      </c>
      <c r="CB42" s="1826"/>
      <c r="CC42" s="1421"/>
      <c r="CD42" s="323">
        <f t="shared" si="9"/>
        <v>0</v>
      </c>
      <c r="CE42" s="510"/>
      <c r="CF42" s="1317">
        <v>0</v>
      </c>
      <c r="CG42" s="1826"/>
      <c r="CH42" s="1444"/>
      <c r="CI42" s="330">
        <v>0</v>
      </c>
      <c r="CJ42" s="1826"/>
      <c r="CK42" s="1421"/>
      <c r="CL42" s="323">
        <f t="shared" si="10"/>
        <v>0</v>
      </c>
      <c r="CM42" s="510"/>
      <c r="CN42" s="1317">
        <v>0</v>
      </c>
      <c r="CO42" s="1826"/>
      <c r="CP42" s="1444"/>
      <c r="CQ42" s="330">
        <v>0</v>
      </c>
      <c r="CR42" s="1826"/>
      <c r="CS42" s="1421"/>
      <c r="CT42" s="323">
        <f t="shared" si="47"/>
        <v>0</v>
      </c>
      <c r="CU42" s="315"/>
      <c r="CX42" s="521"/>
      <c r="CY42" s="521">
        <v>0</v>
      </c>
      <c r="CZ42" s="522">
        <f t="shared" si="25"/>
        <v>0</v>
      </c>
      <c r="DA42" s="521">
        <v>0</v>
      </c>
      <c r="DB42" s="522">
        <f t="shared" si="50"/>
        <v>0</v>
      </c>
      <c r="DC42" s="521">
        <v>0</v>
      </c>
      <c r="DD42" s="522">
        <f t="shared" si="51"/>
        <v>0</v>
      </c>
      <c r="DE42" s="521">
        <v>0</v>
      </c>
      <c r="DF42" s="522">
        <f t="shared" si="52"/>
        <v>0</v>
      </c>
      <c r="DG42" s="521">
        <v>0</v>
      </c>
      <c r="DH42" s="522">
        <f t="shared" si="53"/>
        <v>0</v>
      </c>
      <c r="DI42" s="521">
        <v>0</v>
      </c>
      <c r="DJ42" s="522">
        <f t="shared" si="54"/>
        <v>0</v>
      </c>
      <c r="DK42" s="521">
        <v>0</v>
      </c>
      <c r="DL42" s="522">
        <f t="shared" si="49"/>
        <v>0</v>
      </c>
      <c r="DM42" s="521">
        <f t="shared" si="24"/>
        <v>0</v>
      </c>
      <c r="DN42" s="313"/>
      <c r="DO42" s="313"/>
      <c r="DP42" s="313"/>
      <c r="DQ42" s="313"/>
      <c r="DR42" s="313"/>
      <c r="DS42" s="313"/>
      <c r="DT42" s="313"/>
      <c r="DU42" s="313"/>
      <c r="DV42" s="313"/>
      <c r="DW42" s="313"/>
    </row>
    <row r="43" spans="1:127" s="2" customFormat="1" ht="28.5">
      <c r="A43" s="1850" t="s">
        <v>2380</v>
      </c>
      <c r="B43" s="1851" t="s">
        <v>1245</v>
      </c>
      <c r="C43" s="23">
        <v>21</v>
      </c>
      <c r="D43" s="329" t="s">
        <v>2001</v>
      </c>
      <c r="E43" s="482" t="s">
        <v>1199</v>
      </c>
      <c r="F43" s="488" t="s">
        <v>1770</v>
      </c>
      <c r="G43" s="612" t="s">
        <v>1771</v>
      </c>
      <c r="H43" s="334" t="s">
        <v>282</v>
      </c>
      <c r="I43" s="1849">
        <v>6</v>
      </c>
      <c r="J43" s="648">
        <f t="shared" si="42"/>
        <v>0</v>
      </c>
      <c r="K43" s="651">
        <f>AVERAGE(CO43,CG43,BY43,BQ43,BI43,BA43,AS43,AK43,AC43,U43)</f>
        <v>6</v>
      </c>
      <c r="L43" s="648">
        <f t="shared" si="43"/>
        <v>0</v>
      </c>
      <c r="M43" s="501">
        <f>AVERAGE(CR43,CJ43,CB43,BT43,BL43,BD43,AV43,AN43,AG43,Y43)</f>
        <v>6</v>
      </c>
      <c r="N43" s="502">
        <f t="shared" si="20"/>
        <v>0</v>
      </c>
      <c r="O43" s="500">
        <f t="shared" si="48"/>
        <v>0</v>
      </c>
      <c r="P43" s="500">
        <f t="shared" si="21"/>
        <v>0</v>
      </c>
      <c r="Q43" s="816">
        <f t="shared" si="22"/>
        <v>0</v>
      </c>
      <c r="R43" s="815">
        <f t="shared" si="23"/>
        <v>0</v>
      </c>
      <c r="S43" s="510"/>
      <c r="T43" s="1317">
        <v>0</v>
      </c>
      <c r="U43" s="1826">
        <f>6-T43*0.5-T44*3</f>
        <v>6</v>
      </c>
      <c r="V43" s="1444"/>
      <c r="W43" s="330">
        <v>0</v>
      </c>
      <c r="X43" s="1424"/>
      <c r="Y43" s="1826">
        <f>6-W43*0.5-W44*3</f>
        <v>6</v>
      </c>
      <c r="Z43" s="323">
        <f t="shared" si="44"/>
        <v>0</v>
      </c>
      <c r="AA43" s="510"/>
      <c r="AB43" s="1317">
        <v>0</v>
      </c>
      <c r="AC43" s="1826">
        <f>6-AB43*0.5-AB44*3</f>
        <v>6</v>
      </c>
      <c r="AD43" s="1444"/>
      <c r="AE43" s="330">
        <v>0</v>
      </c>
      <c r="AF43" s="1424"/>
      <c r="AG43" s="1826">
        <f>6-AE43*0.5-AE44*3</f>
        <v>6</v>
      </c>
      <c r="AH43" s="323">
        <f t="shared" si="3"/>
        <v>0</v>
      </c>
      <c r="AI43" s="510"/>
      <c r="AJ43" s="1317">
        <v>0</v>
      </c>
      <c r="AK43" s="1826">
        <f>6-AJ43*0.5-AJ44*3</f>
        <v>6</v>
      </c>
      <c r="AL43" s="1444"/>
      <c r="AM43" s="330">
        <v>0</v>
      </c>
      <c r="AN43" s="1826">
        <f>6-AM43*0.5-AM44*3</f>
        <v>6</v>
      </c>
      <c r="AO43" s="1421"/>
      <c r="AP43" s="323">
        <f t="shared" si="45"/>
        <v>0</v>
      </c>
      <c r="AQ43" s="510"/>
      <c r="AR43" s="338">
        <v>0</v>
      </c>
      <c r="AS43" s="1826">
        <f>6-AR43*0.5-AR44*3</f>
        <v>6</v>
      </c>
      <c r="AT43" s="1444"/>
      <c r="AU43" s="338">
        <v>0</v>
      </c>
      <c r="AV43" s="1826">
        <f>6-AU43*0.5-AU44*3</f>
        <v>6</v>
      </c>
      <c r="AW43" s="1421"/>
      <c r="AX43" s="323">
        <f t="shared" si="46"/>
        <v>0</v>
      </c>
      <c r="AY43" s="510"/>
      <c r="AZ43" s="338">
        <v>0</v>
      </c>
      <c r="BA43" s="1826">
        <f>6-AZ43*0.5-AZ44*3</f>
        <v>6</v>
      </c>
      <c r="BB43" s="1444"/>
      <c r="BC43" s="338">
        <v>0</v>
      </c>
      <c r="BD43" s="1826">
        <f>6-BC43*0.5-BC44*3</f>
        <v>6</v>
      </c>
      <c r="BE43" s="1421"/>
      <c r="BF43" s="323">
        <f t="shared" si="6"/>
        <v>0</v>
      </c>
      <c r="BG43" s="510"/>
      <c r="BH43" s="1317">
        <v>0</v>
      </c>
      <c r="BI43" s="1826">
        <f>6-BH43*0.5-BH44*3</f>
        <v>6</v>
      </c>
      <c r="BJ43" s="1444"/>
      <c r="BK43" s="330">
        <v>0</v>
      </c>
      <c r="BL43" s="1826">
        <f>6-BK43*0.5-BK44*3</f>
        <v>6</v>
      </c>
      <c r="BM43" s="1421"/>
      <c r="BN43" s="323">
        <f t="shared" si="7"/>
        <v>0</v>
      </c>
      <c r="BO43" s="510"/>
      <c r="BP43" s="1317">
        <v>0</v>
      </c>
      <c r="BQ43" s="1826">
        <f>6-BP43*0.5-BP44*3</f>
        <v>6</v>
      </c>
      <c r="BR43" s="1444"/>
      <c r="BS43" s="330">
        <v>0</v>
      </c>
      <c r="BT43" s="1826">
        <f>6-BS43*0.5-BS44*3</f>
        <v>6</v>
      </c>
      <c r="BU43" s="1421"/>
      <c r="BV43" s="323">
        <f t="shared" si="8"/>
        <v>0</v>
      </c>
      <c r="BW43" s="510"/>
      <c r="BX43" s="1317">
        <v>0</v>
      </c>
      <c r="BY43" s="1826">
        <f>6-BX43*0.5-BX44*3</f>
        <v>6</v>
      </c>
      <c r="BZ43" s="1444"/>
      <c r="CA43" s="330">
        <v>0</v>
      </c>
      <c r="CB43" s="1826">
        <f>6-CA43*0.5-CA44*3</f>
        <v>6</v>
      </c>
      <c r="CC43" s="1421"/>
      <c r="CD43" s="323">
        <f t="shared" si="9"/>
        <v>0</v>
      </c>
      <c r="CE43" s="510"/>
      <c r="CF43" s="1317">
        <v>0</v>
      </c>
      <c r="CG43" s="1826">
        <f>6-CF43*0.5-CF44*3</f>
        <v>6</v>
      </c>
      <c r="CH43" s="1444"/>
      <c r="CI43" s="330">
        <v>0</v>
      </c>
      <c r="CJ43" s="1826">
        <f>6-CI43*0.5-CI44*3</f>
        <v>6</v>
      </c>
      <c r="CK43" s="1421"/>
      <c r="CL43" s="323">
        <f t="shared" si="10"/>
        <v>0</v>
      </c>
      <c r="CM43" s="510"/>
      <c r="CN43" s="338">
        <v>0</v>
      </c>
      <c r="CO43" s="1826">
        <f>6-CN43*0.5-CN44*3</f>
        <v>6</v>
      </c>
      <c r="CP43" s="1444"/>
      <c r="CQ43" s="338">
        <v>0</v>
      </c>
      <c r="CR43" s="1826">
        <f>6-CQ43*0.5-CQ44*3</f>
        <v>6</v>
      </c>
      <c r="CS43" s="1421"/>
      <c r="CT43" s="323">
        <f t="shared" si="47"/>
        <v>0</v>
      </c>
      <c r="CU43" s="315"/>
      <c r="CX43" s="521"/>
      <c r="CY43" s="521">
        <v>1</v>
      </c>
      <c r="CZ43" s="522">
        <f t="shared" ref="CZ43:CZ72" si="55">$M43</f>
        <v>6</v>
      </c>
      <c r="DA43" s="521">
        <v>1</v>
      </c>
      <c r="DB43" s="522">
        <f t="shared" si="50"/>
        <v>6</v>
      </c>
      <c r="DC43" s="521">
        <v>1</v>
      </c>
      <c r="DD43" s="522">
        <f t="shared" si="51"/>
        <v>6</v>
      </c>
      <c r="DE43" s="521">
        <v>1</v>
      </c>
      <c r="DF43" s="522">
        <f t="shared" si="52"/>
        <v>6</v>
      </c>
      <c r="DG43" s="521">
        <v>1</v>
      </c>
      <c r="DH43" s="522">
        <f t="shared" si="53"/>
        <v>6</v>
      </c>
      <c r="DI43" s="521">
        <v>1</v>
      </c>
      <c r="DJ43" s="522">
        <f t="shared" si="54"/>
        <v>6</v>
      </c>
      <c r="DK43" s="521">
        <v>0</v>
      </c>
      <c r="DL43" s="522">
        <f t="shared" si="49"/>
        <v>6</v>
      </c>
      <c r="DM43" s="521">
        <f t="shared" si="24"/>
        <v>42</v>
      </c>
      <c r="DN43" s="313"/>
      <c r="DO43" s="313"/>
      <c r="DP43" s="313"/>
      <c r="DQ43" s="313"/>
      <c r="DR43" s="313"/>
      <c r="DS43" s="313"/>
      <c r="DT43" s="313"/>
      <c r="DU43" s="313"/>
      <c r="DV43" s="313"/>
      <c r="DW43" s="313"/>
    </row>
    <row r="44" spans="1:127" s="2" customFormat="1" ht="27.75" customHeight="1">
      <c r="A44" s="1850"/>
      <c r="B44" s="1851"/>
      <c r="C44" s="23">
        <v>22</v>
      </c>
      <c r="D44" s="329" t="s">
        <v>1246</v>
      </c>
      <c r="E44" s="482" t="s">
        <v>1199</v>
      </c>
      <c r="F44" s="488" t="s">
        <v>1770</v>
      </c>
      <c r="G44" s="612" t="s">
        <v>477</v>
      </c>
      <c r="H44" s="334" t="s">
        <v>282</v>
      </c>
      <c r="I44" s="1849"/>
      <c r="J44" s="648">
        <f t="shared" si="42"/>
        <v>0</v>
      </c>
      <c r="K44" s="651">
        <v>0</v>
      </c>
      <c r="L44" s="648">
        <f t="shared" si="43"/>
        <v>0</v>
      </c>
      <c r="M44" s="501"/>
      <c r="N44" s="502">
        <f t="shared" si="20"/>
        <v>0</v>
      </c>
      <c r="O44" s="500">
        <f t="shared" si="48"/>
        <v>0</v>
      </c>
      <c r="P44" s="500">
        <f t="shared" si="21"/>
        <v>0</v>
      </c>
      <c r="Q44" s="816">
        <f t="shared" si="22"/>
        <v>0</v>
      </c>
      <c r="R44" s="815">
        <f t="shared" si="23"/>
        <v>0</v>
      </c>
      <c r="S44" s="510"/>
      <c r="T44" s="1317">
        <v>0</v>
      </c>
      <c r="U44" s="1826"/>
      <c r="V44" s="1444"/>
      <c r="W44" s="330">
        <v>0</v>
      </c>
      <c r="X44" s="1424"/>
      <c r="Y44" s="1826"/>
      <c r="Z44" s="323">
        <f t="shared" si="44"/>
        <v>0</v>
      </c>
      <c r="AA44" s="510"/>
      <c r="AB44" s="1317">
        <v>0</v>
      </c>
      <c r="AC44" s="1826"/>
      <c r="AD44" s="1444"/>
      <c r="AE44" s="330">
        <v>0</v>
      </c>
      <c r="AF44" s="1424"/>
      <c r="AG44" s="1826"/>
      <c r="AH44" s="323">
        <f t="shared" si="3"/>
        <v>0</v>
      </c>
      <c r="AI44" s="510"/>
      <c r="AJ44" s="1317">
        <v>0</v>
      </c>
      <c r="AK44" s="1826"/>
      <c r="AL44" s="1444"/>
      <c r="AM44" s="330">
        <v>0</v>
      </c>
      <c r="AN44" s="1826"/>
      <c r="AO44" s="1421"/>
      <c r="AP44" s="323">
        <f t="shared" si="45"/>
        <v>0</v>
      </c>
      <c r="AQ44" s="510"/>
      <c r="AR44" s="338">
        <v>0</v>
      </c>
      <c r="AS44" s="1826"/>
      <c r="AT44" s="1444"/>
      <c r="AU44" s="338">
        <v>0</v>
      </c>
      <c r="AV44" s="1826"/>
      <c r="AW44" s="1421"/>
      <c r="AX44" s="323">
        <f t="shared" si="46"/>
        <v>0</v>
      </c>
      <c r="AY44" s="510"/>
      <c r="AZ44" s="338">
        <v>0</v>
      </c>
      <c r="BA44" s="1826"/>
      <c r="BB44" s="1444"/>
      <c r="BC44" s="338">
        <v>0</v>
      </c>
      <c r="BD44" s="1826"/>
      <c r="BE44" s="1421"/>
      <c r="BF44" s="323">
        <f t="shared" si="6"/>
        <v>0</v>
      </c>
      <c r="BG44" s="510"/>
      <c r="BH44" s="1317">
        <v>0</v>
      </c>
      <c r="BI44" s="1826"/>
      <c r="BJ44" s="1444"/>
      <c r="BK44" s="330">
        <v>0</v>
      </c>
      <c r="BL44" s="1826"/>
      <c r="BM44" s="1421"/>
      <c r="BN44" s="323">
        <f t="shared" si="7"/>
        <v>0</v>
      </c>
      <c r="BO44" s="510"/>
      <c r="BP44" s="1317">
        <v>0</v>
      </c>
      <c r="BQ44" s="1826"/>
      <c r="BR44" s="1444"/>
      <c r="BS44" s="330">
        <v>0</v>
      </c>
      <c r="BT44" s="1826"/>
      <c r="BU44" s="1421"/>
      <c r="BV44" s="323">
        <f t="shared" si="8"/>
        <v>0</v>
      </c>
      <c r="BW44" s="510"/>
      <c r="BX44" s="1317">
        <v>0</v>
      </c>
      <c r="BY44" s="1826"/>
      <c r="BZ44" s="1444"/>
      <c r="CA44" s="330">
        <v>0</v>
      </c>
      <c r="CB44" s="1826"/>
      <c r="CC44" s="1421"/>
      <c r="CD44" s="323">
        <f t="shared" si="9"/>
        <v>0</v>
      </c>
      <c r="CE44" s="510"/>
      <c r="CF44" s="1317">
        <v>0</v>
      </c>
      <c r="CG44" s="1826"/>
      <c r="CH44" s="1444"/>
      <c r="CI44" s="330">
        <v>0</v>
      </c>
      <c r="CJ44" s="1826"/>
      <c r="CK44" s="1421"/>
      <c r="CL44" s="323">
        <f t="shared" si="10"/>
        <v>0</v>
      </c>
      <c r="CM44" s="510"/>
      <c r="CN44" s="338">
        <v>0</v>
      </c>
      <c r="CO44" s="1826"/>
      <c r="CP44" s="1444"/>
      <c r="CQ44" s="338">
        <v>0</v>
      </c>
      <c r="CR44" s="1826"/>
      <c r="CS44" s="1421"/>
      <c r="CT44" s="323">
        <f t="shared" si="47"/>
        <v>0</v>
      </c>
      <c r="CU44" s="315"/>
      <c r="CX44" s="521"/>
      <c r="CY44" s="521">
        <v>1</v>
      </c>
      <c r="CZ44" s="522">
        <f t="shared" si="55"/>
        <v>0</v>
      </c>
      <c r="DA44" s="521">
        <v>1</v>
      </c>
      <c r="DB44" s="522">
        <f t="shared" si="50"/>
        <v>0</v>
      </c>
      <c r="DC44" s="521">
        <v>1</v>
      </c>
      <c r="DD44" s="522">
        <f t="shared" si="51"/>
        <v>0</v>
      </c>
      <c r="DE44" s="521">
        <v>1</v>
      </c>
      <c r="DF44" s="522">
        <f t="shared" si="52"/>
        <v>0</v>
      </c>
      <c r="DG44" s="521">
        <v>1</v>
      </c>
      <c r="DH44" s="522">
        <f t="shared" si="53"/>
        <v>0</v>
      </c>
      <c r="DI44" s="521">
        <v>1</v>
      </c>
      <c r="DJ44" s="522">
        <f t="shared" si="54"/>
        <v>0</v>
      </c>
      <c r="DK44" s="521">
        <v>0</v>
      </c>
      <c r="DL44" s="522">
        <f t="shared" si="49"/>
        <v>0</v>
      </c>
      <c r="DM44" s="521">
        <f t="shared" si="24"/>
        <v>6</v>
      </c>
      <c r="DN44" s="313"/>
      <c r="DO44" s="313"/>
      <c r="DP44" s="313"/>
      <c r="DQ44" s="313"/>
      <c r="DR44" s="313"/>
      <c r="DS44" s="313"/>
      <c r="DT44" s="313"/>
      <c r="DU44" s="313"/>
      <c r="DV44" s="313"/>
      <c r="DW44" s="313"/>
    </row>
    <row r="45" spans="1:127" s="2" customFormat="1" ht="14.25">
      <c r="A45" s="1838" t="s">
        <v>1247</v>
      </c>
      <c r="B45" s="1840" t="s">
        <v>2227</v>
      </c>
      <c r="C45" s="23">
        <v>23</v>
      </c>
      <c r="D45" s="998" t="s">
        <v>2039</v>
      </c>
      <c r="E45" s="482"/>
      <c r="F45" s="610"/>
      <c r="G45" s="610" t="s">
        <v>472</v>
      </c>
      <c r="H45" s="330" t="s">
        <v>282</v>
      </c>
      <c r="I45" s="611">
        <v>3</v>
      </c>
      <c r="J45" s="644">
        <f t="shared" si="42"/>
        <v>0.94056944155913658</v>
      </c>
      <c r="K45" s="1334">
        <f>AVERAGE(CO45,CG45,BY45,BQ45,BI45,BA45,AS45,AK45,AC45,U45)</f>
        <v>2.85</v>
      </c>
      <c r="L45" s="644">
        <f t="shared" si="43"/>
        <v>0.92986711515538634</v>
      </c>
      <c r="M45" s="1333">
        <f>AVERAGE(CR45,CJ45,CB45,BT45,BL45,BD45,AV45,AN45,AG45,Y45)</f>
        <v>2.85</v>
      </c>
      <c r="N45" s="1320">
        <f t="shared" si="20"/>
        <v>0</v>
      </c>
      <c r="O45" s="500">
        <f t="shared" si="48"/>
        <v>0.14999999999999991</v>
      </c>
      <c r="P45" s="500">
        <f t="shared" si="21"/>
        <v>0.10499999999999993</v>
      </c>
      <c r="Q45" s="816">
        <f t="shared" si="22"/>
        <v>1.1666666666666659E-2</v>
      </c>
      <c r="R45" s="815">
        <f t="shared" si="23"/>
        <v>5.8333333333333293E-3</v>
      </c>
      <c r="S45" s="510"/>
      <c r="T45" s="1316">
        <f>IF(T47=0,"",T46/T47)</f>
        <v>0.98427036589072103</v>
      </c>
      <c r="U45" s="332">
        <f>IF(T45&gt;=0.9,3,IF(T45&gt;=0.8,1.5,0))</f>
        <v>3</v>
      </c>
      <c r="V45" s="332"/>
      <c r="W45" s="640">
        <f>IF(W47=0,"",W46/W47)</f>
        <v>0.96844296907799798</v>
      </c>
      <c r="X45" s="1423"/>
      <c r="Y45" s="332">
        <f>IF(W45&gt;=0.9,3,IF(W45&gt;=0.8,1.5,0))</f>
        <v>3</v>
      </c>
      <c r="Z45" s="323">
        <f t="shared" si="44"/>
        <v>-1.6080334592213363E-2</v>
      </c>
      <c r="AA45" s="510"/>
      <c r="AB45" s="1316">
        <f>IF(AB47=0,"",AB46/AB47)</f>
        <v>0.95774802788535718</v>
      </c>
      <c r="AC45" s="332">
        <f>IF(AB45&gt;=0.9,3,IF(AB45&gt;=0.8,1.5,0))</f>
        <v>3</v>
      </c>
      <c r="AD45" s="332"/>
      <c r="AE45" s="640">
        <f>IF(AE47=0,"",AE46/AE47)</f>
        <v>0.93704469069555107</v>
      </c>
      <c r="AF45" s="1423"/>
      <c r="AG45" s="332">
        <f>IF(AE45&gt;=0.9,3,IF(AE45&gt;=0.8,1.5,0))</f>
        <v>3</v>
      </c>
      <c r="AH45" s="323">
        <f t="shared" si="3"/>
        <v>-2.1616684751121551E-2</v>
      </c>
      <c r="AI45" s="510"/>
      <c r="AJ45" s="1316">
        <f>IF(AJ47=0,"",AJ46/AJ47)</f>
        <v>0.94313821758224647</v>
      </c>
      <c r="AK45" s="332">
        <f>IF(AJ45&gt;=0.9,3,IF(AJ45&gt;=0.8,1.5,0))</f>
        <v>3</v>
      </c>
      <c r="AL45" s="332"/>
      <c r="AM45" s="640">
        <f>IF(AM47=0,"",AM46/AM47)</f>
        <v>0.9281903911784104</v>
      </c>
      <c r="AN45" s="332">
        <f>IF(AM45&gt;=0.9,3,IF(AM45&gt;=0.8,1.5,0))</f>
        <v>3</v>
      </c>
      <c r="AO45" s="332"/>
      <c r="AP45" s="323">
        <f t="shared" si="45"/>
        <v>-1.5849030529326957E-2</v>
      </c>
      <c r="AQ45" s="510"/>
      <c r="AR45" s="1316">
        <f>IF(AR47=0,"",AR46/AR47)</f>
        <v>0.94251974431105945</v>
      </c>
      <c r="AS45" s="332">
        <f>IF(AR45&gt;=0.9,3,IF(AR45&gt;=0.8,1.5,0))</f>
        <v>3</v>
      </c>
      <c r="AT45" s="332"/>
      <c r="AU45" s="640">
        <f>IF(AU47=0,"",AU46/AU47)</f>
        <v>0.94472645220768769</v>
      </c>
      <c r="AV45" s="332">
        <f>IF(AU45&gt;=0.9,3,IF(AU45&gt;=0.8,1.5,0))</f>
        <v>3</v>
      </c>
      <c r="AW45" s="332"/>
      <c r="AX45" s="323">
        <f t="shared" si="46"/>
        <v>2.3412855910420749E-3</v>
      </c>
      <c r="AY45" s="510"/>
      <c r="AZ45" s="1316">
        <f>IF(AZ47=0,"",AZ46/AZ47)</f>
        <v>0.96148281967721305</v>
      </c>
      <c r="BA45" s="332">
        <f>IF(AZ45&gt;=0.9,3,IF(AZ45&gt;=0.8,1.5,0))</f>
        <v>3</v>
      </c>
      <c r="BB45" s="332"/>
      <c r="BC45" s="640">
        <f>IF(BC47=0,"",BC46/BC47)</f>
        <v>0.94489412712627852</v>
      </c>
      <c r="BD45" s="332">
        <f>IF(BC45&gt;=0.9,3,IF(BC45&gt;=0.8,1.5,0))</f>
        <v>3</v>
      </c>
      <c r="BE45" s="332"/>
      <c r="BF45" s="323">
        <f t="shared" si="6"/>
        <v>-1.7253238655375758E-2</v>
      </c>
      <c r="BG45" s="510"/>
      <c r="BH45" s="1316">
        <f>IF(BH47=0,"",BH46/BH47)</f>
        <v>0.95338319506708236</v>
      </c>
      <c r="BI45" s="332">
        <f>IF(BH45&gt;=0.9,3,IF(BH45&gt;=0.8,1.5,0))</f>
        <v>3</v>
      </c>
      <c r="BJ45" s="332"/>
      <c r="BK45" s="640">
        <f>IF(BK47=0,"",BK46/BK47)</f>
        <v>0.93821835102597928</v>
      </c>
      <c r="BL45" s="332">
        <f>IF(BK45&gt;=0.9,3,IF(BK45&gt;=0.8,1.5,0))</f>
        <v>3</v>
      </c>
      <c r="BM45" s="332"/>
      <c r="BN45" s="323">
        <f t="shared" si="7"/>
        <v>-1.5906347122088715E-2</v>
      </c>
      <c r="BO45" s="510"/>
      <c r="BP45" s="1316">
        <f>IF(BP47=0,"",BP46/BP47)</f>
        <v>0.92490706593524252</v>
      </c>
      <c r="BQ45" s="332">
        <f>IF(BP45&gt;=0.9,3,IF(BP45&gt;=0.8,1.5,0))</f>
        <v>3</v>
      </c>
      <c r="BR45" s="332"/>
      <c r="BS45" s="640">
        <f>IF(BS47=0,"",BS46/BS47)</f>
        <v>0.92392982643606492</v>
      </c>
      <c r="BT45" s="332">
        <f>IF(BS45&gt;=0.9,3,IF(BS45&gt;=0.8,1.5,0))</f>
        <v>3</v>
      </c>
      <c r="BU45" s="332"/>
      <c r="BV45" s="323">
        <f t="shared" si="8"/>
        <v>-1.0565812881854209E-3</v>
      </c>
      <c r="BW45" s="510"/>
      <c r="BX45" s="1316">
        <f>IF(BX47=0,"",BX46/BX47)</f>
        <v>0.93252375974910662</v>
      </c>
      <c r="BY45" s="332">
        <f>IF(BX45&gt;=0.9,3,IF(BX45&gt;=0.8,1.5,0))</f>
        <v>3</v>
      </c>
      <c r="BZ45" s="332"/>
      <c r="CA45" s="640">
        <f>IF(CA47=0,"",CA46/CA47)</f>
        <v>0.94129223331409617</v>
      </c>
      <c r="CB45" s="332">
        <f>IF(CA45&gt;=0.9,3,IF(CA45&gt;=0.8,1.5,0))</f>
        <v>3</v>
      </c>
      <c r="CC45" s="332"/>
      <c r="CD45" s="323">
        <f t="shared" si="9"/>
        <v>9.4029492260323533E-3</v>
      </c>
      <c r="CE45" s="510"/>
      <c r="CF45" s="1316">
        <f>IF(CF47=0,"",CF46/CF47)</f>
        <v>0.85387881776829422</v>
      </c>
      <c r="CG45" s="332">
        <f>IF(CF45&gt;=0.9,3,IF(CF45&gt;=0.8,1.5,0))</f>
        <v>1.5</v>
      </c>
      <c r="CH45" s="332"/>
      <c r="CI45" s="640">
        <f>IF(CI47=0,"",CI46/CI47)</f>
        <v>0.8557567584173813</v>
      </c>
      <c r="CJ45" s="332">
        <f>IF(CI45&gt;=0.9,3,IF(CI45&gt;=0.8,1.5,0))</f>
        <v>1.5</v>
      </c>
      <c r="CK45" s="332"/>
      <c r="CL45" s="323">
        <f t="shared" si="10"/>
        <v>2.1993058148406242E-3</v>
      </c>
      <c r="CM45" s="510"/>
      <c r="CN45" s="1316">
        <f>IF(CN47=0,"",CN46/CN47)</f>
        <v>0.95184240172504231</v>
      </c>
      <c r="CO45" s="332">
        <f>IF(CN45&gt;=0.9,3,IF(CN45&gt;=0.8,1.5,0))</f>
        <v>3</v>
      </c>
      <c r="CP45" s="332"/>
      <c r="CQ45" s="640">
        <f>IF(CQ47=0,"",CQ46/CQ47)</f>
        <v>0.91617535207441669</v>
      </c>
      <c r="CR45" s="332">
        <f>IF(CQ45&gt;=0.9,3,IF(CQ45&gt;=0.8,1.5,0))</f>
        <v>3</v>
      </c>
      <c r="CS45" s="332"/>
      <c r="CT45" s="323">
        <f t="shared" si="47"/>
        <v>-3.7471591500846668E-2</v>
      </c>
      <c r="CU45" s="315"/>
      <c r="CX45" s="521" t="s">
        <v>1772</v>
      </c>
      <c r="CY45" s="521">
        <v>0</v>
      </c>
      <c r="CZ45" s="522">
        <f t="shared" si="55"/>
        <v>2.85</v>
      </c>
      <c r="DA45" s="521">
        <v>1</v>
      </c>
      <c r="DB45" s="523">
        <v>2.85</v>
      </c>
      <c r="DC45" s="521">
        <v>0</v>
      </c>
      <c r="DD45" s="522">
        <f t="shared" si="51"/>
        <v>2.85</v>
      </c>
      <c r="DE45" s="521">
        <v>1</v>
      </c>
      <c r="DF45" s="523">
        <v>3</v>
      </c>
      <c r="DG45" s="521">
        <v>1</v>
      </c>
      <c r="DH45" s="523">
        <v>3</v>
      </c>
      <c r="DI45" s="521">
        <v>1</v>
      </c>
      <c r="DJ45" s="523">
        <v>3</v>
      </c>
      <c r="DK45" s="521">
        <v>0</v>
      </c>
      <c r="DL45" s="522">
        <f t="shared" si="49"/>
        <v>2.85</v>
      </c>
      <c r="DM45" s="521">
        <f t="shared" si="24"/>
        <v>21.55</v>
      </c>
      <c r="DN45" s="313"/>
      <c r="DO45" s="313"/>
      <c r="DP45" s="313"/>
      <c r="DQ45" s="313"/>
      <c r="DR45" s="313"/>
      <c r="DS45" s="313"/>
      <c r="DT45" s="313"/>
      <c r="DU45" s="313"/>
      <c r="DV45" s="313"/>
      <c r="DW45" s="313"/>
    </row>
    <row r="46" spans="1:127" s="2" customFormat="1" ht="14.25">
      <c r="A46" s="1839"/>
      <c r="B46" s="1841"/>
      <c r="C46" s="1452">
        <v>23.1</v>
      </c>
      <c r="D46" s="1453" t="s">
        <v>1248</v>
      </c>
      <c r="E46" s="1454" t="s">
        <v>1249</v>
      </c>
      <c r="F46" s="1455" t="s">
        <v>1773</v>
      </c>
      <c r="G46" s="1450"/>
      <c r="H46" s="1456"/>
      <c r="I46" s="1450"/>
      <c r="J46" s="1457">
        <f t="shared" si="42"/>
        <v>49728916.359000005</v>
      </c>
      <c r="K46" s="1458"/>
      <c r="L46" s="1457">
        <f t="shared" si="43"/>
        <v>49222180.899999999</v>
      </c>
      <c r="M46" s="1459"/>
      <c r="N46" s="1460">
        <f t="shared" si="20"/>
        <v>0</v>
      </c>
      <c r="O46" s="1460">
        <f t="shared" si="48"/>
        <v>0</v>
      </c>
      <c r="P46" s="1460">
        <f t="shared" si="21"/>
        <v>0</v>
      </c>
      <c r="Q46" s="1461">
        <f t="shared" si="22"/>
        <v>0</v>
      </c>
      <c r="R46" s="1462">
        <f t="shared" si="23"/>
        <v>0</v>
      </c>
      <c r="S46" s="1463"/>
      <c r="T46" s="1457">
        <v>23204917</v>
      </c>
      <c r="U46" s="1464"/>
      <c r="V46" s="1464">
        <v>23215659</v>
      </c>
      <c r="W46" s="1457">
        <v>25620642.000000007</v>
      </c>
      <c r="X46" s="1457">
        <v>25606082</v>
      </c>
      <c r="Y46" s="1464"/>
      <c r="Z46" s="1465">
        <f t="shared" si="44"/>
        <v>0.10410401381741674</v>
      </c>
      <c r="AA46" s="1463"/>
      <c r="AB46" s="1457">
        <v>71008250</v>
      </c>
      <c r="AC46" s="1464"/>
      <c r="AD46" s="1464">
        <v>71174499</v>
      </c>
      <c r="AE46" s="1457">
        <v>91459548</v>
      </c>
      <c r="AF46" s="1457">
        <v>91574262</v>
      </c>
      <c r="AG46" s="1464"/>
      <c r="AH46" s="1465">
        <f t="shared" si="3"/>
        <v>0.28801298440674139</v>
      </c>
      <c r="AI46" s="1463"/>
      <c r="AJ46" s="1457">
        <v>96293019</v>
      </c>
      <c r="AK46" s="1464"/>
      <c r="AL46" s="1464">
        <v>96358325</v>
      </c>
      <c r="AM46" s="1457">
        <v>80989104.999999985</v>
      </c>
      <c r="AN46" s="1464"/>
      <c r="AO46" s="1464">
        <v>80990682</v>
      </c>
      <c r="AP46" s="1465">
        <f t="shared" si="45"/>
        <v>-0.15893066973006642</v>
      </c>
      <c r="AQ46" s="1463"/>
      <c r="AR46" s="1457">
        <v>22049501.999999996</v>
      </c>
      <c r="AS46" s="1464"/>
      <c r="AT46" s="1464">
        <v>22056557</v>
      </c>
      <c r="AU46" s="1457">
        <v>32055978.999999996</v>
      </c>
      <c r="AV46" s="1464"/>
      <c r="AW46" s="1464">
        <v>32059264</v>
      </c>
      <c r="AX46" s="1465">
        <f t="shared" si="46"/>
        <v>0.45381873023708197</v>
      </c>
      <c r="AY46" s="1463"/>
      <c r="AZ46" s="1457">
        <v>87650692</v>
      </c>
      <c r="BA46" s="1464"/>
      <c r="BB46" s="1464">
        <v>87632414</v>
      </c>
      <c r="BC46" s="1457">
        <v>79781992</v>
      </c>
      <c r="BD46" s="1464"/>
      <c r="BE46" s="1464">
        <v>79792215</v>
      </c>
      <c r="BF46" s="1465">
        <f t="shared" si="6"/>
        <v>-8.9773392775952088E-2</v>
      </c>
      <c r="BG46" s="1463"/>
      <c r="BH46" s="1457">
        <v>91797195.000000015</v>
      </c>
      <c r="BI46" s="1464"/>
      <c r="BJ46" s="1464">
        <v>91753831</v>
      </c>
      <c r="BK46" s="1457">
        <v>78179445</v>
      </c>
      <c r="BL46" s="1464"/>
      <c r="BM46" s="1464">
        <v>78195755</v>
      </c>
      <c r="BN46" s="1465">
        <f t="shared" si="7"/>
        <v>-0.14834603606352037</v>
      </c>
      <c r="BO46" s="1463"/>
      <c r="BP46" s="1457">
        <v>17579482</v>
      </c>
      <c r="BQ46" s="1464"/>
      <c r="BR46" s="1464">
        <v>17615525</v>
      </c>
      <c r="BS46" s="1457">
        <v>17016351</v>
      </c>
      <c r="BT46" s="1464"/>
      <c r="BU46" s="1464">
        <v>17029046</v>
      </c>
      <c r="BV46" s="1465">
        <f t="shared" si="8"/>
        <v>-3.2033423965507013E-2</v>
      </c>
      <c r="BW46" s="1463"/>
      <c r="BX46" s="1457">
        <v>56697140.589999996</v>
      </c>
      <c r="BY46" s="1464"/>
      <c r="BZ46" s="1464">
        <v>56820288.590000004</v>
      </c>
      <c r="CA46" s="1457">
        <v>56357010</v>
      </c>
      <c r="CB46" s="1464"/>
      <c r="CC46" s="1464">
        <v>56372784</v>
      </c>
      <c r="CD46" s="1465">
        <f t="shared" si="9"/>
        <v>-5.9990783743331111E-3</v>
      </c>
      <c r="CE46" s="1463"/>
      <c r="CF46" s="1457">
        <v>11501588</v>
      </c>
      <c r="CG46" s="1464"/>
      <c r="CH46" s="1464">
        <v>11559653</v>
      </c>
      <c r="CI46" s="1457">
        <v>12548794</v>
      </c>
      <c r="CJ46" s="1464"/>
      <c r="CK46" s="1464">
        <v>12561108</v>
      </c>
      <c r="CL46" s="1465">
        <f t="shared" si="10"/>
        <v>9.1048818650085517E-2</v>
      </c>
      <c r="CM46" s="1463"/>
      <c r="CN46" s="1457">
        <v>19507378</v>
      </c>
      <c r="CO46" s="1464"/>
      <c r="CP46" s="1464">
        <v>19511680</v>
      </c>
      <c r="CQ46" s="1457">
        <v>18212942.999999996</v>
      </c>
      <c r="CR46" s="1464"/>
      <c r="CS46" s="1464">
        <v>18254621</v>
      </c>
      <c r="CT46" s="1465">
        <f t="shared" si="47"/>
        <v>-6.6356175596741118E-2</v>
      </c>
      <c r="CU46" s="315"/>
      <c r="CX46" s="521"/>
      <c r="CY46" s="521">
        <v>0</v>
      </c>
      <c r="CZ46" s="522">
        <f t="shared" si="55"/>
        <v>0</v>
      </c>
      <c r="DA46" s="521">
        <v>0</v>
      </c>
      <c r="DB46" s="522">
        <f t="shared" ref="DB46:DB51" si="56">$M46</f>
        <v>0</v>
      </c>
      <c r="DC46" s="521">
        <v>0</v>
      </c>
      <c r="DD46" s="522">
        <f t="shared" si="51"/>
        <v>0</v>
      </c>
      <c r="DE46" s="521">
        <v>0</v>
      </c>
      <c r="DF46" s="522">
        <f t="shared" ref="DF46:DF51" si="57">$M46</f>
        <v>0</v>
      </c>
      <c r="DG46" s="521">
        <v>0</v>
      </c>
      <c r="DH46" s="522">
        <f t="shared" ref="DH46:DH51" si="58">$M46</f>
        <v>0</v>
      </c>
      <c r="DI46" s="521">
        <v>0</v>
      </c>
      <c r="DJ46" s="522">
        <f t="shared" ref="DJ46:DJ51" si="59">$M46</f>
        <v>0</v>
      </c>
      <c r="DK46" s="521">
        <v>0</v>
      </c>
      <c r="DL46" s="522">
        <f t="shared" si="49"/>
        <v>0</v>
      </c>
      <c r="DM46" s="521">
        <f t="shared" si="24"/>
        <v>0</v>
      </c>
      <c r="DN46" s="313"/>
      <c r="DO46" s="313"/>
      <c r="DP46" s="313"/>
      <c r="DQ46" s="313"/>
      <c r="DR46" s="313"/>
      <c r="DS46" s="313"/>
      <c r="DT46" s="313"/>
      <c r="DU46" s="313"/>
      <c r="DV46" s="313"/>
      <c r="DW46" s="313"/>
    </row>
    <row r="47" spans="1:127" s="2" customFormat="1" ht="14.25">
      <c r="A47" s="1839"/>
      <c r="B47" s="1841"/>
      <c r="C47" s="1452">
        <v>23.2</v>
      </c>
      <c r="D47" s="1453" t="s">
        <v>1250</v>
      </c>
      <c r="E47" s="1454" t="s">
        <v>1249</v>
      </c>
      <c r="F47" s="1455" t="s">
        <v>1774</v>
      </c>
      <c r="G47" s="1450"/>
      <c r="H47" s="1456"/>
      <c r="I47" s="1450"/>
      <c r="J47" s="1457">
        <f t="shared" si="42"/>
        <v>52442763.299999997</v>
      </c>
      <c r="K47" s="1458"/>
      <c r="L47" s="1457">
        <f t="shared" si="43"/>
        <v>52584110.899999999</v>
      </c>
      <c r="M47" s="1459"/>
      <c r="N47" s="1460">
        <f t="shared" si="20"/>
        <v>0</v>
      </c>
      <c r="O47" s="1460">
        <f t="shared" si="48"/>
        <v>0</v>
      </c>
      <c r="P47" s="1460">
        <f t="shared" si="21"/>
        <v>0</v>
      </c>
      <c r="Q47" s="1461">
        <f t="shared" si="22"/>
        <v>0</v>
      </c>
      <c r="R47" s="1462">
        <f t="shared" si="23"/>
        <v>0</v>
      </c>
      <c r="S47" s="1463"/>
      <c r="T47" s="1457">
        <v>23575755.000000004</v>
      </c>
      <c r="U47" s="1464"/>
      <c r="V47" s="1464">
        <v>23538928</v>
      </c>
      <c r="W47" s="1457">
        <v>26455499</v>
      </c>
      <c r="X47" s="1457">
        <v>26439972</v>
      </c>
      <c r="Y47" s="1464"/>
      <c r="Z47" s="1465">
        <f t="shared" si="44"/>
        <v>0.12214853776687096</v>
      </c>
      <c r="AA47" s="1463"/>
      <c r="AB47" s="1457">
        <v>74140847</v>
      </c>
      <c r="AC47" s="1464"/>
      <c r="AD47" s="1464">
        <v>74065998</v>
      </c>
      <c r="AE47" s="1457">
        <v>97604254</v>
      </c>
      <c r="AF47" s="1457">
        <v>97591232</v>
      </c>
      <c r="AG47" s="1464"/>
      <c r="AH47" s="1465">
        <f t="shared" si="3"/>
        <v>0.31647071687756689</v>
      </c>
      <c r="AI47" s="1463"/>
      <c r="AJ47" s="1457">
        <v>102098523</v>
      </c>
      <c r="AK47" s="1464"/>
      <c r="AL47" s="1464">
        <v>101981020</v>
      </c>
      <c r="AM47" s="1457">
        <v>87254840.999999985</v>
      </c>
      <c r="AN47" s="1464"/>
      <c r="AO47" s="1464">
        <v>87196001</v>
      </c>
      <c r="AP47" s="1465">
        <f t="shared" si="45"/>
        <v>-0.14538586420099353</v>
      </c>
      <c r="AQ47" s="1463"/>
      <c r="AR47" s="1457">
        <v>23394207</v>
      </c>
      <c r="AS47" s="1464"/>
      <c r="AT47" s="1464">
        <v>23363150</v>
      </c>
      <c r="AU47" s="1457">
        <v>33931493.000000007</v>
      </c>
      <c r="AV47" s="1464"/>
      <c r="AW47" s="1464">
        <v>33924575</v>
      </c>
      <c r="AX47" s="1465">
        <f t="shared" si="46"/>
        <v>0.45042287605645304</v>
      </c>
      <c r="AY47" s="1463"/>
      <c r="AZ47" s="1457">
        <v>91161995</v>
      </c>
      <c r="BA47" s="1464"/>
      <c r="BB47" s="1464">
        <v>91060335</v>
      </c>
      <c r="BC47" s="1457">
        <v>84434848</v>
      </c>
      <c r="BD47" s="1464"/>
      <c r="BE47" s="1464">
        <v>84419237</v>
      </c>
      <c r="BF47" s="1465">
        <f t="shared" si="6"/>
        <v>-7.3793328020081206E-2</v>
      </c>
      <c r="BG47" s="1463"/>
      <c r="BH47" s="1457">
        <v>96285727.999999985</v>
      </c>
      <c r="BI47" s="1464"/>
      <c r="BJ47" s="1464">
        <v>96172546</v>
      </c>
      <c r="BK47" s="1457">
        <v>83327559</v>
      </c>
      <c r="BL47" s="1464"/>
      <c r="BM47" s="1464">
        <v>83262540</v>
      </c>
      <c r="BN47" s="1465">
        <f t="shared" si="7"/>
        <v>-0.13458037103899745</v>
      </c>
      <c r="BO47" s="1463"/>
      <c r="BP47" s="1457">
        <v>19006755</v>
      </c>
      <c r="BQ47" s="1464"/>
      <c r="BR47" s="1464">
        <v>18990451</v>
      </c>
      <c r="BS47" s="1457">
        <v>18417362.999999996</v>
      </c>
      <c r="BT47" s="1464"/>
      <c r="BU47" s="1464">
        <v>18405452</v>
      </c>
      <c r="BV47" s="1465">
        <f t="shared" si="8"/>
        <v>-3.1009606847670956E-2</v>
      </c>
      <c r="BW47" s="1463"/>
      <c r="BX47" s="1457">
        <v>60799673.999999993</v>
      </c>
      <c r="BY47" s="1464"/>
      <c r="BZ47" s="1464">
        <v>60736381</v>
      </c>
      <c r="CA47" s="1457">
        <v>59871959</v>
      </c>
      <c r="CB47" s="1464"/>
      <c r="CC47" s="1464">
        <v>59852688</v>
      </c>
      <c r="CD47" s="1465">
        <f t="shared" si="9"/>
        <v>-1.5258552208684439E-2</v>
      </c>
      <c r="CE47" s="1463"/>
      <c r="CF47" s="1457">
        <v>13469813</v>
      </c>
      <c r="CG47" s="1464"/>
      <c r="CH47" s="1464">
        <v>13469813</v>
      </c>
      <c r="CI47" s="1457">
        <v>14663972.999999998</v>
      </c>
      <c r="CJ47" s="1464"/>
      <c r="CK47" s="1464">
        <v>14657598</v>
      </c>
      <c r="CL47" s="1465">
        <f t="shared" si="10"/>
        <v>8.8654534402222041E-2</v>
      </c>
      <c r="CM47" s="1463"/>
      <c r="CN47" s="1457">
        <v>20494336.000000004</v>
      </c>
      <c r="CO47" s="1464"/>
      <c r="CP47" s="1464">
        <v>20478486</v>
      </c>
      <c r="CQ47" s="1457">
        <v>19879320.000000004</v>
      </c>
      <c r="CR47" s="1464"/>
      <c r="CS47" s="1464">
        <v>19879377</v>
      </c>
      <c r="CT47" s="1465">
        <f t="shared" si="47"/>
        <v>-3.0009071774757645E-2</v>
      </c>
      <c r="CU47" s="315"/>
      <c r="CX47" s="521"/>
      <c r="CY47" s="521">
        <v>0</v>
      </c>
      <c r="CZ47" s="522">
        <f t="shared" si="55"/>
        <v>0</v>
      </c>
      <c r="DA47" s="521">
        <v>0</v>
      </c>
      <c r="DB47" s="522">
        <f t="shared" si="56"/>
        <v>0</v>
      </c>
      <c r="DC47" s="521">
        <v>0</v>
      </c>
      <c r="DD47" s="522">
        <f t="shared" si="51"/>
        <v>0</v>
      </c>
      <c r="DE47" s="521">
        <v>0</v>
      </c>
      <c r="DF47" s="522">
        <f t="shared" si="57"/>
        <v>0</v>
      </c>
      <c r="DG47" s="521">
        <v>0</v>
      </c>
      <c r="DH47" s="522">
        <f t="shared" si="58"/>
        <v>0</v>
      </c>
      <c r="DI47" s="521">
        <v>0</v>
      </c>
      <c r="DJ47" s="522">
        <f t="shared" si="59"/>
        <v>0</v>
      </c>
      <c r="DK47" s="521">
        <v>0</v>
      </c>
      <c r="DL47" s="522">
        <f t="shared" si="49"/>
        <v>0</v>
      </c>
      <c r="DM47" s="521">
        <f t="shared" si="24"/>
        <v>0</v>
      </c>
      <c r="DN47" s="313"/>
      <c r="DO47" s="313"/>
      <c r="DP47" s="313"/>
      <c r="DQ47" s="313"/>
      <c r="DR47" s="313"/>
      <c r="DS47" s="313"/>
      <c r="DT47" s="313"/>
      <c r="DU47" s="313"/>
      <c r="DV47" s="313"/>
      <c r="DW47" s="313"/>
    </row>
    <row r="48" spans="1:127" s="2" customFormat="1" ht="14.25">
      <c r="A48" s="1838" t="s">
        <v>1252</v>
      </c>
      <c r="B48" s="1840" t="s">
        <v>1253</v>
      </c>
      <c r="C48" s="23">
        <v>24</v>
      </c>
      <c r="D48" s="329" t="s">
        <v>1251</v>
      </c>
      <c r="E48" s="484"/>
      <c r="F48" s="610"/>
      <c r="G48" s="610" t="s">
        <v>472</v>
      </c>
      <c r="H48" s="334" t="s">
        <v>282</v>
      </c>
      <c r="I48" s="611">
        <v>2</v>
      </c>
      <c r="J48" s="644">
        <f t="shared" si="42"/>
        <v>0.99855825848395541</v>
      </c>
      <c r="K48" s="651">
        <f>AVERAGE(CO48,CG48,BY48,BQ48,BI48,BA48,AS48,AK48,AC48,U48)</f>
        <v>2</v>
      </c>
      <c r="L48" s="644">
        <f t="shared" si="43"/>
        <v>0.9949279323299095</v>
      </c>
      <c r="M48" s="501">
        <f>AVERAGE(CR48,CJ48,CB48,BT48,BL48,BD48,AV48,AN48,AG48,Y48)</f>
        <v>2</v>
      </c>
      <c r="N48" s="502">
        <f t="shared" si="20"/>
        <v>0</v>
      </c>
      <c r="O48" s="500">
        <f t="shared" si="48"/>
        <v>0</v>
      </c>
      <c r="P48" s="500">
        <f t="shared" si="21"/>
        <v>0</v>
      </c>
      <c r="Q48" s="816">
        <f t="shared" si="22"/>
        <v>0</v>
      </c>
      <c r="R48" s="815">
        <f t="shared" si="23"/>
        <v>0</v>
      </c>
      <c r="S48" s="510"/>
      <c r="T48" s="1316">
        <f>IF(SUM(T50:T51)=0,"",T49/SUM(T50:T51))</f>
        <v>0.99897119341563789</v>
      </c>
      <c r="U48" s="332">
        <f>IF(T48&gt;=0.95,2,IF(T48&gt;=0.9,1,0))</f>
        <v>2</v>
      </c>
      <c r="V48" s="332"/>
      <c r="W48" s="640">
        <f>IF(SUM(W50:W51)=0,"",W49/SUM(W50:W51))</f>
        <v>0.99739357080799307</v>
      </c>
      <c r="X48" s="1423"/>
      <c r="Y48" s="332">
        <f>IF(W48&gt;=0.95,2,IF(W48&gt;=0.9,1,0))</f>
        <v>2</v>
      </c>
      <c r="Z48" s="323">
        <f t="shared" si="44"/>
        <v>-1.5792473477145297E-3</v>
      </c>
      <c r="AA48" s="510"/>
      <c r="AB48" s="1316">
        <f>IF(SUM(AB50:AB51)=0,"",AB49/SUM(AB50:AB51))</f>
        <v>0.99965229485396379</v>
      </c>
      <c r="AC48" s="332">
        <f>IF(AB48&gt;=0.95,2,IF(AB48&gt;=0.9,1,0))</f>
        <v>2</v>
      </c>
      <c r="AD48" s="332"/>
      <c r="AE48" s="640">
        <f>IF(SUM(AE50:AE51)=0,"",AE49/SUM(AE50:AE51))</f>
        <v>0.9941967818517542</v>
      </c>
      <c r="AF48" s="1423"/>
      <c r="AG48" s="332">
        <f>IF(AE48&gt;=0.95,2,IF(AE48&gt;=0.9,1,0))</f>
        <v>2</v>
      </c>
      <c r="AH48" s="323">
        <f t="shared" si="3"/>
        <v>-5.4574105719494836E-3</v>
      </c>
      <c r="AI48" s="510"/>
      <c r="AJ48" s="1316">
        <f>IF(SUM(AJ50:AJ51)=0,"",AJ49/SUM(AJ50:AJ51))</f>
        <v>0.99903799903799906</v>
      </c>
      <c r="AK48" s="332">
        <f>IF(AJ48&gt;=0.95,2,IF(AJ48&gt;=0.9,1,0))</f>
        <v>2</v>
      </c>
      <c r="AL48" s="332"/>
      <c r="AM48" s="640">
        <f>IF(SUM(AM50:AM51)=0,"",AM49/SUM(AM50:AM51))</f>
        <v>0.99662698412698414</v>
      </c>
      <c r="AN48" s="332">
        <f>IF(AM48&gt;=0.95,2,IF(AM48&gt;=0.9,1,0))</f>
        <v>2</v>
      </c>
      <c r="AO48" s="332"/>
      <c r="AP48" s="323">
        <f t="shared" si="45"/>
        <v>-2.4133365430910603E-3</v>
      </c>
      <c r="AQ48" s="510"/>
      <c r="AR48" s="1316">
        <f>IF(SUM(AR50:AR51)=0,"",AR49/SUM(AR50:AR51))</f>
        <v>0.99932432432432428</v>
      </c>
      <c r="AS48" s="332">
        <f>IF(AR48&gt;=0.95,2,IF(AR48&gt;=0.9,1,0))</f>
        <v>2</v>
      </c>
      <c r="AT48" s="332"/>
      <c r="AU48" s="640">
        <f>IF(SUM(AU50:AU51)=0,"",AU49/SUM(AU50:AU51))</f>
        <v>0.99923664122137401</v>
      </c>
      <c r="AV48" s="332">
        <f>IF(AU48&gt;=0.95,2,IF(AU48&gt;=0.9,1,0))</f>
        <v>2</v>
      </c>
      <c r="AW48" s="332"/>
      <c r="AX48" s="323">
        <f t="shared" si="46"/>
        <v>-8.7742388347744615E-5</v>
      </c>
      <c r="AY48" s="510"/>
      <c r="AZ48" s="1316">
        <f>IF(SUM(AZ50:AZ51)=0,"",AZ49/SUM(AZ50:AZ51))</f>
        <v>0.99916247906197653</v>
      </c>
      <c r="BA48" s="332">
        <f>IF(AZ48&gt;=0.95,2,IF(AZ48&gt;=0.9,1,0))</f>
        <v>2</v>
      </c>
      <c r="BB48" s="332"/>
      <c r="BC48" s="640">
        <f>IF(SUM(BC50:BC51)=0,"",BC49/SUM(BC50:BC51))</f>
        <v>0.99334543254688445</v>
      </c>
      <c r="BD48" s="332">
        <f>IF(BC48&gt;=0.95,2,IF(BC48&gt;=0.9,1,0))</f>
        <v>2</v>
      </c>
      <c r="BE48" s="332"/>
      <c r="BF48" s="323">
        <f t="shared" si="6"/>
        <v>-5.8219224970829098E-3</v>
      </c>
      <c r="BG48" s="510"/>
      <c r="BH48" s="1316">
        <f>IF(SUM(BH50:BH51)=0,"",BH49/SUM(BH50:BH51))</f>
        <v>0.99867162592986181</v>
      </c>
      <c r="BI48" s="332">
        <f>IF(BH48&gt;=0.95,2,IF(BH48&gt;=0.9,1,0))</f>
        <v>2</v>
      </c>
      <c r="BJ48" s="332"/>
      <c r="BK48" s="640">
        <f>IF(SUM(BK50:BK51)=0,"",BK49/SUM(BK50:BK51))</f>
        <v>0.99305129777232781</v>
      </c>
      <c r="BL48" s="332">
        <f>IF(BK48&gt;=0.95,2,IF(BK48&gt;=0.9,1,0))</f>
        <v>2</v>
      </c>
      <c r="BM48" s="332"/>
      <c r="BN48" s="323">
        <f t="shared" si="7"/>
        <v>-5.6278039864213758E-3</v>
      </c>
      <c r="BO48" s="510"/>
      <c r="BP48" s="1316">
        <f>IF(SUM(BP50:BP51)=0,"",BP49/SUM(BP50:BP51))</f>
        <v>0.99662542182227221</v>
      </c>
      <c r="BQ48" s="332">
        <f>IF(BP48&gt;=0.95,2,IF(BP48&gt;=0.9,1,0))</f>
        <v>2</v>
      </c>
      <c r="BR48" s="332"/>
      <c r="BS48" s="640">
        <f>IF(SUM(BS50:BS51)=0,"",BS49/SUM(BS50:BS51))</f>
        <v>0.9906868451688009</v>
      </c>
      <c r="BT48" s="332">
        <f>IF(BS48&gt;=0.95,2,IF(BS48&gt;=0.9,1,0))</f>
        <v>2</v>
      </c>
      <c r="BU48" s="332"/>
      <c r="BV48" s="323">
        <f t="shared" si="8"/>
        <v>-5.9586847008307187E-3</v>
      </c>
      <c r="BW48" s="510"/>
      <c r="BX48" s="1316">
        <f>IF(SUM(BX50:BX51)=0,"",BX49/SUM(BX50:BX51))</f>
        <v>0.99928469241773965</v>
      </c>
      <c r="BY48" s="332">
        <f>IF(BX48&gt;=0.95,2,IF(BX48&gt;=0.9,1,0))</f>
        <v>2</v>
      </c>
      <c r="BZ48" s="332"/>
      <c r="CA48" s="640">
        <f>IF(SUM(CA50:CA51)=0,"",CA49/SUM(CA50:CA51))</f>
        <v>1.0087591240875913</v>
      </c>
      <c r="CB48" s="332">
        <f>IF(CA48&gt;=0.95,2,IF(CA48&gt;=0.9,1,0))</f>
        <v>2</v>
      </c>
      <c r="CC48" s="332"/>
      <c r="CD48" s="323">
        <f t="shared" si="9"/>
        <v>9.4812136538673375E-3</v>
      </c>
      <c r="CE48" s="510"/>
      <c r="CF48" s="1316">
        <f>IF(SUM(CF50:CF51)=0,"",CF49/SUM(CF50:CF51))</f>
        <v>0.99722222222222223</v>
      </c>
      <c r="CG48" s="332">
        <f>IF(CF48&gt;=0.95,2,IF(CF48&gt;=0.9,1,0))</f>
        <v>2</v>
      </c>
      <c r="CH48" s="332"/>
      <c r="CI48" s="640">
        <f>IF(SUM(CI50:CI51)=0,"",CI49/SUM(CI50:CI51))</f>
        <v>0.98770491803278693</v>
      </c>
      <c r="CJ48" s="332">
        <f>IF(CI48&gt;=0.95,2,IF(CI48&gt;=0.9,1,0))</f>
        <v>2</v>
      </c>
      <c r="CK48" s="332"/>
      <c r="CL48" s="323">
        <f t="shared" si="10"/>
        <v>-9.5438147860632538E-3</v>
      </c>
      <c r="CM48" s="510"/>
      <c r="CN48" s="1316">
        <f>IF(SUM(CN50:CN51)=0,"",CN49/SUM(CN50:CN51))</f>
        <v>0.99763033175355453</v>
      </c>
      <c r="CO48" s="332">
        <f>IF(CN48&gt;=0.95,2,IF(CN48&gt;=0.9,1,0))</f>
        <v>2</v>
      </c>
      <c r="CP48" s="332"/>
      <c r="CQ48" s="640">
        <f>IF(SUM(CQ50:CQ51)=0,"",CQ49/SUM(CQ50:CQ51))</f>
        <v>0.98827772768259692</v>
      </c>
      <c r="CR48" s="332">
        <f>IF(CQ48&gt;=0.95,2,IF(CQ48&gt;=0.9,1,0))</f>
        <v>2</v>
      </c>
      <c r="CS48" s="332"/>
      <c r="CT48" s="323">
        <f t="shared" si="47"/>
        <v>-9.3748192825275911E-3</v>
      </c>
      <c r="CU48" s="315"/>
      <c r="CX48" s="521"/>
      <c r="CY48" s="521">
        <v>1</v>
      </c>
      <c r="CZ48" s="522">
        <f t="shared" si="55"/>
        <v>2</v>
      </c>
      <c r="DA48" s="521">
        <v>0</v>
      </c>
      <c r="DB48" s="522">
        <f t="shared" si="56"/>
        <v>2</v>
      </c>
      <c r="DC48" s="521">
        <v>0</v>
      </c>
      <c r="DD48" s="522">
        <f t="shared" si="51"/>
        <v>2</v>
      </c>
      <c r="DE48" s="521">
        <v>0</v>
      </c>
      <c r="DF48" s="522">
        <f t="shared" si="57"/>
        <v>2</v>
      </c>
      <c r="DG48" s="521">
        <v>0</v>
      </c>
      <c r="DH48" s="522">
        <f t="shared" si="58"/>
        <v>2</v>
      </c>
      <c r="DI48" s="521">
        <v>0</v>
      </c>
      <c r="DJ48" s="522">
        <f t="shared" si="59"/>
        <v>2</v>
      </c>
      <c r="DK48" s="521">
        <v>0</v>
      </c>
      <c r="DL48" s="522">
        <f t="shared" si="49"/>
        <v>2</v>
      </c>
      <c r="DM48" s="521">
        <f t="shared" si="24"/>
        <v>13</v>
      </c>
      <c r="DN48" s="313"/>
      <c r="DO48" s="313"/>
      <c r="DP48" s="313"/>
      <c r="DQ48" s="313"/>
      <c r="DR48" s="313"/>
      <c r="DS48" s="313"/>
      <c r="DT48" s="313"/>
      <c r="DU48" s="313"/>
      <c r="DV48" s="313"/>
      <c r="DW48" s="313"/>
    </row>
    <row r="49" spans="1:127" s="2" customFormat="1" ht="14.25">
      <c r="A49" s="1838"/>
      <c r="B49" s="1841"/>
      <c r="C49" s="1452">
        <v>24.1</v>
      </c>
      <c r="D49" s="1453" t="s">
        <v>2519</v>
      </c>
      <c r="E49" s="1454" t="s">
        <v>1223</v>
      </c>
      <c r="F49" s="1466" t="s">
        <v>1254</v>
      </c>
      <c r="G49" s="1450"/>
      <c r="H49" s="1456"/>
      <c r="I49" s="1450"/>
      <c r="J49" s="1457">
        <f t="shared" si="42"/>
        <v>2205.6999999999998</v>
      </c>
      <c r="K49" s="1458"/>
      <c r="L49" s="1457">
        <f t="shared" si="43"/>
        <v>2715.9</v>
      </c>
      <c r="M49" s="1459"/>
      <c r="N49" s="1460">
        <f t="shared" si="20"/>
        <v>0</v>
      </c>
      <c r="O49" s="1460">
        <f t="shared" si="48"/>
        <v>0</v>
      </c>
      <c r="P49" s="1460">
        <f t="shared" si="21"/>
        <v>0</v>
      </c>
      <c r="Q49" s="1461">
        <f t="shared" si="22"/>
        <v>0</v>
      </c>
      <c r="R49" s="1462">
        <f t="shared" si="23"/>
        <v>0</v>
      </c>
      <c r="S49" s="1463"/>
      <c r="T49" s="1456">
        <v>971</v>
      </c>
      <c r="U49" s="1450"/>
      <c r="V49" s="1450">
        <v>826</v>
      </c>
      <c r="W49" s="1456">
        <v>1148</v>
      </c>
      <c r="X49" s="1456">
        <v>1084</v>
      </c>
      <c r="Y49" s="1450"/>
      <c r="Z49" s="1467">
        <f t="shared" si="44"/>
        <v>0.18228630278063851</v>
      </c>
      <c r="AA49" s="1463"/>
      <c r="AB49" s="1456">
        <v>2875</v>
      </c>
      <c r="AC49" s="1450"/>
      <c r="AD49" s="1450">
        <v>2228</v>
      </c>
      <c r="AE49" s="1456">
        <v>3769</v>
      </c>
      <c r="AF49" s="1456">
        <v>3784</v>
      </c>
      <c r="AG49" s="1450"/>
      <c r="AH49" s="1465">
        <f t="shared" si="3"/>
        <v>0.31095652173913035</v>
      </c>
      <c r="AI49" s="1463"/>
      <c r="AJ49" s="1452">
        <v>4154</v>
      </c>
      <c r="AK49" s="1450"/>
      <c r="AL49" s="1450">
        <v>3208</v>
      </c>
      <c r="AM49" s="1452">
        <v>5023</v>
      </c>
      <c r="AN49" s="1450"/>
      <c r="AO49" s="1450">
        <v>4792</v>
      </c>
      <c r="AP49" s="1465">
        <f t="shared" si="45"/>
        <v>0.20919595570534422</v>
      </c>
      <c r="AQ49" s="1463"/>
      <c r="AR49" s="1452">
        <v>1479</v>
      </c>
      <c r="AS49" s="1450"/>
      <c r="AT49" s="1450">
        <v>1121</v>
      </c>
      <c r="AU49" s="1452">
        <v>1309</v>
      </c>
      <c r="AV49" s="1450"/>
      <c r="AW49" s="1450">
        <v>1270</v>
      </c>
      <c r="AX49" s="1465">
        <f t="shared" si="46"/>
        <v>-0.11494252873563215</v>
      </c>
      <c r="AY49" s="1463"/>
      <c r="AZ49" s="1457">
        <v>3579</v>
      </c>
      <c r="BA49" s="1450"/>
      <c r="BB49" s="1450">
        <v>2794</v>
      </c>
      <c r="BC49" s="1457">
        <v>4926</v>
      </c>
      <c r="BD49" s="1450"/>
      <c r="BE49" s="1450">
        <v>4763</v>
      </c>
      <c r="BF49" s="1465">
        <f t="shared" si="6"/>
        <v>0.37636211232187766</v>
      </c>
      <c r="BG49" s="1463"/>
      <c r="BH49" s="1452">
        <v>3759</v>
      </c>
      <c r="BI49" s="1450"/>
      <c r="BJ49" s="1450">
        <v>2869</v>
      </c>
      <c r="BK49" s="1452">
        <v>4859</v>
      </c>
      <c r="BL49" s="1450"/>
      <c r="BM49" s="1450">
        <v>4397</v>
      </c>
      <c r="BN49" s="1465">
        <f t="shared" si="7"/>
        <v>0.29263101888800214</v>
      </c>
      <c r="BO49" s="1463"/>
      <c r="BP49" s="1452">
        <v>886</v>
      </c>
      <c r="BQ49" s="1450"/>
      <c r="BR49" s="1450">
        <v>666</v>
      </c>
      <c r="BS49" s="1452">
        <v>851</v>
      </c>
      <c r="BT49" s="1450"/>
      <c r="BU49" s="1450">
        <v>837</v>
      </c>
      <c r="BV49" s="1465">
        <f t="shared" si="8"/>
        <v>-3.950338600451464E-2</v>
      </c>
      <c r="BW49" s="1463"/>
      <c r="BX49" s="1452">
        <v>2794</v>
      </c>
      <c r="BY49" s="1450"/>
      <c r="BZ49" s="1450">
        <v>1937</v>
      </c>
      <c r="CA49" s="1452">
        <v>3455</v>
      </c>
      <c r="CB49" s="1450"/>
      <c r="CC49" s="1450">
        <v>2767</v>
      </c>
      <c r="CD49" s="1465">
        <f t="shared" si="9"/>
        <v>0.23657838224767369</v>
      </c>
      <c r="CE49" s="1463"/>
      <c r="CF49" s="1452">
        <v>718</v>
      </c>
      <c r="CG49" s="1450"/>
      <c r="CH49" s="1450">
        <v>526</v>
      </c>
      <c r="CI49" s="1452">
        <v>723</v>
      </c>
      <c r="CJ49" s="1450"/>
      <c r="CK49" s="1450">
        <v>630</v>
      </c>
      <c r="CL49" s="1465">
        <f t="shared" si="10"/>
        <v>6.9637883008355494E-3</v>
      </c>
      <c r="CM49" s="1463"/>
      <c r="CN49" s="1452">
        <v>842</v>
      </c>
      <c r="CO49" s="1450"/>
      <c r="CP49" s="1450">
        <v>628</v>
      </c>
      <c r="CQ49" s="1452">
        <v>1096</v>
      </c>
      <c r="CR49" s="1450"/>
      <c r="CS49" s="1450">
        <v>1097</v>
      </c>
      <c r="CT49" s="1465">
        <f t="shared" si="47"/>
        <v>0.3016627078384797</v>
      </c>
      <c r="CU49" s="315"/>
      <c r="CX49" s="521"/>
      <c r="CY49" s="521">
        <v>0</v>
      </c>
      <c r="CZ49" s="522">
        <f t="shared" si="55"/>
        <v>0</v>
      </c>
      <c r="DA49" s="521">
        <v>0</v>
      </c>
      <c r="DB49" s="522">
        <f t="shared" si="56"/>
        <v>0</v>
      </c>
      <c r="DC49" s="521">
        <v>0</v>
      </c>
      <c r="DD49" s="522">
        <f t="shared" si="51"/>
        <v>0</v>
      </c>
      <c r="DE49" s="521">
        <v>0</v>
      </c>
      <c r="DF49" s="522">
        <f t="shared" si="57"/>
        <v>0</v>
      </c>
      <c r="DG49" s="521">
        <v>0</v>
      </c>
      <c r="DH49" s="522">
        <f t="shared" si="58"/>
        <v>0</v>
      </c>
      <c r="DI49" s="521">
        <v>0</v>
      </c>
      <c r="DJ49" s="522">
        <f t="shared" si="59"/>
        <v>0</v>
      </c>
      <c r="DK49" s="521">
        <v>0</v>
      </c>
      <c r="DL49" s="522">
        <f t="shared" si="49"/>
        <v>0</v>
      </c>
      <c r="DM49" s="521">
        <f t="shared" si="24"/>
        <v>0</v>
      </c>
      <c r="DN49" s="313"/>
      <c r="DO49" s="313"/>
      <c r="DP49" s="313"/>
      <c r="DQ49" s="313"/>
      <c r="DR49" s="313"/>
      <c r="DS49" s="313"/>
      <c r="DT49" s="313"/>
      <c r="DU49" s="313"/>
      <c r="DV49" s="313"/>
      <c r="DW49" s="313"/>
    </row>
    <row r="50" spans="1:127" s="2" customFormat="1" ht="14.25">
      <c r="A50" s="1838"/>
      <c r="B50" s="1841"/>
      <c r="C50" s="1452">
        <v>24.2</v>
      </c>
      <c r="D50" s="1453" t="s">
        <v>1255</v>
      </c>
      <c r="E50" s="1454" t="s">
        <v>1223</v>
      </c>
      <c r="F50" s="1466" t="s">
        <v>1254</v>
      </c>
      <c r="G50" s="1450"/>
      <c r="H50" s="1456"/>
      <c r="I50" s="1450"/>
      <c r="J50" s="1457">
        <f t="shared" si="42"/>
        <v>2.8</v>
      </c>
      <c r="K50" s="1458"/>
      <c r="L50" s="1457">
        <f t="shared" si="43"/>
        <v>2.4</v>
      </c>
      <c r="M50" s="1459"/>
      <c r="N50" s="1460">
        <f t="shared" si="20"/>
        <v>0</v>
      </c>
      <c r="O50" s="1460">
        <f t="shared" si="48"/>
        <v>0</v>
      </c>
      <c r="P50" s="1460">
        <f t="shared" si="21"/>
        <v>0</v>
      </c>
      <c r="Q50" s="1461">
        <f t="shared" si="22"/>
        <v>0</v>
      </c>
      <c r="R50" s="1462">
        <f t="shared" si="23"/>
        <v>0</v>
      </c>
      <c r="S50" s="1463"/>
      <c r="T50" s="1456">
        <v>0</v>
      </c>
      <c r="U50" s="1450"/>
      <c r="V50" s="1450">
        <v>0</v>
      </c>
      <c r="W50" s="1456">
        <v>1</v>
      </c>
      <c r="X50" s="1456">
        <v>1</v>
      </c>
      <c r="Y50" s="1450"/>
      <c r="Z50" s="1465">
        <f t="shared" si="44"/>
        <v>1</v>
      </c>
      <c r="AA50" s="1463"/>
      <c r="AB50" s="1456">
        <v>12</v>
      </c>
      <c r="AC50" s="1450"/>
      <c r="AD50" s="1450">
        <v>12</v>
      </c>
      <c r="AE50" s="1456">
        <v>1</v>
      </c>
      <c r="AF50" s="1456">
        <v>1</v>
      </c>
      <c r="AG50" s="1450"/>
      <c r="AH50" s="1465">
        <f t="shared" si="3"/>
        <v>-0.91666666666666663</v>
      </c>
      <c r="AI50" s="1463"/>
      <c r="AJ50" s="1452">
        <v>3</v>
      </c>
      <c r="AK50" s="1450"/>
      <c r="AL50" s="1450">
        <v>3</v>
      </c>
      <c r="AM50" s="1452">
        <v>4</v>
      </c>
      <c r="AN50" s="1450"/>
      <c r="AO50" s="1450">
        <v>4</v>
      </c>
      <c r="AP50" s="1465">
        <f t="shared" si="45"/>
        <v>0.33333333333333326</v>
      </c>
      <c r="AQ50" s="1463"/>
      <c r="AR50" s="1452">
        <v>1</v>
      </c>
      <c r="AS50" s="1450"/>
      <c r="AT50" s="1450">
        <v>1</v>
      </c>
      <c r="AU50" s="1452">
        <v>1</v>
      </c>
      <c r="AV50" s="1450"/>
      <c r="AW50" s="1450">
        <v>1</v>
      </c>
      <c r="AX50" s="1465">
        <f t="shared" si="46"/>
        <v>0</v>
      </c>
      <c r="AY50" s="1463"/>
      <c r="AZ50" s="1457">
        <v>5</v>
      </c>
      <c r="BA50" s="1450"/>
      <c r="BB50" s="1450">
        <v>7</v>
      </c>
      <c r="BC50" s="1457">
        <v>3</v>
      </c>
      <c r="BD50" s="1450"/>
      <c r="BE50" s="1450">
        <v>3</v>
      </c>
      <c r="BF50" s="1465">
        <f t="shared" si="6"/>
        <v>-0.4</v>
      </c>
      <c r="BG50" s="1463"/>
      <c r="BH50" s="1452">
        <v>2</v>
      </c>
      <c r="BI50" s="1450"/>
      <c r="BJ50" s="1450">
        <v>3</v>
      </c>
      <c r="BK50" s="1452">
        <v>5</v>
      </c>
      <c r="BL50" s="1450"/>
      <c r="BM50" s="1450">
        <v>5</v>
      </c>
      <c r="BN50" s="1465">
        <f t="shared" si="7"/>
        <v>1.5</v>
      </c>
      <c r="BO50" s="1463"/>
      <c r="BP50" s="1452">
        <v>1</v>
      </c>
      <c r="BQ50" s="1450"/>
      <c r="BR50" s="1450">
        <v>1</v>
      </c>
      <c r="BS50" s="1452">
        <v>3</v>
      </c>
      <c r="BT50" s="1450"/>
      <c r="BU50" s="1450">
        <v>2</v>
      </c>
      <c r="BV50" s="1465">
        <f t="shared" si="8"/>
        <v>2</v>
      </c>
      <c r="BW50" s="1463"/>
      <c r="BX50" s="1452">
        <v>4</v>
      </c>
      <c r="BY50" s="1450"/>
      <c r="BZ50" s="1450">
        <v>6</v>
      </c>
      <c r="CA50" s="1452">
        <v>2</v>
      </c>
      <c r="CB50" s="1450"/>
      <c r="CC50" s="1450">
        <v>2</v>
      </c>
      <c r="CD50" s="1465">
        <f t="shared" si="9"/>
        <v>-0.5</v>
      </c>
      <c r="CE50" s="1463"/>
      <c r="CF50" s="1452">
        <v>0</v>
      </c>
      <c r="CG50" s="1450"/>
      <c r="CH50" s="1450">
        <v>0</v>
      </c>
      <c r="CI50" s="1452">
        <v>2</v>
      </c>
      <c r="CJ50" s="1450"/>
      <c r="CK50" s="1450">
        <v>2</v>
      </c>
      <c r="CL50" s="1465">
        <f t="shared" si="10"/>
        <v>1</v>
      </c>
      <c r="CM50" s="1463"/>
      <c r="CN50" s="1452">
        <v>0</v>
      </c>
      <c r="CO50" s="1450"/>
      <c r="CP50" s="1450">
        <v>0</v>
      </c>
      <c r="CQ50" s="1452">
        <v>2</v>
      </c>
      <c r="CR50" s="1450"/>
      <c r="CS50" s="1450">
        <v>2</v>
      </c>
      <c r="CT50" s="1465">
        <f t="shared" si="47"/>
        <v>1</v>
      </c>
      <c r="CU50" s="315"/>
      <c r="CX50" s="521"/>
      <c r="CY50" s="521">
        <v>0</v>
      </c>
      <c r="CZ50" s="522">
        <f t="shared" si="55"/>
        <v>0</v>
      </c>
      <c r="DA50" s="521">
        <v>0</v>
      </c>
      <c r="DB50" s="522">
        <f t="shared" si="56"/>
        <v>0</v>
      </c>
      <c r="DC50" s="521">
        <v>0</v>
      </c>
      <c r="DD50" s="522">
        <f t="shared" si="51"/>
        <v>0</v>
      </c>
      <c r="DE50" s="521">
        <v>0</v>
      </c>
      <c r="DF50" s="522">
        <f t="shared" si="57"/>
        <v>0</v>
      </c>
      <c r="DG50" s="521">
        <v>0</v>
      </c>
      <c r="DH50" s="522">
        <f t="shared" si="58"/>
        <v>0</v>
      </c>
      <c r="DI50" s="521">
        <v>0</v>
      </c>
      <c r="DJ50" s="522">
        <f t="shared" si="59"/>
        <v>0</v>
      </c>
      <c r="DK50" s="521">
        <v>0</v>
      </c>
      <c r="DL50" s="522">
        <f t="shared" si="49"/>
        <v>0</v>
      </c>
      <c r="DM50" s="521">
        <f t="shared" si="24"/>
        <v>0</v>
      </c>
      <c r="DN50" s="313"/>
      <c r="DO50" s="313"/>
      <c r="DP50" s="313"/>
      <c r="DQ50" s="313"/>
      <c r="DR50" s="313"/>
      <c r="DS50" s="313"/>
      <c r="DT50" s="313"/>
      <c r="DU50" s="313"/>
      <c r="DV50" s="313"/>
      <c r="DW50" s="313"/>
    </row>
    <row r="51" spans="1:127" s="2" customFormat="1" ht="14.25">
      <c r="A51" s="1838"/>
      <c r="B51" s="1841"/>
      <c r="C51" s="1452">
        <v>24.3</v>
      </c>
      <c r="D51" s="1453" t="s">
        <v>1256</v>
      </c>
      <c r="E51" s="1454" t="s">
        <v>1223</v>
      </c>
      <c r="F51" s="1466" t="s">
        <v>1254</v>
      </c>
      <c r="G51" s="1450"/>
      <c r="H51" s="1456"/>
      <c r="I51" s="1450"/>
      <c r="J51" s="1457">
        <f t="shared" si="42"/>
        <v>2205.3000000000002</v>
      </c>
      <c r="K51" s="1458"/>
      <c r="L51" s="1457">
        <f t="shared" si="43"/>
        <v>2724.5</v>
      </c>
      <c r="M51" s="1459"/>
      <c r="N51" s="1460">
        <f t="shared" si="20"/>
        <v>0</v>
      </c>
      <c r="O51" s="1460">
        <f t="shared" si="48"/>
        <v>0</v>
      </c>
      <c r="P51" s="1460">
        <f t="shared" si="21"/>
        <v>0</v>
      </c>
      <c r="Q51" s="1461">
        <f t="shared" si="22"/>
        <v>0</v>
      </c>
      <c r="R51" s="1462">
        <f t="shared" si="23"/>
        <v>0</v>
      </c>
      <c r="S51" s="1463"/>
      <c r="T51" s="1456">
        <v>972</v>
      </c>
      <c r="U51" s="1450"/>
      <c r="V51" s="1450">
        <v>826</v>
      </c>
      <c r="W51" s="1456">
        <v>1150</v>
      </c>
      <c r="X51" s="1456">
        <v>1084</v>
      </c>
      <c r="Y51" s="1450"/>
      <c r="Z51" s="1465">
        <f t="shared" si="44"/>
        <v>0.1831275720164609</v>
      </c>
      <c r="AA51" s="1463"/>
      <c r="AB51" s="1456">
        <v>2864</v>
      </c>
      <c r="AC51" s="1450"/>
      <c r="AD51" s="1450">
        <v>2232</v>
      </c>
      <c r="AE51" s="1456">
        <v>3790</v>
      </c>
      <c r="AF51" s="1456">
        <v>3787</v>
      </c>
      <c r="AG51" s="1450"/>
      <c r="AH51" s="1465">
        <f t="shared" si="3"/>
        <v>0.3233240223463687</v>
      </c>
      <c r="AI51" s="1463"/>
      <c r="AJ51" s="1452">
        <v>4155</v>
      </c>
      <c r="AK51" s="1450"/>
      <c r="AL51" s="1450">
        <v>3219</v>
      </c>
      <c r="AM51" s="1452">
        <v>5036</v>
      </c>
      <c r="AN51" s="1450"/>
      <c r="AO51" s="1450">
        <v>4806</v>
      </c>
      <c r="AP51" s="1465">
        <f t="shared" si="45"/>
        <v>0.21203369434416364</v>
      </c>
      <c r="AQ51" s="1463"/>
      <c r="AR51" s="1452">
        <v>1479</v>
      </c>
      <c r="AS51" s="1450"/>
      <c r="AT51" s="1450">
        <v>1125</v>
      </c>
      <c r="AU51" s="1452">
        <v>1309</v>
      </c>
      <c r="AV51" s="1450"/>
      <c r="AW51" s="1450">
        <v>1274</v>
      </c>
      <c r="AX51" s="1465">
        <f t="shared" si="46"/>
        <v>-0.11494252873563215</v>
      </c>
      <c r="AY51" s="1463"/>
      <c r="AZ51" s="1457">
        <v>3577</v>
      </c>
      <c r="BA51" s="1450"/>
      <c r="BB51" s="1450">
        <v>2804</v>
      </c>
      <c r="BC51" s="1457">
        <v>4956</v>
      </c>
      <c r="BD51" s="1450"/>
      <c r="BE51" s="1450">
        <v>4772</v>
      </c>
      <c r="BF51" s="1465">
        <f t="shared" si="6"/>
        <v>0.38551859099804298</v>
      </c>
      <c r="BG51" s="1463"/>
      <c r="BH51" s="1452">
        <v>3762</v>
      </c>
      <c r="BI51" s="1450"/>
      <c r="BJ51" s="1450">
        <v>2879</v>
      </c>
      <c r="BK51" s="1452">
        <v>4888</v>
      </c>
      <c r="BL51" s="1450"/>
      <c r="BM51" s="1450">
        <v>4401</v>
      </c>
      <c r="BN51" s="1465">
        <f t="shared" si="7"/>
        <v>0.29930887825624675</v>
      </c>
      <c r="BO51" s="1463"/>
      <c r="BP51" s="1452">
        <v>888</v>
      </c>
      <c r="BQ51" s="1450"/>
      <c r="BR51" s="1450">
        <v>668</v>
      </c>
      <c r="BS51" s="1452">
        <v>856</v>
      </c>
      <c r="BT51" s="1450"/>
      <c r="BU51" s="1450">
        <v>837</v>
      </c>
      <c r="BV51" s="1465">
        <f t="shared" si="8"/>
        <v>-3.6036036036036001E-2</v>
      </c>
      <c r="BW51" s="1463"/>
      <c r="BX51" s="1452">
        <v>2792</v>
      </c>
      <c r="BY51" s="1450"/>
      <c r="BZ51" s="1450">
        <v>1953</v>
      </c>
      <c r="CA51" s="1452">
        <v>3423</v>
      </c>
      <c r="CB51" s="1450"/>
      <c r="CC51" s="1450">
        <v>2779</v>
      </c>
      <c r="CD51" s="1465">
        <f t="shared" si="9"/>
        <v>0.22600286532951297</v>
      </c>
      <c r="CE51" s="1463"/>
      <c r="CF51" s="1452">
        <v>720</v>
      </c>
      <c r="CG51" s="1450"/>
      <c r="CH51" s="1450">
        <v>527</v>
      </c>
      <c r="CI51" s="1452">
        <v>730</v>
      </c>
      <c r="CJ51" s="1450"/>
      <c r="CK51" s="1450">
        <v>630</v>
      </c>
      <c r="CL51" s="1465">
        <f t="shared" si="10"/>
        <v>1.388888888888884E-2</v>
      </c>
      <c r="CM51" s="1463"/>
      <c r="CN51" s="1452">
        <v>844</v>
      </c>
      <c r="CO51" s="1450"/>
      <c r="CP51" s="1450">
        <v>629</v>
      </c>
      <c r="CQ51" s="1452">
        <v>1107</v>
      </c>
      <c r="CR51" s="1450"/>
      <c r="CS51" s="1450">
        <v>1098</v>
      </c>
      <c r="CT51" s="1465">
        <f t="shared" si="47"/>
        <v>0.31161137440758302</v>
      </c>
      <c r="CU51" s="315"/>
      <c r="CX51" s="521"/>
      <c r="CY51" s="521">
        <v>0</v>
      </c>
      <c r="CZ51" s="522">
        <f t="shared" si="55"/>
        <v>0</v>
      </c>
      <c r="DA51" s="521">
        <v>0</v>
      </c>
      <c r="DB51" s="522">
        <f t="shared" si="56"/>
        <v>0</v>
      </c>
      <c r="DC51" s="521">
        <v>0</v>
      </c>
      <c r="DD51" s="522">
        <f t="shared" si="51"/>
        <v>0</v>
      </c>
      <c r="DE51" s="521">
        <v>0</v>
      </c>
      <c r="DF51" s="522">
        <f t="shared" si="57"/>
        <v>0</v>
      </c>
      <c r="DG51" s="521">
        <v>0</v>
      </c>
      <c r="DH51" s="522">
        <f t="shared" si="58"/>
        <v>0</v>
      </c>
      <c r="DI51" s="521">
        <v>0</v>
      </c>
      <c r="DJ51" s="522">
        <f t="shared" si="59"/>
        <v>0</v>
      </c>
      <c r="DK51" s="521">
        <v>0</v>
      </c>
      <c r="DL51" s="522">
        <f t="shared" si="49"/>
        <v>0</v>
      </c>
      <c r="DM51" s="521">
        <f t="shared" si="24"/>
        <v>0</v>
      </c>
      <c r="DN51" s="313"/>
      <c r="DO51" s="313"/>
      <c r="DP51" s="313"/>
      <c r="DQ51" s="313"/>
      <c r="DR51" s="313"/>
      <c r="DS51" s="313"/>
      <c r="DT51" s="313"/>
      <c r="DU51" s="313"/>
      <c r="DV51" s="313"/>
      <c r="DW51" s="313"/>
    </row>
    <row r="52" spans="1:127" s="2" customFormat="1" ht="14.25">
      <c r="A52" s="1838" t="s">
        <v>1257</v>
      </c>
      <c r="B52" s="1840" t="s">
        <v>1258</v>
      </c>
      <c r="C52" s="23">
        <v>25</v>
      </c>
      <c r="D52" s="998" t="s">
        <v>2040</v>
      </c>
      <c r="E52" s="484"/>
      <c r="F52" s="488"/>
      <c r="G52" s="610" t="s">
        <v>472</v>
      </c>
      <c r="H52" s="334" t="s">
        <v>282</v>
      </c>
      <c r="I52" s="611">
        <v>3</v>
      </c>
      <c r="J52" s="644">
        <f t="shared" si="42"/>
        <v>4.215512434963993E-2</v>
      </c>
      <c r="K52" s="1334">
        <f>AVERAGE(CO52,CG52,BY52,BQ52,BI52,BA52,AS52,AK52,AC52,U52)</f>
        <v>2.5499999999999998</v>
      </c>
      <c r="L52" s="644">
        <f t="shared" si="43"/>
        <v>5.3499379555802043E-2</v>
      </c>
      <c r="M52" s="1333">
        <f>AVERAGE(CR52,CJ52,CB52,BT52,BL52,BD52,AV52,AN52,AG52,Y52)</f>
        <v>2.25</v>
      </c>
      <c r="N52" s="502">
        <f>M52-K52</f>
        <v>-0.29999999999999982</v>
      </c>
      <c r="O52" s="500">
        <f t="shared" si="48"/>
        <v>0.75</v>
      </c>
      <c r="P52" s="500">
        <f t="shared" si="21"/>
        <v>0.52499999999999991</v>
      </c>
      <c r="Q52" s="816">
        <f t="shared" si="22"/>
        <v>5.833333333333332E-2</v>
      </c>
      <c r="R52" s="815">
        <f t="shared" si="23"/>
        <v>2.916666666666666E-2</v>
      </c>
      <c r="S52" s="510"/>
      <c r="T52" s="1316">
        <f>IF(SUM(T55:T56)=0,"",SUM(T53:T54)/SUM(T55:T56))</f>
        <v>1.2412315288825417E-2</v>
      </c>
      <c r="U52" s="610">
        <f>IF(T52&lt;=0.05,3,IF(T52&lt;=0.1,1.5,0))</f>
        <v>3</v>
      </c>
      <c r="V52" s="1444"/>
      <c r="W52" s="640">
        <f>IF(SUM(W55:W56)=0,"",SUM(W53:W54)/SUM(W55:W56))</f>
        <v>3.634083166874949E-2</v>
      </c>
      <c r="X52" s="1423"/>
      <c r="Y52" s="322">
        <f>IF(W52&lt;=0.05,3,IF(W52&lt;=0.1,1.5,0))</f>
        <v>3</v>
      </c>
      <c r="Z52" s="323">
        <f t="shared" si="44"/>
        <v>1.9278044283540301</v>
      </c>
      <c r="AA52" s="510"/>
      <c r="AB52" s="1316">
        <f>IF(SUM(AB55:AB56)=0,"",SUM(AB53:AB54)/SUM(AB55:AB56))</f>
        <v>4.1565101736771748E-2</v>
      </c>
      <c r="AC52" s="610">
        <f>IF(AB52&lt;=0.05,3,IF(AB52&lt;=0.1,1.5,0))</f>
        <v>3</v>
      </c>
      <c r="AD52" s="1444"/>
      <c r="AE52" s="640">
        <f>IF(SUM(AE55:AE56)=0,"",SUM(AE53:AE54)/SUM(AE55:AE56))</f>
        <v>3.1679486082610869E-2</v>
      </c>
      <c r="AF52" s="1423"/>
      <c r="AG52" s="610">
        <f>IF(AE52&lt;=0.05,3,IF(AE52&lt;=0.1,1.5,0))</f>
        <v>3</v>
      </c>
      <c r="AH52" s="323">
        <f t="shared" si="3"/>
        <v>-0.23783451119079757</v>
      </c>
      <c r="AI52" s="510"/>
      <c r="AJ52" s="1316">
        <f>IF(SUM(AJ55:AJ56)=0,"",SUM(AJ53:AJ54)/SUM(AJ55:AJ56))</f>
        <v>3.8649541427034612E-2</v>
      </c>
      <c r="AK52" s="610">
        <f>IF(AJ52&lt;=0.05,3,IF(AJ52&lt;=0.1,1.5,0))</f>
        <v>3</v>
      </c>
      <c r="AL52" s="1444"/>
      <c r="AM52" s="640">
        <f>IF(SUM(AM55:AM56)=0,"",SUM(AM53:AM54)/SUM(AM55:AM56))</f>
        <v>6.152021674533395E-2</v>
      </c>
      <c r="AN52" s="1328">
        <f>IF(AM52&lt;=0.05,3,IF(AM52&lt;=0.1,1.5,0))</f>
        <v>1.5</v>
      </c>
      <c r="AO52" s="1421"/>
      <c r="AP52" s="323">
        <f t="shared" si="45"/>
        <v>0.59174506278363603</v>
      </c>
      <c r="AQ52" s="510"/>
      <c r="AR52" s="1316">
        <f>IF(SUM(AR55:AR56)=0,"",SUM(AR53:AR54)/SUM(AR55:AR56))</f>
        <v>6.4849825556651947E-2</v>
      </c>
      <c r="AS52" s="610">
        <f>IF(AR52&lt;=0.05,3,IF(AR52&lt;=0.1,1.5,0))</f>
        <v>1.5</v>
      </c>
      <c r="AT52" s="1444"/>
      <c r="AU52" s="640">
        <f>IF(SUM(AU55:AU56)=0,"",SUM(AU53:AU54)/SUM(AU55:AU56))</f>
        <v>8.1132916769708893E-2</v>
      </c>
      <c r="AV52" s="610">
        <f>IF(AU52&lt;=0.05,3,IF(AU52&lt;=0.1,1.5,0))</f>
        <v>1.5</v>
      </c>
      <c r="AW52" s="1421"/>
      <c r="AX52" s="323">
        <f t="shared" si="46"/>
        <v>0.2510892060739971</v>
      </c>
      <c r="AY52" s="510"/>
      <c r="AZ52" s="1316">
        <f>IF(SUM(AZ55:AZ56)=0,"",SUM(AZ53:AZ54)/SUM(AZ55:AZ56))</f>
        <v>3.2256051869674049E-2</v>
      </c>
      <c r="BA52" s="610">
        <f>IF(AZ52&lt;=0.05,3,IF(AZ52&lt;=0.1,1.5,0))</f>
        <v>3</v>
      </c>
      <c r="BB52" s="1444"/>
      <c r="BC52" s="640">
        <f>IF(SUM(BC55:BC56)=0,"",SUM(BC53:BC54)/SUM(BC55:BC56))</f>
        <v>3.4958500578051201E-2</v>
      </c>
      <c r="BD52" s="610">
        <f>IF(BC52&lt;=0.05,3,IF(BC52&lt;=0.1,1.5,0))</f>
        <v>3</v>
      </c>
      <c r="BE52" s="1421"/>
      <c r="BF52" s="323">
        <f t="shared" si="6"/>
        <v>8.378113723576619E-2</v>
      </c>
      <c r="BG52" s="510"/>
      <c r="BH52" s="1316">
        <f>IF(SUM(BH55:BH56)=0,"",SUM(BH53:BH54)/SUM(BH55:BH56))</f>
        <v>4.0936396590662068E-2</v>
      </c>
      <c r="BI52" s="610">
        <f>IF(BH52&lt;=0.05,3,IF(BH52&lt;=0.1,1.5,0))</f>
        <v>3</v>
      </c>
      <c r="BJ52" s="1444"/>
      <c r="BK52" s="640">
        <f>IF(SUM(BK55:BK56)=0,"",SUM(BK53:BK54)/SUM(BK55:BK56))</f>
        <v>5.4693032410788212E-2</v>
      </c>
      <c r="BL52" s="610">
        <f>IF(BK52&lt;=0.05,3,IF(BK52&lt;=0.1,1.5,0))</f>
        <v>1.5</v>
      </c>
      <c r="BM52" s="1421"/>
      <c r="BN52" s="323">
        <f t="shared" si="7"/>
        <v>0.33604901666562781</v>
      </c>
      <c r="BO52" s="510"/>
      <c r="BP52" s="1316">
        <f>IF(SUM(BP55:BP56)=0,"",SUM(BP53:BP54)/SUM(BP55:BP56))</f>
        <v>5.1860599070393018E-2</v>
      </c>
      <c r="BQ52" s="610">
        <f>IF(BP52&lt;=0.05,3,IF(BP52&lt;=0.1,1.5,0))</f>
        <v>1.5</v>
      </c>
      <c r="BR52" s="1444"/>
      <c r="BS52" s="640">
        <f>IF(SUM(BS55:BS56)=0,"",SUM(BS53:BS54)/SUM(BS55:BS56))</f>
        <v>7.380493286482584E-2</v>
      </c>
      <c r="BT52" s="996">
        <f>IF(BS52&lt;=0.05,3,IF(BS52&lt;=0.1,1.5,0))</f>
        <v>1.5</v>
      </c>
      <c r="BU52" s="1421"/>
      <c r="BV52" s="323">
        <f t="shared" si="8"/>
        <v>0.42314076944322743</v>
      </c>
      <c r="BW52" s="510"/>
      <c r="BX52" s="1316">
        <f>IF(SUM(BX55:BX56)=0,"",SUM(BX53:BX54)/SUM(BX55:BX56))</f>
        <v>4.9445466106441273E-2</v>
      </c>
      <c r="BY52" s="610">
        <f>IF(BX52&lt;=0.05,3,IF(BX52&lt;=0.1,1.5,0))</f>
        <v>3</v>
      </c>
      <c r="BZ52" s="1444"/>
      <c r="CA52" s="640">
        <f>IF(SUM(CA55:CA56)=0,"",SUM(CA53:CA54)/SUM(CA55:CA56))</f>
        <v>7.5720044867954667E-2</v>
      </c>
      <c r="CB52" s="610">
        <f>IF(CA52&lt;=0.05,3,IF(CA52&lt;=0.1,1.5,0))</f>
        <v>1.5</v>
      </c>
      <c r="CC52" s="1421"/>
      <c r="CD52" s="323">
        <f t="shared" si="9"/>
        <v>0.5313849950357854</v>
      </c>
      <c r="CE52" s="510"/>
      <c r="CF52" s="1316">
        <f>IF(SUM(CF55:CF56)=0,"",SUM(CF53:CF54)/SUM(CF55:CF56))</f>
        <v>5.3524081876545733E-2</v>
      </c>
      <c r="CG52" s="610">
        <f>IF(CF52&lt;=0.05,3,IF(CF52&lt;=0.1,1.5,0))</f>
        <v>1.5</v>
      </c>
      <c r="CH52" s="1444"/>
      <c r="CI52" s="640">
        <f>IF(SUM(CI55:CI56)=0,"",SUM(CI53:CI54)/SUM(CI55:CI56))</f>
        <v>4.5735705718232753E-2</v>
      </c>
      <c r="CJ52" s="610">
        <f>IF(CI52&lt;=0.05,3,IF(CI52&lt;=0.1,1.5,0))</f>
        <v>3</v>
      </c>
      <c r="CK52" s="1421"/>
      <c r="CL52" s="323">
        <f t="shared" si="10"/>
        <v>-0.14551162551983632</v>
      </c>
      <c r="CM52" s="510"/>
      <c r="CN52" s="1316">
        <f>IF(SUM(CN55:CN56)=0,"",SUM(CN53:CN54)/SUM(CN55:CN56))</f>
        <v>3.6051863973399545E-2</v>
      </c>
      <c r="CO52" s="610">
        <f>IF(CN52&lt;=0.05,3,IF(CN52&lt;=0.1,1.5,0))</f>
        <v>3</v>
      </c>
      <c r="CP52" s="1444"/>
      <c r="CQ52" s="640">
        <f>IF(SUM(CQ55:CQ56)=0,"",SUM(CQ53:CQ54)/SUM(CQ55:CQ56))</f>
        <v>3.940812785176457E-2</v>
      </c>
      <c r="CR52" s="610">
        <f>IF(CQ52&lt;=0.05,3,IF(CQ52&lt;=0.1,1.5,0))</f>
        <v>3</v>
      </c>
      <c r="CS52" s="1421"/>
      <c r="CT52" s="323">
        <f t="shared" si="47"/>
        <v>9.3095432758800056E-2</v>
      </c>
      <c r="CU52" s="315"/>
      <c r="CX52" s="521" t="s">
        <v>1775</v>
      </c>
      <c r="CY52" s="521">
        <v>0</v>
      </c>
      <c r="CZ52" s="522">
        <f t="shared" si="55"/>
        <v>2.25</v>
      </c>
      <c r="DA52" s="521">
        <v>1</v>
      </c>
      <c r="DB52" s="523">
        <v>3</v>
      </c>
      <c r="DC52" s="521">
        <v>0</v>
      </c>
      <c r="DD52" s="523">
        <v>3</v>
      </c>
      <c r="DE52" s="521">
        <v>1</v>
      </c>
      <c r="DF52" s="523">
        <v>0</v>
      </c>
      <c r="DG52" s="521">
        <v>1</v>
      </c>
      <c r="DH52" s="523">
        <v>3</v>
      </c>
      <c r="DI52" s="521">
        <v>1</v>
      </c>
      <c r="DJ52" s="523">
        <v>2.7</v>
      </c>
      <c r="DK52" s="521">
        <v>0</v>
      </c>
      <c r="DL52" s="522">
        <f t="shared" si="49"/>
        <v>2.25</v>
      </c>
      <c r="DM52" s="521">
        <f t="shared" si="24"/>
        <v>17.95</v>
      </c>
      <c r="DN52" s="313"/>
      <c r="DO52" s="313"/>
      <c r="DP52" s="313"/>
      <c r="DQ52" s="313"/>
      <c r="DR52" s="313"/>
      <c r="DS52" s="313"/>
      <c r="DT52" s="313"/>
      <c r="DU52" s="313"/>
      <c r="DV52" s="313"/>
      <c r="DW52" s="313"/>
    </row>
    <row r="53" spans="1:127" s="2" customFormat="1" ht="14.25">
      <c r="A53" s="1838"/>
      <c r="B53" s="1841"/>
      <c r="C53" s="1452">
        <v>25.1</v>
      </c>
      <c r="D53" s="1453" t="s">
        <v>1259</v>
      </c>
      <c r="E53" s="1454" t="s">
        <v>256</v>
      </c>
      <c r="F53" s="1466" t="s">
        <v>1260</v>
      </c>
      <c r="G53" s="1451"/>
      <c r="H53" s="1456"/>
      <c r="I53" s="1451"/>
      <c r="J53" s="1457">
        <f t="shared" si="42"/>
        <v>3026335.6</v>
      </c>
      <c r="K53" s="1458"/>
      <c r="L53" s="1472">
        <f t="shared" si="43"/>
        <v>2067635</v>
      </c>
      <c r="M53" s="1459"/>
      <c r="N53" s="1460">
        <f t="shared" si="20"/>
        <v>0</v>
      </c>
      <c r="O53" s="1460">
        <f t="shared" si="48"/>
        <v>0</v>
      </c>
      <c r="P53" s="1460">
        <f t="shared" si="21"/>
        <v>0</v>
      </c>
      <c r="Q53" s="1461">
        <f t="shared" si="22"/>
        <v>0</v>
      </c>
      <c r="R53" s="1462">
        <f t="shared" si="23"/>
        <v>0</v>
      </c>
      <c r="S53" s="1463"/>
      <c r="T53" s="1457">
        <v>403681</v>
      </c>
      <c r="U53" s="1464"/>
      <c r="V53" s="1464">
        <v>403681</v>
      </c>
      <c r="W53" s="1457">
        <v>647920</v>
      </c>
      <c r="X53" s="1457">
        <v>647920</v>
      </c>
      <c r="Y53" s="1464"/>
      <c r="Z53" s="1465">
        <f t="shared" si="44"/>
        <v>0.60502971405639605</v>
      </c>
      <c r="AA53" s="1463"/>
      <c r="AB53" s="1472">
        <v>8848521</v>
      </c>
      <c r="AC53" s="1473"/>
      <c r="AD53" s="1473">
        <v>8814409</v>
      </c>
      <c r="AE53" s="1472">
        <v>2655468</v>
      </c>
      <c r="AF53" s="1472">
        <v>2655468</v>
      </c>
      <c r="AG53" s="1473"/>
      <c r="AH53" s="1465">
        <f t="shared" si="3"/>
        <v>-0.69989696583191696</v>
      </c>
      <c r="AI53" s="1463"/>
      <c r="AJ53" s="1457">
        <v>2523058</v>
      </c>
      <c r="AK53" s="1464"/>
      <c r="AL53" s="1464">
        <v>2523058</v>
      </c>
      <c r="AM53" s="1457">
        <v>2393047</v>
      </c>
      <c r="AN53" s="1464"/>
      <c r="AO53" s="1464">
        <v>2393047</v>
      </c>
      <c r="AP53" s="1465">
        <f t="shared" si="45"/>
        <v>-5.1529136468523529E-2</v>
      </c>
      <c r="AQ53" s="1463"/>
      <c r="AR53" s="1472">
        <v>5448110</v>
      </c>
      <c r="AS53" s="1473"/>
      <c r="AT53" s="1473">
        <v>5448110</v>
      </c>
      <c r="AU53" s="1472">
        <v>3195495</v>
      </c>
      <c r="AV53" s="1473"/>
      <c r="AW53" s="1473">
        <v>3195495</v>
      </c>
      <c r="AX53" s="1465">
        <f t="shared" si="46"/>
        <v>-0.41346723909759531</v>
      </c>
      <c r="AY53" s="1463"/>
      <c r="AZ53" s="1472">
        <v>3058103</v>
      </c>
      <c r="BA53" s="1464"/>
      <c r="BB53" s="1464">
        <v>3058103</v>
      </c>
      <c r="BC53" s="1472">
        <v>1557274</v>
      </c>
      <c r="BD53" s="1464"/>
      <c r="BE53" s="1464">
        <v>1557274</v>
      </c>
      <c r="BF53" s="1465">
        <f t="shared" si="6"/>
        <v>-0.49077123955602542</v>
      </c>
      <c r="BG53" s="1463"/>
      <c r="BH53" s="1452">
        <v>3716461</v>
      </c>
      <c r="BI53" s="1473"/>
      <c r="BJ53" s="1473">
        <v>3716461</v>
      </c>
      <c r="BK53" s="1452">
        <v>3505914</v>
      </c>
      <c r="BL53" s="1473"/>
      <c r="BM53" s="1473">
        <v>3505914</v>
      </c>
      <c r="BN53" s="1465">
        <f t="shared" si="7"/>
        <v>-5.6652551984266775E-2</v>
      </c>
      <c r="BO53" s="1463"/>
      <c r="BP53" s="1452">
        <v>193688</v>
      </c>
      <c r="BQ53" s="1464"/>
      <c r="BR53" s="1464">
        <v>193688</v>
      </c>
      <c r="BS53" s="1452">
        <v>202123</v>
      </c>
      <c r="BT53" s="1464"/>
      <c r="BU53" s="1464">
        <v>202123</v>
      </c>
      <c r="BV53" s="1465">
        <f t="shared" si="8"/>
        <v>4.3549419685267043E-2</v>
      </c>
      <c r="BW53" s="1463"/>
      <c r="BX53" s="1452">
        <v>4617886</v>
      </c>
      <c r="BY53" s="1473"/>
      <c r="BZ53" s="1473">
        <v>4617886</v>
      </c>
      <c r="CA53" s="1452">
        <v>5809594</v>
      </c>
      <c r="CB53" s="1473"/>
      <c r="CC53" s="1473">
        <v>5809594</v>
      </c>
      <c r="CD53" s="1465">
        <f t="shared" si="9"/>
        <v>0.25806353816443273</v>
      </c>
      <c r="CE53" s="1463"/>
      <c r="CF53" s="1452">
        <v>650838</v>
      </c>
      <c r="CG53" s="1464"/>
      <c r="CH53" s="1464">
        <v>650838</v>
      </c>
      <c r="CI53" s="1452">
        <v>118069</v>
      </c>
      <c r="CJ53" s="1464"/>
      <c r="CK53" s="1464">
        <v>118069</v>
      </c>
      <c r="CL53" s="1465">
        <f t="shared" si="10"/>
        <v>-0.81858926491692252</v>
      </c>
      <c r="CM53" s="1463"/>
      <c r="CN53" s="1452">
        <v>803010</v>
      </c>
      <c r="CO53" s="1473"/>
      <c r="CP53" s="1473">
        <v>803010</v>
      </c>
      <c r="CQ53" s="1452">
        <v>591446</v>
      </c>
      <c r="CR53" s="1473"/>
      <c r="CS53" s="1473">
        <v>591446</v>
      </c>
      <c r="CT53" s="1465">
        <f t="shared" si="47"/>
        <v>-0.26346371776192079</v>
      </c>
      <c r="CU53" s="315"/>
      <c r="CX53" s="521"/>
      <c r="CY53" s="521">
        <v>0</v>
      </c>
      <c r="CZ53" s="522">
        <f t="shared" si="55"/>
        <v>0</v>
      </c>
      <c r="DA53" s="521">
        <v>0</v>
      </c>
      <c r="DB53" s="522">
        <f t="shared" ref="DB53:DB72" si="60">$M53</f>
        <v>0</v>
      </c>
      <c r="DC53" s="521">
        <v>0</v>
      </c>
      <c r="DD53" s="522">
        <f t="shared" ref="DD53:DD72" si="61">$M53</f>
        <v>0</v>
      </c>
      <c r="DE53" s="521">
        <v>0</v>
      </c>
      <c r="DF53" s="522">
        <f t="shared" ref="DF53:DF72" si="62">$M53</f>
        <v>0</v>
      </c>
      <c r="DG53" s="521">
        <v>0</v>
      </c>
      <c r="DH53" s="522">
        <f t="shared" ref="DH53:DH72" si="63">$M53</f>
        <v>0</v>
      </c>
      <c r="DI53" s="521">
        <v>0</v>
      </c>
      <c r="DJ53" s="522">
        <f t="shared" ref="DJ53:DJ72" si="64">$M53</f>
        <v>0</v>
      </c>
      <c r="DK53" s="521">
        <v>0</v>
      </c>
      <c r="DL53" s="522">
        <f t="shared" si="49"/>
        <v>0</v>
      </c>
      <c r="DM53" s="521">
        <f t="shared" si="24"/>
        <v>0</v>
      </c>
      <c r="DN53" s="313"/>
      <c r="DO53" s="313"/>
      <c r="DP53" s="313"/>
      <c r="DQ53" s="313"/>
      <c r="DR53" s="313"/>
      <c r="DS53" s="313"/>
      <c r="DT53" s="313"/>
      <c r="DU53" s="313"/>
      <c r="DV53" s="313"/>
      <c r="DW53" s="313"/>
    </row>
    <row r="54" spans="1:127" s="2" customFormat="1" ht="14.25">
      <c r="A54" s="1838"/>
      <c r="B54" s="1841"/>
      <c r="C54" s="625">
        <v>25.2</v>
      </c>
      <c r="D54" s="325" t="s">
        <v>1261</v>
      </c>
      <c r="E54" s="482" t="s">
        <v>256</v>
      </c>
      <c r="F54" s="612"/>
      <c r="G54" s="612"/>
      <c r="H54" s="334"/>
      <c r="I54" s="1703"/>
      <c r="J54" s="645">
        <f t="shared" si="42"/>
        <v>2161959.0460000001</v>
      </c>
      <c r="K54" s="651"/>
      <c r="L54" s="650">
        <f t="shared" si="43"/>
        <v>2648499.1800000002</v>
      </c>
      <c r="M54" s="501"/>
      <c r="N54" s="502">
        <f t="shared" si="20"/>
        <v>0</v>
      </c>
      <c r="O54" s="500">
        <f t="shared" si="48"/>
        <v>0</v>
      </c>
      <c r="P54" s="500">
        <f t="shared" si="21"/>
        <v>0</v>
      </c>
      <c r="Q54" s="816">
        <f t="shared" si="22"/>
        <v>0</v>
      </c>
      <c r="R54" s="815">
        <f t="shared" si="23"/>
        <v>0</v>
      </c>
      <c r="S54" s="510"/>
      <c r="T54" s="338">
        <v>320821.92</v>
      </c>
      <c r="U54" s="322"/>
      <c r="V54" s="322">
        <v>320821.92</v>
      </c>
      <c r="W54" s="338">
        <v>1362736.01</v>
      </c>
      <c r="X54" s="338"/>
      <c r="Y54" s="322"/>
      <c r="Z54" s="323">
        <f t="shared" si="44"/>
        <v>3.2476399679922121</v>
      </c>
      <c r="AA54" s="510"/>
      <c r="AB54" s="642">
        <v>3286194.22</v>
      </c>
      <c r="AC54" s="340"/>
      <c r="AD54" s="340">
        <v>3285808.72</v>
      </c>
      <c r="AE54" s="642">
        <v>3719230.31</v>
      </c>
      <c r="AF54" s="642"/>
      <c r="AG54" s="340"/>
      <c r="AH54" s="323">
        <f t="shared" si="3"/>
        <v>0.13177434473121297</v>
      </c>
      <c r="AI54" s="510"/>
      <c r="AJ54" s="338">
        <v>4643552.3</v>
      </c>
      <c r="AK54" s="322"/>
      <c r="AL54" s="322">
        <v>4643552.3</v>
      </c>
      <c r="AM54" s="338">
        <v>6957657.3100000005</v>
      </c>
      <c r="AN54" s="322"/>
      <c r="AO54" s="322"/>
      <c r="AP54" s="323">
        <f t="shared" si="45"/>
        <v>0.49834800180887395</v>
      </c>
      <c r="AQ54" s="510"/>
      <c r="AR54" s="642">
        <v>1467284.08</v>
      </c>
      <c r="AS54" s="340"/>
      <c r="AT54" s="340">
        <v>1467284.08</v>
      </c>
      <c r="AU54" s="642">
        <v>1435840.47</v>
      </c>
      <c r="AV54" s="340"/>
      <c r="AW54" s="340"/>
      <c r="AX54" s="323">
        <f t="shared" si="46"/>
        <v>-2.1429803831852445E-2</v>
      </c>
      <c r="AY54" s="510"/>
      <c r="AZ54" s="642">
        <v>2167682.17</v>
      </c>
      <c r="BA54" s="322"/>
      <c r="BB54" s="322">
        <v>2167682.17</v>
      </c>
      <c r="BC54" s="642">
        <v>2611668.7000000002</v>
      </c>
      <c r="BD54" s="322"/>
      <c r="BE54" s="322"/>
      <c r="BF54" s="323">
        <f t="shared" si="6"/>
        <v>0.20482086172254688</v>
      </c>
      <c r="BG54" s="510"/>
      <c r="BH54" s="625">
        <v>3587040.6800000006</v>
      </c>
      <c r="BI54" s="340"/>
      <c r="BJ54" s="340">
        <v>3587040.68</v>
      </c>
      <c r="BK54" s="625">
        <v>3862915.4600000009</v>
      </c>
      <c r="BL54" s="340"/>
      <c r="BM54" s="340"/>
      <c r="BN54" s="323">
        <f t="shared" si="7"/>
        <v>7.6908740271102838E-2</v>
      </c>
      <c r="BO54" s="510"/>
      <c r="BP54" s="625">
        <v>1438686.06</v>
      </c>
      <c r="BQ54" s="322"/>
      <c r="BR54" s="322">
        <v>1438686.06</v>
      </c>
      <c r="BS54" s="625">
        <v>1441712.96</v>
      </c>
      <c r="BT54" s="322"/>
      <c r="BU54" s="322"/>
      <c r="BV54" s="323">
        <f t="shared" si="8"/>
        <v>2.1039336406720732E-3</v>
      </c>
      <c r="BW54" s="510"/>
      <c r="BX54" s="625">
        <v>2306472.8600000003</v>
      </c>
      <c r="BY54" s="340"/>
      <c r="BZ54" s="340">
        <v>2306472.86</v>
      </c>
      <c r="CA54" s="625">
        <v>3207052.3400000003</v>
      </c>
      <c r="CB54" s="340"/>
      <c r="CC54" s="340"/>
      <c r="CD54" s="323">
        <f t="shared" si="9"/>
        <v>0.39045743638188735</v>
      </c>
      <c r="CE54" s="510"/>
      <c r="CF54" s="625">
        <v>1590307.11</v>
      </c>
      <c r="CG54" s="322"/>
      <c r="CH54" s="322">
        <v>1590307.11</v>
      </c>
      <c r="CI54" s="625">
        <v>1021704.84</v>
      </c>
      <c r="CJ54" s="322"/>
      <c r="CK54" s="322"/>
      <c r="CL54" s="323">
        <f t="shared" si="10"/>
        <v>-0.3575424309082037</v>
      </c>
      <c r="CM54" s="510"/>
      <c r="CN54" s="625">
        <v>811549.05999999994</v>
      </c>
      <c r="CO54" s="340"/>
      <c r="CP54" s="340">
        <v>811549.06</v>
      </c>
      <c r="CQ54" s="625">
        <v>864473.4</v>
      </c>
      <c r="CR54" s="340"/>
      <c r="CS54" s="340"/>
      <c r="CT54" s="323">
        <f t="shared" si="47"/>
        <v>6.5213974864317015E-2</v>
      </c>
      <c r="CU54" s="315"/>
      <c r="CX54" s="521"/>
      <c r="CY54" s="521">
        <v>0</v>
      </c>
      <c r="CZ54" s="522">
        <f t="shared" si="55"/>
        <v>0</v>
      </c>
      <c r="DA54" s="521">
        <v>0</v>
      </c>
      <c r="DB54" s="522">
        <f t="shared" si="60"/>
        <v>0</v>
      </c>
      <c r="DC54" s="521">
        <v>0</v>
      </c>
      <c r="DD54" s="522">
        <f t="shared" si="61"/>
        <v>0</v>
      </c>
      <c r="DE54" s="521">
        <v>0</v>
      </c>
      <c r="DF54" s="522">
        <f t="shared" si="62"/>
        <v>0</v>
      </c>
      <c r="DG54" s="521">
        <v>0</v>
      </c>
      <c r="DH54" s="522">
        <f t="shared" si="63"/>
        <v>0</v>
      </c>
      <c r="DI54" s="521">
        <v>0</v>
      </c>
      <c r="DJ54" s="522">
        <f t="shared" si="64"/>
        <v>0</v>
      </c>
      <c r="DK54" s="521">
        <v>0</v>
      </c>
      <c r="DL54" s="522">
        <f t="shared" si="49"/>
        <v>0</v>
      </c>
      <c r="DM54" s="521">
        <f t="shared" si="24"/>
        <v>0</v>
      </c>
      <c r="DN54" s="313"/>
      <c r="DO54" s="313"/>
      <c r="DP54" s="313"/>
      <c r="DQ54" s="313"/>
      <c r="DR54" s="313"/>
      <c r="DS54" s="313"/>
      <c r="DT54" s="313"/>
      <c r="DU54" s="313"/>
      <c r="DV54" s="313"/>
      <c r="DW54" s="313"/>
    </row>
    <row r="55" spans="1:127" s="2" customFormat="1" ht="14.25">
      <c r="A55" s="1838"/>
      <c r="B55" s="1841"/>
      <c r="C55" s="625">
        <v>25.3</v>
      </c>
      <c r="D55" s="1001" t="s">
        <v>1262</v>
      </c>
      <c r="E55" s="482" t="s">
        <v>256</v>
      </c>
      <c r="F55" s="612"/>
      <c r="G55" s="612"/>
      <c r="H55" s="334"/>
      <c r="I55" s="1701"/>
      <c r="J55" s="645">
        <f t="shared" si="42"/>
        <v>85614808.399999991</v>
      </c>
      <c r="K55" s="651"/>
      <c r="L55" s="650">
        <f t="shared" si="43"/>
        <v>70726470.503999993</v>
      </c>
      <c r="M55" s="501"/>
      <c r="N55" s="502">
        <f t="shared" si="20"/>
        <v>0</v>
      </c>
      <c r="O55" s="500">
        <f t="shared" si="48"/>
        <v>0</v>
      </c>
      <c r="P55" s="500">
        <f t="shared" si="21"/>
        <v>0</v>
      </c>
      <c r="Q55" s="816">
        <f t="shared" si="22"/>
        <v>0</v>
      </c>
      <c r="R55" s="815">
        <f t="shared" si="23"/>
        <v>0</v>
      </c>
      <c r="S55" s="510"/>
      <c r="T55" s="338">
        <v>40118100.909999996</v>
      </c>
      <c r="U55" s="322"/>
      <c r="V55" s="322">
        <v>40118100.909999996</v>
      </c>
      <c r="W55" s="338">
        <v>41035295.910000004</v>
      </c>
      <c r="X55" s="338"/>
      <c r="Y55" s="322"/>
      <c r="Z55" s="323">
        <f t="shared" si="44"/>
        <v>2.2862373322646068E-2</v>
      </c>
      <c r="AA55" s="510"/>
      <c r="AB55" s="642">
        <v>221416066.75</v>
      </c>
      <c r="AC55" s="340"/>
      <c r="AD55" s="340">
        <v>220056537.59999999</v>
      </c>
      <c r="AE55" s="642">
        <v>179360290.86000001</v>
      </c>
      <c r="AF55" s="642"/>
      <c r="AG55" s="340"/>
      <c r="AH55" s="323">
        <f t="shared" si="3"/>
        <v>-0.18994003690565509</v>
      </c>
      <c r="AI55" s="510"/>
      <c r="AJ55" s="338">
        <v>127268857.69</v>
      </c>
      <c r="AK55" s="322"/>
      <c r="AL55" s="322">
        <v>127268857.69</v>
      </c>
      <c r="AM55" s="338">
        <v>110461033.90000001</v>
      </c>
      <c r="AN55" s="322"/>
      <c r="AO55" s="322"/>
      <c r="AP55" s="323">
        <f t="shared" si="45"/>
        <v>-0.13206548793688633</v>
      </c>
      <c r="AQ55" s="510"/>
      <c r="AR55" s="642">
        <v>64673369.840000004</v>
      </c>
      <c r="AS55" s="340"/>
      <c r="AT55" s="340">
        <v>64673369.840000004</v>
      </c>
      <c r="AU55" s="642">
        <v>43047318.380000003</v>
      </c>
      <c r="AV55" s="340"/>
      <c r="AW55" s="340"/>
      <c r="AX55" s="323">
        <f t="shared" si="46"/>
        <v>-0.33438881433737266</v>
      </c>
      <c r="AY55" s="510"/>
      <c r="AZ55" s="642">
        <v>116617533.36999999</v>
      </c>
      <c r="BA55" s="322"/>
      <c r="BB55" s="322">
        <v>116617533.37</v>
      </c>
      <c r="BC55" s="642">
        <v>91939990.829999983</v>
      </c>
      <c r="BD55" s="322"/>
      <c r="BE55" s="322"/>
      <c r="BF55" s="323">
        <f t="shared" si="6"/>
        <v>-0.21161091155738965</v>
      </c>
      <c r="BG55" s="510"/>
      <c r="BH55" s="625">
        <v>119323449.70999999</v>
      </c>
      <c r="BI55" s="340"/>
      <c r="BJ55" s="340">
        <v>119323449.70999999</v>
      </c>
      <c r="BK55" s="625">
        <v>102341668.21999998</v>
      </c>
      <c r="BL55" s="340"/>
      <c r="BM55" s="340"/>
      <c r="BN55" s="323">
        <f t="shared" si="7"/>
        <v>-0.14231721871327052</v>
      </c>
      <c r="BO55" s="510"/>
      <c r="BP55" s="625">
        <v>21829870.809999999</v>
      </c>
      <c r="BQ55" s="322"/>
      <c r="BR55" s="322">
        <v>21829870.809999999</v>
      </c>
      <c r="BS55" s="625">
        <v>18639615.270000003</v>
      </c>
      <c r="BT55" s="322"/>
      <c r="BU55" s="322"/>
      <c r="BV55" s="323">
        <f t="shared" si="8"/>
        <v>-0.14614175080406699</v>
      </c>
      <c r="BW55" s="510"/>
      <c r="BX55" s="625">
        <v>92052244.270000011</v>
      </c>
      <c r="BY55" s="340"/>
      <c r="BZ55" s="340">
        <v>92052244.269999996</v>
      </c>
      <c r="CA55" s="625">
        <v>78674096.210000008</v>
      </c>
      <c r="CB55" s="340"/>
      <c r="CC55" s="340"/>
      <c r="CD55" s="323">
        <f t="shared" si="9"/>
        <v>-0.14533212271023321</v>
      </c>
      <c r="CE55" s="510"/>
      <c r="CF55" s="625">
        <v>21711836.149999999</v>
      </c>
      <c r="CG55" s="322"/>
      <c r="CH55" s="322">
        <v>21711836.149999999</v>
      </c>
      <c r="CI55" s="625">
        <v>16612172.759999998</v>
      </c>
      <c r="CJ55" s="322"/>
      <c r="CK55" s="322"/>
      <c r="CL55" s="323">
        <f t="shared" si="10"/>
        <v>-0.23487941576051374</v>
      </c>
      <c r="CM55" s="510"/>
      <c r="CN55" s="625">
        <v>31136754.5</v>
      </c>
      <c r="CO55" s="340"/>
      <c r="CP55" s="340">
        <v>31136754.5</v>
      </c>
      <c r="CQ55" s="625">
        <v>25153222.699999999</v>
      </c>
      <c r="CR55" s="340"/>
      <c r="CS55" s="340"/>
      <c r="CT55" s="323">
        <f t="shared" si="47"/>
        <v>-0.19216941187624426</v>
      </c>
      <c r="CU55" s="315"/>
      <c r="CX55" s="521"/>
      <c r="CY55" s="521">
        <v>0</v>
      </c>
      <c r="CZ55" s="522">
        <f t="shared" si="55"/>
        <v>0</v>
      </c>
      <c r="DA55" s="521">
        <v>0</v>
      </c>
      <c r="DB55" s="522">
        <f t="shared" si="60"/>
        <v>0</v>
      </c>
      <c r="DC55" s="521">
        <v>0</v>
      </c>
      <c r="DD55" s="522">
        <f t="shared" si="61"/>
        <v>0</v>
      </c>
      <c r="DE55" s="521">
        <v>0</v>
      </c>
      <c r="DF55" s="522">
        <f t="shared" si="62"/>
        <v>0</v>
      </c>
      <c r="DG55" s="521">
        <v>0</v>
      </c>
      <c r="DH55" s="522">
        <f t="shared" si="63"/>
        <v>0</v>
      </c>
      <c r="DI55" s="521">
        <v>0</v>
      </c>
      <c r="DJ55" s="522">
        <f t="shared" si="64"/>
        <v>0</v>
      </c>
      <c r="DK55" s="521">
        <v>0</v>
      </c>
      <c r="DL55" s="522">
        <f t="shared" si="49"/>
        <v>0</v>
      </c>
      <c r="DM55" s="521">
        <f t="shared" si="24"/>
        <v>0</v>
      </c>
      <c r="DN55" s="313"/>
      <c r="DO55" s="313"/>
      <c r="DP55" s="313"/>
      <c r="DQ55" s="313"/>
      <c r="DR55" s="313"/>
      <c r="DS55" s="313"/>
      <c r="DT55" s="313"/>
      <c r="DU55" s="313"/>
      <c r="DV55" s="313"/>
      <c r="DW55" s="313"/>
    </row>
    <row r="56" spans="1:127" s="2" customFormat="1" ht="14.25">
      <c r="A56" s="1838"/>
      <c r="B56" s="1841"/>
      <c r="C56" s="1452">
        <v>25.4</v>
      </c>
      <c r="D56" s="1453" t="s">
        <v>1263</v>
      </c>
      <c r="E56" s="1454" t="s">
        <v>256</v>
      </c>
      <c r="F56" s="1451"/>
      <c r="G56" s="1451"/>
      <c r="H56" s="1456"/>
      <c r="I56" s="1451"/>
      <c r="J56" s="1457">
        <f t="shared" si="42"/>
        <v>38482191.399999999</v>
      </c>
      <c r="K56" s="1458"/>
      <c r="L56" s="1472">
        <f t="shared" si="43"/>
        <v>21556684</v>
      </c>
      <c r="M56" s="1459"/>
      <c r="N56" s="1460">
        <f t="shared" si="20"/>
        <v>0</v>
      </c>
      <c r="O56" s="1460">
        <f t="shared" si="48"/>
        <v>0</v>
      </c>
      <c r="P56" s="1460">
        <f t="shared" si="21"/>
        <v>0</v>
      </c>
      <c r="Q56" s="1461">
        <f t="shared" si="22"/>
        <v>0</v>
      </c>
      <c r="R56" s="1462">
        <f t="shared" si="23"/>
        <v>0</v>
      </c>
      <c r="S56" s="1463"/>
      <c r="T56" s="1457">
        <v>18251583</v>
      </c>
      <c r="U56" s="1464"/>
      <c r="V56" s="1464">
        <v>18251583</v>
      </c>
      <c r="W56" s="1457">
        <v>14292442</v>
      </c>
      <c r="X56" s="1457">
        <v>14292442</v>
      </c>
      <c r="Y56" s="1464"/>
      <c r="Z56" s="1465">
        <f t="shared" si="44"/>
        <v>-0.21692041725914957</v>
      </c>
      <c r="AA56" s="1463"/>
      <c r="AB56" s="1472">
        <v>70528731</v>
      </c>
      <c r="AC56" s="1473"/>
      <c r="AD56" s="1473">
        <v>68949803</v>
      </c>
      <c r="AE56" s="1472">
        <v>21864511</v>
      </c>
      <c r="AF56" s="1472">
        <v>21864511</v>
      </c>
      <c r="AG56" s="1473"/>
      <c r="AH56" s="1465">
        <f t="shared" si="3"/>
        <v>-0.68999143058450896</v>
      </c>
      <c r="AI56" s="1463"/>
      <c r="AJ56" s="1457">
        <v>58156636</v>
      </c>
      <c r="AK56" s="1464"/>
      <c r="AL56" s="1464">
        <v>58156636</v>
      </c>
      <c r="AM56" s="1457">
        <v>41532974</v>
      </c>
      <c r="AN56" s="1464"/>
      <c r="AO56" s="1464">
        <v>41532974</v>
      </c>
      <c r="AP56" s="1465">
        <f t="shared" si="45"/>
        <v>-0.28584290879548124</v>
      </c>
      <c r="AQ56" s="1463"/>
      <c r="AR56" s="1472">
        <v>41963680</v>
      </c>
      <c r="AS56" s="1473"/>
      <c r="AT56" s="1473">
        <v>41963680</v>
      </c>
      <c r="AU56" s="1472">
        <v>14035992</v>
      </c>
      <c r="AV56" s="1473"/>
      <c r="AW56" s="1473">
        <v>14035992</v>
      </c>
      <c r="AX56" s="1465">
        <f t="shared" si="46"/>
        <v>-0.66552046912949492</v>
      </c>
      <c r="AY56" s="1463"/>
      <c r="AZ56" s="1472">
        <v>45391915</v>
      </c>
      <c r="BA56" s="1464"/>
      <c r="BB56" s="1464">
        <v>45391915</v>
      </c>
      <c r="BC56" s="1472">
        <v>27314057</v>
      </c>
      <c r="BD56" s="1464"/>
      <c r="BE56" s="1464">
        <v>27314057</v>
      </c>
      <c r="BF56" s="1465">
        <f t="shared" si="6"/>
        <v>-0.39826162875040627</v>
      </c>
      <c r="BG56" s="1463"/>
      <c r="BH56" s="1452">
        <v>59087507</v>
      </c>
      <c r="BI56" s="1473"/>
      <c r="BJ56" s="1473">
        <v>59087507</v>
      </c>
      <c r="BK56" s="1452">
        <v>32389012</v>
      </c>
      <c r="BL56" s="1473"/>
      <c r="BM56" s="1473">
        <v>32389012</v>
      </c>
      <c r="BN56" s="1465">
        <f t="shared" si="7"/>
        <v>-0.45184669916772757</v>
      </c>
      <c r="BO56" s="1463"/>
      <c r="BP56" s="1452">
        <v>9646319</v>
      </c>
      <c r="BQ56" s="1464"/>
      <c r="BR56" s="1464">
        <v>9646319</v>
      </c>
      <c r="BS56" s="1452">
        <v>3633096</v>
      </c>
      <c r="BT56" s="1464"/>
      <c r="BU56" s="1464">
        <v>3633096</v>
      </c>
      <c r="BV56" s="1465">
        <f t="shared" si="8"/>
        <v>-0.62336970195574082</v>
      </c>
      <c r="BW56" s="1463"/>
      <c r="BX56" s="1452">
        <v>47988075</v>
      </c>
      <c r="BY56" s="1473"/>
      <c r="BZ56" s="1473">
        <v>47988075</v>
      </c>
      <c r="CA56" s="1452">
        <v>40404628</v>
      </c>
      <c r="CB56" s="1473"/>
      <c r="CC56" s="1473">
        <v>40404628</v>
      </c>
      <c r="CD56" s="1465">
        <f t="shared" si="9"/>
        <v>-0.15802773918311996</v>
      </c>
      <c r="CE56" s="1463"/>
      <c r="CF56" s="1452">
        <v>20159879</v>
      </c>
      <c r="CG56" s="1464"/>
      <c r="CH56" s="1464">
        <v>20159879</v>
      </c>
      <c r="CI56" s="1452">
        <v>8308703</v>
      </c>
      <c r="CJ56" s="1464"/>
      <c r="CK56" s="1464">
        <v>8308703</v>
      </c>
      <c r="CL56" s="1465">
        <f t="shared" si="10"/>
        <v>-0.58785948070422445</v>
      </c>
      <c r="CM56" s="1463"/>
      <c r="CN56" s="1452">
        <v>13647589</v>
      </c>
      <c r="CO56" s="1473"/>
      <c r="CP56" s="1473">
        <v>13647589</v>
      </c>
      <c r="CQ56" s="1452">
        <v>11791425</v>
      </c>
      <c r="CR56" s="1473"/>
      <c r="CS56" s="1473">
        <v>11791425</v>
      </c>
      <c r="CT56" s="1465">
        <f t="shared" si="47"/>
        <v>-0.13600673349703019</v>
      </c>
      <c r="CU56" s="315"/>
      <c r="CX56" s="521"/>
      <c r="CY56" s="521">
        <v>0</v>
      </c>
      <c r="CZ56" s="522">
        <f t="shared" si="55"/>
        <v>0</v>
      </c>
      <c r="DA56" s="521">
        <v>0</v>
      </c>
      <c r="DB56" s="522">
        <f t="shared" si="60"/>
        <v>0</v>
      </c>
      <c r="DC56" s="521">
        <v>0</v>
      </c>
      <c r="DD56" s="522">
        <f t="shared" si="61"/>
        <v>0</v>
      </c>
      <c r="DE56" s="521">
        <v>0</v>
      </c>
      <c r="DF56" s="522">
        <f t="shared" si="62"/>
        <v>0</v>
      </c>
      <c r="DG56" s="521">
        <v>0</v>
      </c>
      <c r="DH56" s="522">
        <f t="shared" si="63"/>
        <v>0</v>
      </c>
      <c r="DI56" s="521">
        <v>0</v>
      </c>
      <c r="DJ56" s="522">
        <f t="shared" si="64"/>
        <v>0</v>
      </c>
      <c r="DK56" s="521">
        <v>0</v>
      </c>
      <c r="DL56" s="522">
        <f t="shared" si="49"/>
        <v>0</v>
      </c>
      <c r="DM56" s="521">
        <f t="shared" si="24"/>
        <v>0</v>
      </c>
      <c r="DN56" s="313"/>
      <c r="DO56" s="313"/>
      <c r="DP56" s="313"/>
      <c r="DQ56" s="313"/>
      <c r="DR56" s="313"/>
      <c r="DS56" s="313"/>
      <c r="DT56" s="313"/>
      <c r="DU56" s="313"/>
      <c r="DV56" s="313"/>
      <c r="DW56" s="313"/>
    </row>
    <row r="57" spans="1:127" s="2" customFormat="1" ht="14.25">
      <c r="A57" s="1838" t="s">
        <v>1776</v>
      </c>
      <c r="B57" s="1840" t="s">
        <v>2051</v>
      </c>
      <c r="C57" s="23">
        <v>26</v>
      </c>
      <c r="D57" s="998" t="s">
        <v>1264</v>
      </c>
      <c r="E57" s="484"/>
      <c r="F57" s="610"/>
      <c r="G57" s="610" t="s">
        <v>472</v>
      </c>
      <c r="H57" s="334" t="s">
        <v>282</v>
      </c>
      <c r="I57" s="611">
        <v>3</v>
      </c>
      <c r="J57" s="644">
        <f t="shared" si="42"/>
        <v>9.4640073295400827E-3</v>
      </c>
      <c r="K57" s="1334">
        <f>AVERAGE(CO57,CG57,BY57,BQ57,BI57,BA57,AS57,AK57,AC57,U57)</f>
        <v>3</v>
      </c>
      <c r="L57" s="644">
        <f t="shared" si="43"/>
        <v>1.404555284855429E-2</v>
      </c>
      <c r="M57" s="1333">
        <f>AVERAGE(CR57,CJ57,CB57,BT57,BL57,BD57,AV57,AN57,AG57,Y57)</f>
        <v>2.85</v>
      </c>
      <c r="N57" s="502">
        <f t="shared" si="20"/>
        <v>-0.14999999999999991</v>
      </c>
      <c r="O57" s="500">
        <f t="shared" si="48"/>
        <v>0.14999999999999991</v>
      </c>
      <c r="P57" s="500">
        <f t="shared" si="21"/>
        <v>0.10499999999999993</v>
      </c>
      <c r="Q57" s="816">
        <f t="shared" si="22"/>
        <v>1.1666666666666659E-2</v>
      </c>
      <c r="R57" s="815">
        <f t="shared" si="23"/>
        <v>5.8333333333333293E-3</v>
      </c>
      <c r="S57" s="510"/>
      <c r="T57" s="1316">
        <f>IF(T62=0,"",(SUM(T58:T59)-SUM(T60:T61))/T62)</f>
        <v>1.9122241883312871E-3</v>
      </c>
      <c r="U57" s="322">
        <f>IF(T57&lt;=0.03,3,IF(T57&lt;=0.05,1.5,0))</f>
        <v>3</v>
      </c>
      <c r="V57" s="322"/>
      <c r="W57" s="640">
        <f>IF(W62=0,"",(SUM(W58:W59)-SUM(W60:W61))/W62)</f>
        <v>3.8065741959343803E-3</v>
      </c>
      <c r="X57" s="1423"/>
      <c r="Y57" s="322">
        <f>IF(W57&lt;=0.03,3,IF(W57&lt;=0.05,1.5,0))</f>
        <v>3</v>
      </c>
      <c r="Z57" s="323">
        <f t="shared" si="44"/>
        <v>0.99065267512184763</v>
      </c>
      <c r="AA57" s="510"/>
      <c r="AB57" s="1316">
        <f>IF(AB62=0,"",(SUM(AB58:AB59)-SUM(AB60:AB61))/AB62)</f>
        <v>5.1722766820444304E-3</v>
      </c>
      <c r="AC57" s="322">
        <f>IF(AB57&lt;=0.03,3,IF(AB57&lt;=0.05,1.5,0))</f>
        <v>3</v>
      </c>
      <c r="AD57" s="322"/>
      <c r="AE57" s="640">
        <f>IF(AE62=0,"",(SUM(AE58:AE59)-SUM(AE60:AE61))/AE62)</f>
        <v>1.0226036592660748E-2</v>
      </c>
      <c r="AF57" s="1423"/>
      <c r="AG57" s="322">
        <f>IF(AE57&lt;=0.03,3,IF(AE57&lt;=0.05,1.5,0))</f>
        <v>3</v>
      </c>
      <c r="AH57" s="323">
        <f t="shared" si="3"/>
        <v>0.97708615012040156</v>
      </c>
      <c r="AI57" s="510"/>
      <c r="AJ57" s="1316">
        <f>IF(AJ62=0,"",(SUM(AJ58:AJ59)-SUM(AJ60:AJ61))/AJ62)</f>
        <v>1.090762846705351E-2</v>
      </c>
      <c r="AK57" s="322">
        <f>IF(AJ57&lt;=0.03,3,IF(AJ57&lt;=0.05,1.5,0))</f>
        <v>3</v>
      </c>
      <c r="AL57" s="322"/>
      <c r="AM57" s="640">
        <f>IF(AM62=0,"",(SUM(AM58:AM59)-SUM(AM60:AM61))/AM62)</f>
        <v>1.7732331743985422E-2</v>
      </c>
      <c r="AN57" s="322">
        <f>IF(AM57&lt;=0.03,3,IF(AM57&lt;=0.05,1.5,0))</f>
        <v>3</v>
      </c>
      <c r="AO57" s="322"/>
      <c r="AP57" s="323">
        <f t="shared" si="45"/>
        <v>0.62568167751092085</v>
      </c>
      <c r="AQ57" s="510"/>
      <c r="AR57" s="1316">
        <f>IF(AR62=0,"",(SUM(AR58:AR59)-SUM(AR60:AR61))/AR62)</f>
        <v>1.1537771033121437E-2</v>
      </c>
      <c r="AS57" s="322">
        <f>IF(AR57&lt;=0.03,3,IF(AR57&lt;=0.05,1.5,0))</f>
        <v>3</v>
      </c>
      <c r="AT57" s="322"/>
      <c r="AU57" s="640">
        <f>IF(AU62=0,"",(SUM(AU58:AU59)-SUM(AU60:AU61))/AU62)</f>
        <v>1.6649720321107626E-2</v>
      </c>
      <c r="AV57" s="322">
        <f>IF(AU57&lt;=0.03,3,IF(AU57&lt;=0.05,1.5,0))</f>
        <v>3</v>
      </c>
      <c r="AW57" s="322"/>
      <c r="AX57" s="323">
        <f t="shared" si="46"/>
        <v>0.44306211947795937</v>
      </c>
      <c r="AY57" s="510"/>
      <c r="AZ57" s="1316">
        <f>IF(AZ62=0,"",(SUM(AZ58:AZ59)-SUM(AZ60:AZ61))/AZ62)</f>
        <v>5.9804364999148747E-3</v>
      </c>
      <c r="BA57" s="322">
        <f>IF(AZ57&lt;=0.03,3,IF(AZ57&lt;=0.05,1.5,0))</f>
        <v>3</v>
      </c>
      <c r="BB57" s="322"/>
      <c r="BC57" s="640">
        <f>IF(BC62=0,"",(SUM(BC58:BC59)-SUM(BC60:BC61))/BC62)</f>
        <v>9.9340946459629334E-3</v>
      </c>
      <c r="BD57" s="322">
        <f>IF(BC57&lt;=0.03,3,IF(BC57&lt;=0.05,1.5,0))</f>
        <v>3</v>
      </c>
      <c r="BE57" s="322"/>
      <c r="BF57" s="323">
        <f t="shared" si="6"/>
        <v>0.66109859139952998</v>
      </c>
      <c r="BG57" s="510"/>
      <c r="BH57" s="1316">
        <f>IF(BH62=0,"",(SUM(BH58:BH59)-SUM(BH60:BH61))/BH62)</f>
        <v>1.1153120266563583E-2</v>
      </c>
      <c r="BI57" s="322">
        <f>IF(BH57&lt;=0.03,3,IF(BH57&lt;=0.05,1.5,0))</f>
        <v>3</v>
      </c>
      <c r="BJ57" s="322"/>
      <c r="BK57" s="640">
        <f>IF(BK62=0,"",(SUM(BK58:BK59)-SUM(BK60:BK61))/BK62)</f>
        <v>1.6204135315823157E-2</v>
      </c>
      <c r="BL57" s="322">
        <f>IF(BK57&lt;=0.03,3,IF(BK57&lt;=0.05,1.5,0))</f>
        <v>3</v>
      </c>
      <c r="BM57" s="322"/>
      <c r="BN57" s="323">
        <f t="shared" si="7"/>
        <v>0.45287909827371164</v>
      </c>
      <c r="BO57" s="510"/>
      <c r="BP57" s="1316">
        <f>IF(BP62=0,"",(SUM(BP58:BP59)-SUM(BP60:BP61))/BP62)</f>
        <v>5.7908229795783075E-3</v>
      </c>
      <c r="BQ57" s="322">
        <f>IF(BP57&lt;=0.03,3,IF(BP57&lt;=0.05,1.5,0))</f>
        <v>3</v>
      </c>
      <c r="BR57" s="322"/>
      <c r="BS57" s="640">
        <f>IF(BS62=0,"",(SUM(BS58:BS59)-SUM(BS60:BS61))/BS62)</f>
        <v>9.0215464857263585E-3</v>
      </c>
      <c r="BT57" s="322">
        <f>IF(BS57&lt;=0.03,3,IF(BS57&lt;=0.05,1.5,0))</f>
        <v>3</v>
      </c>
      <c r="BU57" s="322"/>
      <c r="BV57" s="323">
        <f t="shared" si="8"/>
        <v>0.55790403497765273</v>
      </c>
      <c r="BW57" s="510"/>
      <c r="BX57" s="1316">
        <f>IF(BX62=0,"",(SUM(BX58:BX59)-SUM(BX60:BX61))/BX62)</f>
        <v>2.6145263851801288E-2</v>
      </c>
      <c r="BY57" s="322">
        <f>IF(BX57&lt;=0.03,3,IF(BX57&lt;=0.05,1.5,0))</f>
        <v>3</v>
      </c>
      <c r="BZ57" s="322"/>
      <c r="CA57" s="640">
        <f>IF(CA62=0,"",(SUM(CA58:CA59)-SUM(CA60:CA61))/CA62)</f>
        <v>3.1878792012922791E-2</v>
      </c>
      <c r="CB57" s="322">
        <f>IF(CA57&lt;=0.03,3,IF(CA57&lt;=0.05,1.5,0))</f>
        <v>1.5</v>
      </c>
      <c r="CC57" s="322"/>
      <c r="CD57" s="323">
        <f t="shared" si="9"/>
        <v>0.21929509656589263</v>
      </c>
      <c r="CE57" s="510"/>
      <c r="CF57" s="1316">
        <f>IF(CF62=0,"",(SUM(CF58:CF59)-SUM(CF60:CF61))/CF62)</f>
        <v>7.4276815430434212E-3</v>
      </c>
      <c r="CG57" s="322">
        <f>IF(CF57&lt;=0.03,3,IF(CF57&lt;=0.05,1.5,0))</f>
        <v>3</v>
      </c>
      <c r="CH57" s="322"/>
      <c r="CI57" s="640">
        <f>IF(CI62=0,"",(SUM(CI58:CI59)-SUM(CI60:CI61))/CI62)</f>
        <v>1.1324556919042446E-2</v>
      </c>
      <c r="CJ57" s="322">
        <f>IF(CI57&lt;=0.03,3,IF(CI57&lt;=0.05,1.5,0))</f>
        <v>3</v>
      </c>
      <c r="CK57" s="322"/>
      <c r="CL57" s="323">
        <f t="shared" si="10"/>
        <v>0.52464222562809515</v>
      </c>
      <c r="CM57" s="510"/>
      <c r="CN57" s="1316">
        <f>IF(CN62=0,"",(SUM(CN58:CN59)-SUM(CN60:CN61))/CN62)</f>
        <v>8.612847783948701E-3</v>
      </c>
      <c r="CO57" s="322">
        <f>IF(CN57&lt;=0.03,3,IF(CN57&lt;=0.05,1.5,0))</f>
        <v>3</v>
      </c>
      <c r="CP57" s="322"/>
      <c r="CQ57" s="640">
        <f>IF(CQ62=0,"",(SUM(CQ58:CQ59)-SUM(CQ60:CQ61))/CQ62)</f>
        <v>1.3677740252377042E-2</v>
      </c>
      <c r="CR57" s="322">
        <f>IF(CQ57&lt;=0.03,3,IF(CQ57&lt;=0.05,1.5,0))</f>
        <v>3</v>
      </c>
      <c r="CS57" s="322"/>
      <c r="CT57" s="323">
        <f t="shared" si="47"/>
        <v>0.58806246150866692</v>
      </c>
      <c r="CU57" s="315"/>
      <c r="CX57" s="521" t="s">
        <v>1775</v>
      </c>
      <c r="CY57" s="521">
        <v>0</v>
      </c>
      <c r="CZ57" s="522">
        <f t="shared" si="55"/>
        <v>2.85</v>
      </c>
      <c r="DA57" s="521">
        <v>1</v>
      </c>
      <c r="DB57" s="522">
        <f t="shared" si="60"/>
        <v>2.85</v>
      </c>
      <c r="DC57" s="521">
        <v>1</v>
      </c>
      <c r="DD57" s="522">
        <f t="shared" si="61"/>
        <v>2.85</v>
      </c>
      <c r="DE57" s="521">
        <v>1</v>
      </c>
      <c r="DF57" s="522">
        <f t="shared" si="62"/>
        <v>2.85</v>
      </c>
      <c r="DG57" s="521">
        <v>1</v>
      </c>
      <c r="DH57" s="522">
        <f t="shared" si="63"/>
        <v>2.85</v>
      </c>
      <c r="DI57" s="521">
        <v>1</v>
      </c>
      <c r="DJ57" s="522">
        <f t="shared" si="64"/>
        <v>2.85</v>
      </c>
      <c r="DK57" s="521">
        <v>0</v>
      </c>
      <c r="DL57" s="522">
        <f t="shared" si="49"/>
        <v>2.85</v>
      </c>
      <c r="DM57" s="521">
        <f t="shared" si="24"/>
        <v>22.1</v>
      </c>
      <c r="DN57" s="313"/>
      <c r="DO57" s="313"/>
      <c r="DP57" s="313"/>
      <c r="DQ57" s="313"/>
      <c r="DR57" s="313"/>
      <c r="DS57" s="313"/>
      <c r="DT57" s="313"/>
      <c r="DU57" s="313"/>
      <c r="DV57" s="313"/>
      <c r="DW57" s="313"/>
    </row>
    <row r="58" spans="1:127" s="2" customFormat="1" ht="14.25">
      <c r="A58" s="1839"/>
      <c r="B58" s="1841"/>
      <c r="C58" s="399">
        <v>26.1</v>
      </c>
      <c r="D58" s="1001" t="s">
        <v>1265</v>
      </c>
      <c r="E58" s="482" t="s">
        <v>1777</v>
      </c>
      <c r="F58" s="462" t="s">
        <v>1266</v>
      </c>
      <c r="G58" s="463"/>
      <c r="H58" s="633"/>
      <c r="I58" s="463"/>
      <c r="J58" s="645">
        <f t="shared" si="42"/>
        <v>151177895.90100002</v>
      </c>
      <c r="K58" s="651"/>
      <c r="L58" s="645">
        <f t="shared" si="43"/>
        <v>234576520.85900003</v>
      </c>
      <c r="M58" s="501"/>
      <c r="N58" s="502">
        <f t="shared" si="20"/>
        <v>0</v>
      </c>
      <c r="O58" s="500">
        <f t="shared" si="48"/>
        <v>0</v>
      </c>
      <c r="P58" s="500">
        <f t="shared" si="21"/>
        <v>0</v>
      </c>
      <c r="Q58" s="816">
        <f t="shared" si="22"/>
        <v>0</v>
      </c>
      <c r="R58" s="815">
        <f t="shared" si="23"/>
        <v>0</v>
      </c>
      <c r="S58" s="510"/>
      <c r="T58" s="338">
        <v>29954183.630000003</v>
      </c>
      <c r="U58" s="322"/>
      <c r="V58" s="322"/>
      <c r="W58" s="338">
        <v>63922823.630000003</v>
      </c>
      <c r="X58" s="338"/>
      <c r="Y58" s="322"/>
      <c r="Z58" s="323">
        <f t="shared" si="44"/>
        <v>1.1340198891609719</v>
      </c>
      <c r="AA58" s="510"/>
      <c r="AB58" s="338">
        <v>148025435.88</v>
      </c>
      <c r="AC58" s="610"/>
      <c r="AD58" s="1444"/>
      <c r="AE58" s="338">
        <v>286941779.37</v>
      </c>
      <c r="AF58" s="338"/>
      <c r="AG58" s="610"/>
      <c r="AH58" s="323">
        <f t="shared" si="3"/>
        <v>0.93846265450361877</v>
      </c>
      <c r="AI58" s="510"/>
      <c r="AJ58" s="625">
        <v>224863311.17999998</v>
      </c>
      <c r="AK58" s="610"/>
      <c r="AL58" s="1444"/>
      <c r="AM58" s="625">
        <v>366098764.41999996</v>
      </c>
      <c r="AN58" s="610"/>
      <c r="AO58" s="1421"/>
      <c r="AP58" s="323">
        <f t="shared" si="45"/>
        <v>0.62809469672419316</v>
      </c>
      <c r="AQ58" s="510"/>
      <c r="AR58" s="625">
        <v>51247919.869999997</v>
      </c>
      <c r="AS58" s="610"/>
      <c r="AT58" s="1444"/>
      <c r="AU58" s="625">
        <v>74518048.870000005</v>
      </c>
      <c r="AV58" s="610"/>
      <c r="AW58" s="1421"/>
      <c r="AX58" s="323">
        <f t="shared" si="46"/>
        <v>0.45406972729876793</v>
      </c>
      <c r="AY58" s="510"/>
      <c r="AZ58" s="625">
        <v>188532617.09</v>
      </c>
      <c r="BA58" s="610"/>
      <c r="BB58" s="1444"/>
      <c r="BC58" s="625">
        <v>326293376.69999999</v>
      </c>
      <c r="BD58" s="610"/>
      <c r="BE58" s="1421"/>
      <c r="BF58" s="323">
        <f t="shared" si="6"/>
        <v>0.7306998743047044</v>
      </c>
      <c r="BG58" s="510"/>
      <c r="BH58" s="625">
        <v>329730758.39999998</v>
      </c>
      <c r="BI58" s="610"/>
      <c r="BJ58" s="1444"/>
      <c r="BK58" s="625">
        <v>505445810.78000003</v>
      </c>
      <c r="BL58" s="610"/>
      <c r="BM58" s="1421"/>
      <c r="BN58" s="323">
        <f t="shared" si="7"/>
        <v>0.53290464387565017</v>
      </c>
      <c r="BO58" s="510"/>
      <c r="BP58" s="625">
        <v>59650016.049999997</v>
      </c>
      <c r="BQ58" s="610"/>
      <c r="BR58" s="1444"/>
      <c r="BS58" s="625">
        <v>91773151.859999999</v>
      </c>
      <c r="BT58" s="610"/>
      <c r="BU58" s="1421"/>
      <c r="BV58" s="323">
        <f t="shared" si="8"/>
        <v>0.53852685945756762</v>
      </c>
      <c r="BW58" s="510"/>
      <c r="BX58" s="625">
        <v>388877996.45999998</v>
      </c>
      <c r="BY58" s="610"/>
      <c r="BZ58" s="1444"/>
      <c r="CA58" s="625">
        <v>489699148.50999999</v>
      </c>
      <c r="CB58" s="610"/>
      <c r="CC58" s="1421"/>
      <c r="CD58" s="323">
        <f t="shared" si="9"/>
        <v>0.25926165267201084</v>
      </c>
      <c r="CE58" s="510"/>
      <c r="CF58" s="625">
        <v>36394105.489999995</v>
      </c>
      <c r="CG58" s="610"/>
      <c r="CH58" s="1444"/>
      <c r="CI58" s="625">
        <v>59598793.490000002</v>
      </c>
      <c r="CJ58" s="610"/>
      <c r="CK58" s="1421"/>
      <c r="CL58" s="323">
        <f t="shared" si="10"/>
        <v>0.63759467879698151</v>
      </c>
      <c r="CM58" s="510"/>
      <c r="CN58" s="625">
        <v>54502614.960000001</v>
      </c>
      <c r="CO58" s="610"/>
      <c r="CP58" s="1444"/>
      <c r="CQ58" s="625">
        <v>81473510.960000008</v>
      </c>
      <c r="CR58" s="610"/>
      <c r="CS58" s="1421"/>
      <c r="CT58" s="323">
        <f t="shared" si="47"/>
        <v>0.4948550820872395</v>
      </c>
      <c r="CU58" s="315"/>
      <c r="CX58" s="521"/>
      <c r="CY58" s="521">
        <v>0</v>
      </c>
      <c r="CZ58" s="522">
        <f t="shared" si="55"/>
        <v>0</v>
      </c>
      <c r="DA58" s="521">
        <v>0</v>
      </c>
      <c r="DB58" s="522">
        <f t="shared" si="60"/>
        <v>0</v>
      </c>
      <c r="DC58" s="521">
        <v>0</v>
      </c>
      <c r="DD58" s="522">
        <f t="shared" si="61"/>
        <v>0</v>
      </c>
      <c r="DE58" s="521">
        <v>0</v>
      </c>
      <c r="DF58" s="522">
        <f t="shared" si="62"/>
        <v>0</v>
      </c>
      <c r="DG58" s="521">
        <v>0</v>
      </c>
      <c r="DH58" s="522">
        <f t="shared" si="63"/>
        <v>0</v>
      </c>
      <c r="DI58" s="521">
        <v>0</v>
      </c>
      <c r="DJ58" s="522">
        <f t="shared" si="64"/>
        <v>0</v>
      </c>
      <c r="DK58" s="521">
        <v>0</v>
      </c>
      <c r="DL58" s="522">
        <f t="shared" si="49"/>
        <v>0</v>
      </c>
      <c r="DM58" s="521">
        <f t="shared" si="24"/>
        <v>0</v>
      </c>
      <c r="DN58" s="313"/>
      <c r="DO58" s="313"/>
      <c r="DP58" s="313"/>
      <c r="DQ58" s="313"/>
      <c r="DR58" s="313"/>
      <c r="DS58" s="313"/>
      <c r="DT58" s="313"/>
      <c r="DU58" s="313"/>
      <c r="DV58" s="313"/>
      <c r="DW58" s="313"/>
    </row>
    <row r="59" spans="1:127" s="2" customFormat="1" ht="14.25">
      <c r="A59" s="1839"/>
      <c r="B59" s="1841"/>
      <c r="C59" s="399">
        <v>26.2</v>
      </c>
      <c r="D59" s="1001" t="s">
        <v>1267</v>
      </c>
      <c r="E59" s="482" t="s">
        <v>1777</v>
      </c>
      <c r="F59" s="462" t="s">
        <v>1266</v>
      </c>
      <c r="G59" s="463"/>
      <c r="H59" s="633"/>
      <c r="I59" s="463"/>
      <c r="J59" s="645">
        <f t="shared" si="42"/>
        <v>1452256.6</v>
      </c>
      <c r="K59" s="651"/>
      <c r="L59" s="645">
        <f t="shared" si="43"/>
        <v>1943294.4</v>
      </c>
      <c r="M59" s="501"/>
      <c r="N59" s="502">
        <f t="shared" si="20"/>
        <v>0</v>
      </c>
      <c r="O59" s="500">
        <f t="shared" si="48"/>
        <v>0</v>
      </c>
      <c r="P59" s="500">
        <f t="shared" si="21"/>
        <v>0</v>
      </c>
      <c r="Q59" s="816">
        <f t="shared" si="22"/>
        <v>0</v>
      </c>
      <c r="R59" s="815">
        <f t="shared" si="23"/>
        <v>0</v>
      </c>
      <c r="S59" s="510"/>
      <c r="T59" s="338">
        <v>2448240</v>
      </c>
      <c r="U59" s="322"/>
      <c r="V59" s="322"/>
      <c r="W59" s="338">
        <v>2893980</v>
      </c>
      <c r="X59" s="338"/>
      <c r="Y59" s="322"/>
      <c r="Z59" s="323">
        <f t="shared" si="44"/>
        <v>0.18206548377610043</v>
      </c>
      <c r="AA59" s="510"/>
      <c r="AB59" s="338">
        <v>2268870</v>
      </c>
      <c r="AC59" s="610"/>
      <c r="AD59" s="1444"/>
      <c r="AE59" s="338">
        <v>4274010</v>
      </c>
      <c r="AF59" s="338"/>
      <c r="AG59" s="610"/>
      <c r="AH59" s="323">
        <f t="shared" si="3"/>
        <v>0.88376152005183206</v>
      </c>
      <c r="AI59" s="510"/>
      <c r="AJ59" s="625">
        <v>3073410</v>
      </c>
      <c r="AK59" s="610"/>
      <c r="AL59" s="1444"/>
      <c r="AM59" s="625">
        <v>3635643</v>
      </c>
      <c r="AN59" s="610"/>
      <c r="AO59" s="1421"/>
      <c r="AP59" s="323">
        <f t="shared" si="45"/>
        <v>0.18293459056878181</v>
      </c>
      <c r="AQ59" s="510"/>
      <c r="AR59" s="625">
        <v>0</v>
      </c>
      <c r="AS59" s="610"/>
      <c r="AT59" s="1444"/>
      <c r="AU59" s="625">
        <v>50000</v>
      </c>
      <c r="AV59" s="610"/>
      <c r="AW59" s="1421"/>
      <c r="AX59" s="323">
        <f t="shared" si="46"/>
        <v>1</v>
      </c>
      <c r="AY59" s="510"/>
      <c r="AZ59" s="625">
        <v>4123030</v>
      </c>
      <c r="BA59" s="610"/>
      <c r="BB59" s="1444"/>
      <c r="BC59" s="625">
        <v>4519855</v>
      </c>
      <c r="BD59" s="610"/>
      <c r="BE59" s="1421"/>
      <c r="BF59" s="323">
        <f t="shared" si="6"/>
        <v>9.6245964739524181E-2</v>
      </c>
      <c r="BG59" s="510"/>
      <c r="BH59" s="625">
        <v>1124966</v>
      </c>
      <c r="BI59" s="610"/>
      <c r="BJ59" s="1444"/>
      <c r="BK59" s="625">
        <v>2034466</v>
      </c>
      <c r="BL59" s="610"/>
      <c r="BM59" s="1421"/>
      <c r="BN59" s="323">
        <f t="shared" si="7"/>
        <v>0.80846887817054025</v>
      </c>
      <c r="BO59" s="510"/>
      <c r="BP59" s="625">
        <v>640000</v>
      </c>
      <c r="BQ59" s="610"/>
      <c r="BR59" s="1444"/>
      <c r="BS59" s="625">
        <v>640000</v>
      </c>
      <c r="BT59" s="610"/>
      <c r="BU59" s="1421"/>
      <c r="BV59" s="323">
        <f t="shared" si="8"/>
        <v>0</v>
      </c>
      <c r="BW59" s="510"/>
      <c r="BX59" s="625">
        <v>377000</v>
      </c>
      <c r="BY59" s="610"/>
      <c r="BZ59" s="1444"/>
      <c r="CA59" s="625">
        <v>677000</v>
      </c>
      <c r="CB59" s="610"/>
      <c r="CC59" s="1421"/>
      <c r="CD59" s="323">
        <f t="shared" si="9"/>
        <v>0.79575596816976124</v>
      </c>
      <c r="CE59" s="510"/>
      <c r="CF59" s="625">
        <v>467050</v>
      </c>
      <c r="CG59" s="610"/>
      <c r="CH59" s="1444"/>
      <c r="CI59" s="625">
        <v>467050</v>
      </c>
      <c r="CJ59" s="610"/>
      <c r="CK59" s="1421"/>
      <c r="CL59" s="323">
        <f t="shared" si="10"/>
        <v>0</v>
      </c>
      <c r="CM59" s="510"/>
      <c r="CN59" s="625">
        <v>0</v>
      </c>
      <c r="CO59" s="610"/>
      <c r="CP59" s="1444"/>
      <c r="CQ59" s="625">
        <v>240940</v>
      </c>
      <c r="CR59" s="610"/>
      <c r="CS59" s="1421"/>
      <c r="CT59" s="323">
        <f t="shared" si="47"/>
        <v>1</v>
      </c>
      <c r="CU59" s="315"/>
      <c r="CX59" s="521"/>
      <c r="CY59" s="521">
        <v>0</v>
      </c>
      <c r="CZ59" s="522">
        <f t="shared" si="55"/>
        <v>0</v>
      </c>
      <c r="DA59" s="521">
        <v>0</v>
      </c>
      <c r="DB59" s="522">
        <f t="shared" si="60"/>
        <v>0</v>
      </c>
      <c r="DC59" s="521">
        <v>0</v>
      </c>
      <c r="DD59" s="522">
        <f t="shared" si="61"/>
        <v>0</v>
      </c>
      <c r="DE59" s="521">
        <v>0</v>
      </c>
      <c r="DF59" s="522">
        <f t="shared" si="62"/>
        <v>0</v>
      </c>
      <c r="DG59" s="521">
        <v>0</v>
      </c>
      <c r="DH59" s="522">
        <f t="shared" si="63"/>
        <v>0</v>
      </c>
      <c r="DI59" s="521">
        <v>0</v>
      </c>
      <c r="DJ59" s="522">
        <f t="shared" si="64"/>
        <v>0</v>
      </c>
      <c r="DK59" s="521">
        <v>0</v>
      </c>
      <c r="DL59" s="522">
        <f t="shared" si="49"/>
        <v>0</v>
      </c>
      <c r="DM59" s="521">
        <f t="shared" si="24"/>
        <v>0</v>
      </c>
      <c r="DN59" s="313"/>
      <c r="DO59" s="313"/>
      <c r="DP59" s="313"/>
      <c r="DQ59" s="313"/>
      <c r="DR59" s="313"/>
      <c r="DS59" s="313"/>
      <c r="DT59" s="313"/>
      <c r="DU59" s="313"/>
      <c r="DV59" s="313"/>
      <c r="DW59" s="313"/>
    </row>
    <row r="60" spans="1:127" s="2" customFormat="1" ht="14.25">
      <c r="A60" s="1839"/>
      <c r="B60" s="1841"/>
      <c r="C60" s="399">
        <v>26.3</v>
      </c>
      <c r="D60" s="1001" t="s">
        <v>1268</v>
      </c>
      <c r="E60" s="482" t="s">
        <v>1778</v>
      </c>
      <c r="F60" s="462" t="s">
        <v>1266</v>
      </c>
      <c r="G60" s="463"/>
      <c r="H60" s="633"/>
      <c r="I60" s="463"/>
      <c r="J60" s="645">
        <f t="shared" si="42"/>
        <v>22394613.527000003</v>
      </c>
      <c r="K60" s="651"/>
      <c r="L60" s="645">
        <f t="shared" si="43"/>
        <v>33603730.720000014</v>
      </c>
      <c r="M60" s="501"/>
      <c r="N60" s="502">
        <f t="shared" si="20"/>
        <v>0</v>
      </c>
      <c r="O60" s="500">
        <f t="shared" si="48"/>
        <v>0</v>
      </c>
      <c r="P60" s="500">
        <f t="shared" si="21"/>
        <v>0</v>
      </c>
      <c r="Q60" s="816">
        <f t="shared" si="22"/>
        <v>0</v>
      </c>
      <c r="R60" s="815">
        <f t="shared" si="23"/>
        <v>0</v>
      </c>
      <c r="S60" s="510"/>
      <c r="T60" s="338">
        <v>7286870</v>
      </c>
      <c r="U60" s="322"/>
      <c r="V60" s="322"/>
      <c r="W60" s="338">
        <v>8770383.2899999991</v>
      </c>
      <c r="X60" s="338"/>
      <c r="Y60" s="322"/>
      <c r="Z60" s="323">
        <f t="shared" si="44"/>
        <v>0.20358717666158443</v>
      </c>
      <c r="AA60" s="510"/>
      <c r="AB60" s="338">
        <v>36527938.849999994</v>
      </c>
      <c r="AC60" s="610"/>
      <c r="AD60" s="1444"/>
      <c r="AE60" s="338">
        <v>55788540.909999996</v>
      </c>
      <c r="AF60" s="338"/>
      <c r="AG60" s="610"/>
      <c r="AH60" s="323">
        <f t="shared" si="3"/>
        <v>0.52728411912570872</v>
      </c>
      <c r="AI60" s="510"/>
      <c r="AJ60" s="625">
        <v>40169148.380000003</v>
      </c>
      <c r="AK60" s="610"/>
      <c r="AL60" s="1444"/>
      <c r="AM60" s="625">
        <v>61749803.290000007</v>
      </c>
      <c r="AN60" s="610"/>
      <c r="AO60" s="1421"/>
      <c r="AP60" s="323">
        <f t="shared" si="45"/>
        <v>0.53724452173710735</v>
      </c>
      <c r="AQ60" s="510"/>
      <c r="AR60" s="625">
        <v>5632216</v>
      </c>
      <c r="AS60" s="610"/>
      <c r="AT60" s="1444"/>
      <c r="AU60" s="625">
        <v>7685557</v>
      </c>
      <c r="AV60" s="610"/>
      <c r="AW60" s="1421"/>
      <c r="AX60" s="323">
        <f t="shared" si="46"/>
        <v>0.36457071248687911</v>
      </c>
      <c r="AY60" s="510"/>
      <c r="AZ60" s="625">
        <v>30699813.219999999</v>
      </c>
      <c r="BA60" s="610"/>
      <c r="BB60" s="1444"/>
      <c r="BC60" s="625">
        <v>46019911.170000002</v>
      </c>
      <c r="BD60" s="610"/>
      <c r="BE60" s="1421"/>
      <c r="BF60" s="323">
        <f t="shared" si="6"/>
        <v>0.4990290279687899</v>
      </c>
      <c r="BG60" s="510"/>
      <c r="BH60" s="625">
        <v>38667694.310000002</v>
      </c>
      <c r="BI60" s="610"/>
      <c r="BJ60" s="1444"/>
      <c r="BK60" s="625">
        <v>62351221.420000002</v>
      </c>
      <c r="BL60" s="610"/>
      <c r="BM60" s="1421"/>
      <c r="BN60" s="323">
        <f t="shared" si="7"/>
        <v>0.61248873336301068</v>
      </c>
      <c r="BO60" s="510"/>
      <c r="BP60" s="625">
        <v>12634149.249999998</v>
      </c>
      <c r="BQ60" s="610"/>
      <c r="BR60" s="1444"/>
      <c r="BS60" s="625">
        <v>16332086.859999998</v>
      </c>
      <c r="BT60" s="610"/>
      <c r="BU60" s="1421"/>
      <c r="BV60" s="323">
        <f t="shared" si="8"/>
        <v>0.29269383611247113</v>
      </c>
      <c r="BW60" s="510"/>
      <c r="BX60" s="625">
        <v>30748857.260000002</v>
      </c>
      <c r="BY60" s="610"/>
      <c r="BZ60" s="1444"/>
      <c r="CA60" s="625">
        <v>46593772.260000005</v>
      </c>
      <c r="CB60" s="610"/>
      <c r="CC60" s="1421"/>
      <c r="CD60" s="323">
        <f t="shared" si="9"/>
        <v>0.51530093837379898</v>
      </c>
      <c r="CE60" s="510"/>
      <c r="CF60" s="625">
        <v>6239364</v>
      </c>
      <c r="CG60" s="610"/>
      <c r="CH60" s="1444"/>
      <c r="CI60" s="625">
        <v>12938137</v>
      </c>
      <c r="CJ60" s="610"/>
      <c r="CK60" s="1421"/>
      <c r="CL60" s="323">
        <f t="shared" si="10"/>
        <v>1.073630741851253</v>
      </c>
      <c r="CM60" s="510"/>
      <c r="CN60" s="625">
        <v>15340084</v>
      </c>
      <c r="CO60" s="610"/>
      <c r="CP60" s="1444"/>
      <c r="CQ60" s="625">
        <v>17807894</v>
      </c>
      <c r="CR60" s="610"/>
      <c r="CS60" s="1421"/>
      <c r="CT60" s="323">
        <f t="shared" si="47"/>
        <v>0.16087330421397961</v>
      </c>
      <c r="CU60" s="315"/>
      <c r="CX60" s="521"/>
      <c r="CY60" s="521">
        <v>0</v>
      </c>
      <c r="CZ60" s="522">
        <f t="shared" si="55"/>
        <v>0</v>
      </c>
      <c r="DA60" s="521">
        <v>0</v>
      </c>
      <c r="DB60" s="522">
        <f t="shared" si="60"/>
        <v>0</v>
      </c>
      <c r="DC60" s="521">
        <v>0</v>
      </c>
      <c r="DD60" s="522">
        <f t="shared" si="61"/>
        <v>0</v>
      </c>
      <c r="DE60" s="521">
        <v>0</v>
      </c>
      <c r="DF60" s="522">
        <f t="shared" si="62"/>
        <v>0</v>
      </c>
      <c r="DG60" s="521">
        <v>0</v>
      </c>
      <c r="DH60" s="522">
        <f t="shared" si="63"/>
        <v>0</v>
      </c>
      <c r="DI60" s="521">
        <v>0</v>
      </c>
      <c r="DJ60" s="522">
        <f t="shared" si="64"/>
        <v>0</v>
      </c>
      <c r="DK60" s="521">
        <v>0</v>
      </c>
      <c r="DL60" s="522">
        <f t="shared" si="49"/>
        <v>0</v>
      </c>
      <c r="DM60" s="521">
        <f t="shared" si="24"/>
        <v>0</v>
      </c>
      <c r="DN60" s="313"/>
      <c r="DO60" s="313"/>
      <c r="DP60" s="313"/>
      <c r="DQ60" s="313"/>
      <c r="DR60" s="313"/>
      <c r="DS60" s="313"/>
      <c r="DT60" s="313"/>
      <c r="DU60" s="313"/>
      <c r="DV60" s="313"/>
      <c r="DW60" s="313"/>
    </row>
    <row r="61" spans="1:127" s="2" customFormat="1" ht="14.25">
      <c r="A61" s="1839"/>
      <c r="B61" s="1841"/>
      <c r="C61" s="399">
        <v>26.4</v>
      </c>
      <c r="D61" s="1001" t="s">
        <v>1269</v>
      </c>
      <c r="E61" s="482" t="s">
        <v>1778</v>
      </c>
      <c r="F61" s="462" t="s">
        <v>1266</v>
      </c>
      <c r="G61" s="463"/>
      <c r="H61" s="633"/>
      <c r="I61" s="463"/>
      <c r="J61" s="645">
        <f t="shared" si="42"/>
        <v>3259372.1</v>
      </c>
      <c r="K61" s="651"/>
      <c r="L61" s="645">
        <f t="shared" si="43"/>
        <v>12142338.300000001</v>
      </c>
      <c r="M61" s="501"/>
      <c r="N61" s="502">
        <f t="shared" si="20"/>
        <v>0</v>
      </c>
      <c r="O61" s="500">
        <f t="shared" si="48"/>
        <v>0</v>
      </c>
      <c r="P61" s="500">
        <f t="shared" si="21"/>
        <v>0</v>
      </c>
      <c r="Q61" s="816">
        <f t="shared" si="22"/>
        <v>0</v>
      </c>
      <c r="R61" s="815">
        <f t="shared" si="23"/>
        <v>0</v>
      </c>
      <c r="S61" s="510"/>
      <c r="T61" s="338">
        <v>1478746</v>
      </c>
      <c r="U61" s="322"/>
      <c r="V61" s="322"/>
      <c r="W61" s="338">
        <v>10993746</v>
      </c>
      <c r="X61" s="338"/>
      <c r="Y61" s="322"/>
      <c r="Z61" s="323">
        <f t="shared" si="44"/>
        <v>6.434505993591868</v>
      </c>
      <c r="AA61" s="510"/>
      <c r="AB61" s="338">
        <v>5784792</v>
      </c>
      <c r="AC61" s="610"/>
      <c r="AD61" s="1444"/>
      <c r="AE61" s="338">
        <v>21938372</v>
      </c>
      <c r="AF61" s="338"/>
      <c r="AG61" s="610"/>
      <c r="AH61" s="323">
        <f t="shared" si="3"/>
        <v>2.7924219228625677</v>
      </c>
      <c r="AI61" s="510"/>
      <c r="AJ61" s="625">
        <v>4878739</v>
      </c>
      <c r="AK61" s="610"/>
      <c r="AL61" s="1444"/>
      <c r="AM61" s="625">
        <v>10665578</v>
      </c>
      <c r="AN61" s="610"/>
      <c r="AO61" s="1421"/>
      <c r="AP61" s="323">
        <f t="shared" si="45"/>
        <v>1.186134162946614</v>
      </c>
      <c r="AQ61" s="510"/>
      <c r="AR61" s="625">
        <v>847530</v>
      </c>
      <c r="AS61" s="610"/>
      <c r="AT61" s="1444"/>
      <c r="AU61" s="625">
        <v>2279236</v>
      </c>
      <c r="AV61" s="610"/>
      <c r="AW61" s="1421"/>
      <c r="AX61" s="323">
        <f t="shared" si="46"/>
        <v>1.6892688164430756</v>
      </c>
      <c r="AY61" s="510"/>
      <c r="AZ61" s="625">
        <v>6025844</v>
      </c>
      <c r="BA61" s="610"/>
      <c r="BB61" s="1444"/>
      <c r="BC61" s="625">
        <v>25778234</v>
      </c>
      <c r="BD61" s="610"/>
      <c r="BE61" s="1421"/>
      <c r="BF61" s="323">
        <f t="shared" si="6"/>
        <v>3.2779457948131414</v>
      </c>
      <c r="BG61" s="510"/>
      <c r="BH61" s="625">
        <v>5461423</v>
      </c>
      <c r="BI61" s="610"/>
      <c r="BJ61" s="1444"/>
      <c r="BK61" s="625">
        <v>28549961</v>
      </c>
      <c r="BL61" s="610"/>
      <c r="BM61" s="1421"/>
      <c r="BN61" s="323">
        <f t="shared" si="7"/>
        <v>4.2275681630959552</v>
      </c>
      <c r="BO61" s="510"/>
      <c r="BP61" s="625">
        <v>605574</v>
      </c>
      <c r="BQ61" s="610"/>
      <c r="BR61" s="1444"/>
      <c r="BS61" s="625">
        <v>2781224</v>
      </c>
      <c r="BT61" s="610"/>
      <c r="BU61" s="1421"/>
      <c r="BV61" s="323">
        <f t="shared" si="8"/>
        <v>3.5927070845181595</v>
      </c>
      <c r="BW61" s="510"/>
      <c r="BX61" s="625">
        <v>6221185</v>
      </c>
      <c r="BY61" s="610"/>
      <c r="BZ61" s="1444"/>
      <c r="CA61" s="625">
        <v>14243059</v>
      </c>
      <c r="CB61" s="610"/>
      <c r="CC61" s="1421"/>
      <c r="CD61" s="323">
        <f t="shared" si="9"/>
        <v>1.2894446958256345</v>
      </c>
      <c r="CE61" s="510"/>
      <c r="CF61" s="625">
        <v>140200</v>
      </c>
      <c r="CG61" s="610"/>
      <c r="CH61" s="1444"/>
      <c r="CI61" s="625">
        <v>654185</v>
      </c>
      <c r="CJ61" s="610"/>
      <c r="CK61" s="1421"/>
      <c r="CL61" s="323">
        <f t="shared" si="10"/>
        <v>3.6660841654778888</v>
      </c>
      <c r="CM61" s="510"/>
      <c r="CN61" s="625">
        <v>1149688</v>
      </c>
      <c r="CO61" s="610"/>
      <c r="CP61" s="1444"/>
      <c r="CQ61" s="625">
        <v>3539788</v>
      </c>
      <c r="CR61" s="610"/>
      <c r="CS61" s="1421"/>
      <c r="CT61" s="323">
        <f t="shared" si="47"/>
        <v>2.0789118439089562</v>
      </c>
      <c r="CU61" s="315"/>
      <c r="CX61" s="521"/>
      <c r="CY61" s="521">
        <v>0</v>
      </c>
      <c r="CZ61" s="522">
        <f t="shared" si="55"/>
        <v>0</v>
      </c>
      <c r="DA61" s="521">
        <v>0</v>
      </c>
      <c r="DB61" s="522">
        <f t="shared" si="60"/>
        <v>0</v>
      </c>
      <c r="DC61" s="521">
        <v>0</v>
      </c>
      <c r="DD61" s="522">
        <f t="shared" si="61"/>
        <v>0</v>
      </c>
      <c r="DE61" s="521">
        <v>0</v>
      </c>
      <c r="DF61" s="522">
        <f t="shared" si="62"/>
        <v>0</v>
      </c>
      <c r="DG61" s="521">
        <v>0</v>
      </c>
      <c r="DH61" s="522">
        <f t="shared" si="63"/>
        <v>0</v>
      </c>
      <c r="DI61" s="521">
        <v>0</v>
      </c>
      <c r="DJ61" s="522">
        <f t="shared" si="64"/>
        <v>0</v>
      </c>
      <c r="DK61" s="521">
        <v>0</v>
      </c>
      <c r="DL61" s="522">
        <f t="shared" si="49"/>
        <v>0</v>
      </c>
      <c r="DM61" s="521">
        <f t="shared" si="24"/>
        <v>0</v>
      </c>
      <c r="DN61" s="313"/>
      <c r="DO61" s="313"/>
      <c r="DP61" s="313"/>
      <c r="DQ61" s="313"/>
      <c r="DR61" s="313"/>
      <c r="DS61" s="313"/>
      <c r="DT61" s="313"/>
      <c r="DU61" s="313"/>
      <c r="DV61" s="313"/>
      <c r="DW61" s="313"/>
    </row>
    <row r="62" spans="1:127" s="2" customFormat="1" ht="14.25">
      <c r="A62" s="1839"/>
      <c r="B62" s="1841"/>
      <c r="C62" s="399">
        <v>26.5</v>
      </c>
      <c r="D62" s="1001" t="s">
        <v>1270</v>
      </c>
      <c r="E62" s="482" t="s">
        <v>1778</v>
      </c>
      <c r="F62" s="462" t="s">
        <v>1266</v>
      </c>
      <c r="G62" s="463"/>
      <c r="H62" s="633"/>
      <c r="I62" s="463"/>
      <c r="J62" s="645">
        <f t="shared" si="42"/>
        <v>13578303233.369001</v>
      </c>
      <c r="K62" s="651"/>
      <c r="L62" s="645">
        <f t="shared" si="43"/>
        <v>13578303233.369001</v>
      </c>
      <c r="M62" s="501"/>
      <c r="N62" s="502">
        <f t="shared" si="20"/>
        <v>0</v>
      </c>
      <c r="O62" s="500">
        <f t="shared" si="48"/>
        <v>0</v>
      </c>
      <c r="P62" s="500">
        <f t="shared" si="21"/>
        <v>0</v>
      </c>
      <c r="Q62" s="816">
        <f t="shared" si="22"/>
        <v>0</v>
      </c>
      <c r="R62" s="815">
        <f t="shared" si="23"/>
        <v>0</v>
      </c>
      <c r="S62" s="510"/>
      <c r="T62" s="642">
        <v>12360897730.630001</v>
      </c>
      <c r="U62" s="340"/>
      <c r="V62" s="340"/>
      <c r="W62" s="642">
        <v>12360897730.630001</v>
      </c>
      <c r="X62" s="642"/>
      <c r="Y62" s="340"/>
      <c r="Z62" s="323">
        <f t="shared" si="44"/>
        <v>0</v>
      </c>
      <c r="AA62" s="510"/>
      <c r="AB62" s="338">
        <v>20876991249.299999</v>
      </c>
      <c r="AC62" s="610"/>
      <c r="AD62" s="1444"/>
      <c r="AE62" s="338">
        <v>20876991249.299999</v>
      </c>
      <c r="AF62" s="338"/>
      <c r="AG62" s="610"/>
      <c r="AH62" s="323">
        <f t="shared" si="3"/>
        <v>0</v>
      </c>
      <c r="AI62" s="510"/>
      <c r="AJ62" s="625">
        <v>16767057509.559999</v>
      </c>
      <c r="AK62" s="322"/>
      <c r="AL62" s="322"/>
      <c r="AM62" s="625">
        <v>16767057509.559999</v>
      </c>
      <c r="AN62" s="322"/>
      <c r="AO62" s="322"/>
      <c r="AP62" s="323">
        <f t="shared" si="45"/>
        <v>0</v>
      </c>
      <c r="AQ62" s="510"/>
      <c r="AR62" s="625">
        <v>3880140604.4099998</v>
      </c>
      <c r="AS62" s="610"/>
      <c r="AT62" s="1444"/>
      <c r="AU62" s="625">
        <v>3880140604.4099998</v>
      </c>
      <c r="AV62" s="610"/>
      <c r="AW62" s="1421"/>
      <c r="AX62" s="323">
        <f t="shared" si="46"/>
        <v>0</v>
      </c>
      <c r="AY62" s="510"/>
      <c r="AZ62" s="625">
        <v>26073345962.66</v>
      </c>
      <c r="BA62" s="322"/>
      <c r="BB62" s="322"/>
      <c r="BC62" s="625">
        <v>26073345962.66</v>
      </c>
      <c r="BD62" s="322"/>
      <c r="BE62" s="322"/>
      <c r="BF62" s="323">
        <f t="shared" si="6"/>
        <v>0</v>
      </c>
      <c r="BG62" s="510"/>
      <c r="BH62" s="625">
        <v>25708196472.119999</v>
      </c>
      <c r="BI62" s="610"/>
      <c r="BJ62" s="1444"/>
      <c r="BK62" s="625">
        <v>25708196472.119999</v>
      </c>
      <c r="BL62" s="610"/>
      <c r="BM62" s="1421"/>
      <c r="BN62" s="323">
        <f t="shared" si="7"/>
        <v>0</v>
      </c>
      <c r="BO62" s="510"/>
      <c r="BP62" s="625">
        <v>8124975148.7700005</v>
      </c>
      <c r="BQ62" s="322"/>
      <c r="BR62" s="322"/>
      <c r="BS62" s="625">
        <v>8124975148.7700005</v>
      </c>
      <c r="BT62" s="322"/>
      <c r="BU62" s="322"/>
      <c r="BV62" s="323">
        <f t="shared" si="8"/>
        <v>0</v>
      </c>
      <c r="BW62" s="510"/>
      <c r="BX62" s="625">
        <v>13474140333.67</v>
      </c>
      <c r="BY62" s="610"/>
      <c r="BZ62" s="1444"/>
      <c r="CA62" s="625">
        <v>13474140333.67</v>
      </c>
      <c r="CB62" s="610"/>
      <c r="CC62" s="1421"/>
      <c r="CD62" s="323">
        <f t="shared" si="9"/>
        <v>0</v>
      </c>
      <c r="CE62" s="510"/>
      <c r="CF62" s="625">
        <v>4103782763.6199999</v>
      </c>
      <c r="CG62" s="322"/>
      <c r="CH62" s="322"/>
      <c r="CI62" s="625">
        <v>4103782763.6199999</v>
      </c>
      <c r="CJ62" s="322"/>
      <c r="CK62" s="322"/>
      <c r="CL62" s="323">
        <f t="shared" si="10"/>
        <v>0</v>
      </c>
      <c r="CM62" s="510"/>
      <c r="CN62" s="625">
        <v>4413504558.9500008</v>
      </c>
      <c r="CO62" s="610"/>
      <c r="CP62" s="1444"/>
      <c r="CQ62" s="625">
        <v>4413504558.9500008</v>
      </c>
      <c r="CR62" s="610"/>
      <c r="CS62" s="1421"/>
      <c r="CT62" s="323">
        <f t="shared" si="47"/>
        <v>0</v>
      </c>
      <c r="CU62" s="315"/>
      <c r="CX62" s="521"/>
      <c r="CY62" s="521">
        <v>0</v>
      </c>
      <c r="CZ62" s="522">
        <f t="shared" si="55"/>
        <v>0</v>
      </c>
      <c r="DA62" s="521">
        <v>0</v>
      </c>
      <c r="DB62" s="522">
        <f t="shared" si="60"/>
        <v>0</v>
      </c>
      <c r="DC62" s="521">
        <v>0</v>
      </c>
      <c r="DD62" s="522">
        <f t="shared" si="61"/>
        <v>0</v>
      </c>
      <c r="DE62" s="521">
        <v>0</v>
      </c>
      <c r="DF62" s="522">
        <f t="shared" si="62"/>
        <v>0</v>
      </c>
      <c r="DG62" s="521">
        <v>0</v>
      </c>
      <c r="DH62" s="522">
        <f t="shared" si="63"/>
        <v>0</v>
      </c>
      <c r="DI62" s="521">
        <v>0</v>
      </c>
      <c r="DJ62" s="522">
        <f t="shared" si="64"/>
        <v>0</v>
      </c>
      <c r="DK62" s="521">
        <v>0</v>
      </c>
      <c r="DL62" s="522">
        <f t="shared" si="49"/>
        <v>0</v>
      </c>
      <c r="DM62" s="521">
        <f t="shared" si="24"/>
        <v>0</v>
      </c>
      <c r="DN62" s="313"/>
      <c r="DO62" s="313"/>
      <c r="DP62" s="313"/>
      <c r="DQ62" s="313"/>
      <c r="DR62" s="313"/>
      <c r="DS62" s="313"/>
      <c r="DT62" s="313"/>
      <c r="DU62" s="313"/>
      <c r="DV62" s="313"/>
      <c r="DW62" s="313"/>
    </row>
    <row r="63" spans="1:127" s="2" customFormat="1" ht="14.25">
      <c r="A63" s="1842" t="s">
        <v>1272</v>
      </c>
      <c r="B63" s="1843" t="s">
        <v>2402</v>
      </c>
      <c r="C63" s="23">
        <v>27</v>
      </c>
      <c r="D63" s="329" t="s">
        <v>1271</v>
      </c>
      <c r="E63" s="484"/>
      <c r="F63" s="488"/>
      <c r="G63" s="610" t="s">
        <v>472</v>
      </c>
      <c r="H63" s="334" t="s">
        <v>282</v>
      </c>
      <c r="I63" s="611">
        <v>2</v>
      </c>
      <c r="J63" s="644">
        <f t="shared" si="42"/>
        <v>1.0683385269308441E-3</v>
      </c>
      <c r="K63" s="651">
        <f>AVERAGE(CO63,CG63,BY63,BQ63,BI63,BA63,AS63,AK63,AC63,U63)</f>
        <v>2</v>
      </c>
      <c r="L63" s="644">
        <f t="shared" si="43"/>
        <v>7.1944651768046511E-4</v>
      </c>
      <c r="M63" s="501">
        <f>AVERAGE(CR63,CJ63,CB63,BT63,BL63,BD63,AV63,AN63,AG63,Y63)</f>
        <v>2</v>
      </c>
      <c r="N63" s="502">
        <f t="shared" si="20"/>
        <v>0</v>
      </c>
      <c r="O63" s="500">
        <f t="shared" si="48"/>
        <v>0</v>
      </c>
      <c r="P63" s="500">
        <f t="shared" si="21"/>
        <v>0</v>
      </c>
      <c r="Q63" s="816">
        <f t="shared" si="22"/>
        <v>0</v>
      </c>
      <c r="R63" s="815">
        <f t="shared" si="23"/>
        <v>0</v>
      </c>
      <c r="S63" s="510"/>
      <c r="T63" s="1316">
        <f>T64/T65</f>
        <v>1.0298661174047373E-3</v>
      </c>
      <c r="U63" s="322">
        <f>IF(T63&lt;=0.01,2,IF(T63&lt;=0.02,1,0))</f>
        <v>2</v>
      </c>
      <c r="V63" s="322"/>
      <c r="W63" s="640">
        <f>W64/W65</f>
        <v>0</v>
      </c>
      <c r="X63" s="1423"/>
      <c r="Y63" s="322">
        <f>IF(W63&lt;=0.01,2,IF(W63&lt;=0.02,1,0))</f>
        <v>2</v>
      </c>
      <c r="Z63" s="323">
        <f t="shared" si="44"/>
        <v>-1</v>
      </c>
      <c r="AA63" s="510"/>
      <c r="AB63" s="1316">
        <f>AB64/AB65</f>
        <v>0</v>
      </c>
      <c r="AC63" s="322">
        <f>IF(AB63&lt;=0.01,2,IF(AB63&lt;=0.02,1,0))</f>
        <v>2</v>
      </c>
      <c r="AD63" s="322"/>
      <c r="AE63" s="640">
        <f>AE64/AE65</f>
        <v>0</v>
      </c>
      <c r="AF63" s="1423"/>
      <c r="AG63" s="322">
        <f>IF(AE63&lt;=0.01,2,IF(AE63&lt;=0.02,1,0))</f>
        <v>2</v>
      </c>
      <c r="AH63" s="323">
        <f t="shared" si="3"/>
        <v>0</v>
      </c>
      <c r="AI63" s="510"/>
      <c r="AJ63" s="1316">
        <f>AJ64/AJ65</f>
        <v>7.2219547424169476E-4</v>
      </c>
      <c r="AK63" s="322">
        <f>IF(AJ63&lt;=0.01,2,IF(AJ63&lt;=0.02,1,0))</f>
        <v>2</v>
      </c>
      <c r="AL63" s="322"/>
      <c r="AM63" s="640">
        <f>AM64/AM65</f>
        <v>1.9908421262193908E-4</v>
      </c>
      <c r="AN63" s="322">
        <f>IF(AM63&lt;=0.01,2,IF(AM63&lt;=0.02,1,0))</f>
        <v>2</v>
      </c>
      <c r="AO63" s="322"/>
      <c r="AP63" s="323">
        <f t="shared" si="45"/>
        <v>-0.72433472692282175</v>
      </c>
      <c r="AQ63" s="510"/>
      <c r="AR63" s="1316">
        <f>AR64/AR65</f>
        <v>0</v>
      </c>
      <c r="AS63" s="322">
        <f>IF(AR63&lt;=0.01,2,IF(AR63&lt;=0.02,1,0))</f>
        <v>2</v>
      </c>
      <c r="AT63" s="322"/>
      <c r="AU63" s="640">
        <f>AU64/AU65</f>
        <v>0</v>
      </c>
      <c r="AV63" s="322">
        <f>IF(AU63&lt;=0.01,2,IF(AU63&lt;=0.02,1,0))</f>
        <v>2</v>
      </c>
      <c r="AW63" s="322"/>
      <c r="AX63" s="323">
        <f t="shared" si="46"/>
        <v>0</v>
      </c>
      <c r="AY63" s="510"/>
      <c r="AZ63" s="1316">
        <f>AZ64/AZ65</f>
        <v>2.2352612461581448E-3</v>
      </c>
      <c r="BA63" s="322">
        <f>IF(AZ63&lt;=0.01,2,IF(AZ63&lt;=0.02,1,0))</f>
        <v>2</v>
      </c>
      <c r="BB63" s="322"/>
      <c r="BC63" s="640">
        <f>BC64/BC65</f>
        <v>4.0600893219650832E-4</v>
      </c>
      <c r="BD63" s="322">
        <f>IF(BC63&lt;=0.01,2,IF(BC63&lt;=0.02,1,0))</f>
        <v>2</v>
      </c>
      <c r="BE63" s="322"/>
      <c r="BF63" s="323">
        <f t="shared" si="6"/>
        <v>-0.81836175395858712</v>
      </c>
      <c r="BG63" s="510"/>
      <c r="BH63" s="1316">
        <f>BH64/BH65</f>
        <v>1.3301409949454642E-3</v>
      </c>
      <c r="BI63" s="322">
        <f>IF(BH63&lt;=0.01,2,IF(BH63&lt;=0.02,1,0))</f>
        <v>2</v>
      </c>
      <c r="BJ63" s="322"/>
      <c r="BK63" s="640">
        <f>BK64/BK65</f>
        <v>8.2321465322082732E-4</v>
      </c>
      <c r="BL63" s="322">
        <f>IF(BK63&lt;=0.01,2,IF(BK63&lt;=0.02,1,0))</f>
        <v>2</v>
      </c>
      <c r="BM63" s="322"/>
      <c r="BN63" s="323">
        <f t="shared" si="7"/>
        <v>-0.38110722370858197</v>
      </c>
      <c r="BO63" s="510"/>
      <c r="BP63" s="1316">
        <f>BP64/BP65</f>
        <v>0</v>
      </c>
      <c r="BQ63" s="322">
        <f>IF(BP63&lt;=0.01,2,IF(BP63&lt;=0.02,1,0))</f>
        <v>2</v>
      </c>
      <c r="BR63" s="322"/>
      <c r="BS63" s="640">
        <f>BS64/BS65</f>
        <v>1.1750881316098707E-3</v>
      </c>
      <c r="BT63" s="322">
        <f>IF(BS63&lt;=0.01,2,IF(BS63&lt;=0.02,1,0))</f>
        <v>2</v>
      </c>
      <c r="BU63" s="322"/>
      <c r="BV63" s="323">
        <f t="shared" si="8"/>
        <v>1</v>
      </c>
      <c r="BW63" s="510"/>
      <c r="BX63" s="1316">
        <f>BX64/BX65</f>
        <v>0</v>
      </c>
      <c r="BY63" s="322">
        <f>IF(BX63&lt;=0.01,2,IF(BX63&lt;=0.02,1,0))</f>
        <v>2</v>
      </c>
      <c r="BZ63" s="322"/>
      <c r="CA63" s="640">
        <f>CA64/CA65</f>
        <v>0</v>
      </c>
      <c r="CB63" s="322">
        <f>IF(CA63&lt;=0.01,2,IF(CA63&lt;=0.02,1,0))</f>
        <v>2</v>
      </c>
      <c r="CC63" s="322"/>
      <c r="CD63" s="323">
        <f t="shared" si="9"/>
        <v>0</v>
      </c>
      <c r="CE63" s="510"/>
      <c r="CF63" s="1316">
        <f>CF64/CF65</f>
        <v>4.178272980501393E-3</v>
      </c>
      <c r="CG63" s="322">
        <f>IF(CF63&lt;=0.01,2,IF(CF63&lt;=0.02,1,0))</f>
        <v>2</v>
      </c>
      <c r="CH63" s="322"/>
      <c r="CI63" s="640">
        <f>CI64/CI65</f>
        <v>2.7662517289073307E-3</v>
      </c>
      <c r="CJ63" s="322">
        <f>IF(CI63&lt;=0.01,2,IF(CI63&lt;=0.02,1,0))</f>
        <v>2</v>
      </c>
      <c r="CK63" s="322"/>
      <c r="CL63" s="323">
        <f t="shared" si="10"/>
        <v>-0.33794375288151224</v>
      </c>
      <c r="CM63" s="510"/>
      <c r="CN63" s="1316">
        <f>CN64/CN65</f>
        <v>1.1876484560570072E-3</v>
      </c>
      <c r="CO63" s="322">
        <f>IF(CN63&lt;=0.01,2,IF(CN63&lt;=0.02,1,0))</f>
        <v>2</v>
      </c>
      <c r="CP63" s="322"/>
      <c r="CQ63" s="640">
        <f>CQ64/CQ65</f>
        <v>1.8248175182481751E-3</v>
      </c>
      <c r="CR63" s="322">
        <f>IF(CQ63&lt;=0.01,2,IF(CQ63&lt;=0.02,1,0))</f>
        <v>2</v>
      </c>
      <c r="CS63" s="322"/>
      <c r="CT63" s="323">
        <f t="shared" si="47"/>
        <v>0.53649635036496335</v>
      </c>
      <c r="CU63" s="315"/>
      <c r="CX63" s="521"/>
      <c r="CY63" s="521">
        <v>1</v>
      </c>
      <c r="CZ63" s="522">
        <f t="shared" si="55"/>
        <v>2</v>
      </c>
      <c r="DA63" s="521">
        <v>0</v>
      </c>
      <c r="DB63" s="522">
        <f t="shared" si="60"/>
        <v>2</v>
      </c>
      <c r="DC63" s="521">
        <v>0</v>
      </c>
      <c r="DD63" s="522">
        <f t="shared" si="61"/>
        <v>2</v>
      </c>
      <c r="DE63" s="521">
        <v>0</v>
      </c>
      <c r="DF63" s="522">
        <f t="shared" si="62"/>
        <v>2</v>
      </c>
      <c r="DG63" s="521">
        <v>0</v>
      </c>
      <c r="DH63" s="522">
        <f t="shared" si="63"/>
        <v>2</v>
      </c>
      <c r="DI63" s="521">
        <v>0</v>
      </c>
      <c r="DJ63" s="522">
        <f t="shared" si="64"/>
        <v>2</v>
      </c>
      <c r="DK63" s="521">
        <v>0</v>
      </c>
      <c r="DL63" s="522">
        <f t="shared" si="49"/>
        <v>2</v>
      </c>
      <c r="DM63" s="521">
        <f t="shared" si="24"/>
        <v>13</v>
      </c>
      <c r="DN63" s="313"/>
      <c r="DO63" s="313"/>
      <c r="DP63" s="313"/>
      <c r="DQ63" s="313"/>
      <c r="DR63" s="313"/>
      <c r="DS63" s="313"/>
      <c r="DT63" s="313"/>
      <c r="DU63" s="313"/>
      <c r="DV63" s="313"/>
      <c r="DW63" s="313"/>
    </row>
    <row r="64" spans="1:127" s="2" customFormat="1" ht="14.25">
      <c r="A64" s="1839"/>
      <c r="B64" s="1841"/>
      <c r="C64" s="625">
        <v>27.1</v>
      </c>
      <c r="D64" s="1001" t="s">
        <v>1273</v>
      </c>
      <c r="E64" s="482" t="s">
        <v>1223</v>
      </c>
      <c r="F64" s="339" t="s">
        <v>1274</v>
      </c>
      <c r="G64" s="612"/>
      <c r="H64" s="334"/>
      <c r="I64" s="341"/>
      <c r="J64" s="645">
        <f t="shared" si="42"/>
        <v>2.1</v>
      </c>
      <c r="K64" s="651"/>
      <c r="L64" s="645">
        <f t="shared" si="43"/>
        <v>1.2</v>
      </c>
      <c r="M64" s="501"/>
      <c r="N64" s="502">
        <f t="shared" si="20"/>
        <v>0</v>
      </c>
      <c r="O64" s="500">
        <f t="shared" si="48"/>
        <v>0</v>
      </c>
      <c r="P64" s="500">
        <f t="shared" si="21"/>
        <v>0</v>
      </c>
      <c r="Q64" s="816">
        <f t="shared" si="22"/>
        <v>0</v>
      </c>
      <c r="R64" s="815">
        <f t="shared" si="23"/>
        <v>0</v>
      </c>
      <c r="S64" s="510"/>
      <c r="T64" s="1317">
        <v>1</v>
      </c>
      <c r="U64" s="610"/>
      <c r="V64" s="1444"/>
      <c r="W64" s="330">
        <v>0</v>
      </c>
      <c r="X64" s="1424"/>
      <c r="Y64" s="610"/>
      <c r="Z64" s="323">
        <f t="shared" si="44"/>
        <v>-1</v>
      </c>
      <c r="AA64" s="510"/>
      <c r="AB64" s="1317">
        <v>0</v>
      </c>
      <c r="AC64" s="610"/>
      <c r="AD64" s="1444"/>
      <c r="AE64" s="330">
        <v>0</v>
      </c>
      <c r="AF64" s="1424"/>
      <c r="AG64" s="610"/>
      <c r="AH64" s="323">
        <f t="shared" si="3"/>
        <v>0</v>
      </c>
      <c r="AI64" s="510"/>
      <c r="AJ64" s="1317">
        <v>3</v>
      </c>
      <c r="AK64" s="610"/>
      <c r="AL64" s="1444"/>
      <c r="AM64" s="330">
        <v>1</v>
      </c>
      <c r="AN64" s="610"/>
      <c r="AO64" s="1421"/>
      <c r="AP64" s="323">
        <f t="shared" si="45"/>
        <v>-0.66666666666666674</v>
      </c>
      <c r="AQ64" s="510"/>
      <c r="AR64" s="625">
        <v>0</v>
      </c>
      <c r="AS64" s="610"/>
      <c r="AT64" s="1444"/>
      <c r="AU64" s="625">
        <v>0</v>
      </c>
      <c r="AV64" s="610"/>
      <c r="AW64" s="1421"/>
      <c r="AX64" s="323">
        <f t="shared" si="46"/>
        <v>0</v>
      </c>
      <c r="AY64" s="510"/>
      <c r="AZ64" s="625">
        <v>8</v>
      </c>
      <c r="BA64" s="610"/>
      <c r="BB64" s="1444"/>
      <c r="BC64" s="625">
        <v>2</v>
      </c>
      <c r="BD64" s="610"/>
      <c r="BE64" s="1421"/>
      <c r="BF64" s="323">
        <f t="shared" si="6"/>
        <v>-0.75</v>
      </c>
      <c r="BG64" s="510"/>
      <c r="BH64" s="625">
        <v>5</v>
      </c>
      <c r="BI64" s="610"/>
      <c r="BJ64" s="1444"/>
      <c r="BK64" s="625">
        <v>4</v>
      </c>
      <c r="BL64" s="610"/>
      <c r="BM64" s="1421"/>
      <c r="BN64" s="323">
        <f t="shared" si="7"/>
        <v>-0.19999999999999996</v>
      </c>
      <c r="BO64" s="510"/>
      <c r="BP64" s="625">
        <v>0</v>
      </c>
      <c r="BQ64" s="610"/>
      <c r="BR64" s="1444"/>
      <c r="BS64" s="625">
        <v>1</v>
      </c>
      <c r="BT64" s="610"/>
      <c r="BU64" s="1421"/>
      <c r="BV64" s="323">
        <f t="shared" si="8"/>
        <v>1</v>
      </c>
      <c r="BW64" s="510"/>
      <c r="BX64" s="625">
        <v>0</v>
      </c>
      <c r="BY64" s="610"/>
      <c r="BZ64" s="1444"/>
      <c r="CA64" s="625">
        <v>0</v>
      </c>
      <c r="CB64" s="610"/>
      <c r="CC64" s="1421"/>
      <c r="CD64" s="323">
        <f t="shared" si="9"/>
        <v>0</v>
      </c>
      <c r="CE64" s="510"/>
      <c r="CF64" s="625">
        <v>3</v>
      </c>
      <c r="CG64" s="610"/>
      <c r="CH64" s="1444"/>
      <c r="CI64" s="625">
        <v>2</v>
      </c>
      <c r="CJ64" s="610"/>
      <c r="CK64" s="1421"/>
      <c r="CL64" s="323">
        <f t="shared" si="10"/>
        <v>-0.33333333333333337</v>
      </c>
      <c r="CM64" s="510"/>
      <c r="CN64" s="625">
        <v>1</v>
      </c>
      <c r="CO64" s="610"/>
      <c r="CP64" s="1444"/>
      <c r="CQ64" s="625">
        <v>2</v>
      </c>
      <c r="CR64" s="610"/>
      <c r="CS64" s="1421"/>
      <c r="CT64" s="323">
        <f t="shared" si="47"/>
        <v>1</v>
      </c>
      <c r="CU64" s="315"/>
      <c r="CX64" s="521"/>
      <c r="CY64" s="521">
        <v>0</v>
      </c>
      <c r="CZ64" s="522">
        <f t="shared" si="55"/>
        <v>0</v>
      </c>
      <c r="DA64" s="521">
        <v>0</v>
      </c>
      <c r="DB64" s="522">
        <f t="shared" si="60"/>
        <v>0</v>
      </c>
      <c r="DC64" s="521">
        <v>0</v>
      </c>
      <c r="DD64" s="522">
        <f t="shared" si="61"/>
        <v>0</v>
      </c>
      <c r="DE64" s="521">
        <v>0</v>
      </c>
      <c r="DF64" s="522">
        <f t="shared" si="62"/>
        <v>0</v>
      </c>
      <c r="DG64" s="521">
        <v>0</v>
      </c>
      <c r="DH64" s="522">
        <f t="shared" si="63"/>
        <v>0</v>
      </c>
      <c r="DI64" s="521">
        <v>0</v>
      </c>
      <c r="DJ64" s="522">
        <f t="shared" si="64"/>
        <v>0</v>
      </c>
      <c r="DK64" s="521">
        <v>0</v>
      </c>
      <c r="DL64" s="522">
        <f t="shared" si="49"/>
        <v>0</v>
      </c>
      <c r="DM64" s="521">
        <f t="shared" si="24"/>
        <v>0</v>
      </c>
      <c r="DN64" s="313"/>
      <c r="DO64" s="313"/>
      <c r="DP64" s="313"/>
      <c r="DQ64" s="313"/>
      <c r="DR64" s="313"/>
      <c r="DS64" s="313"/>
      <c r="DT64" s="313"/>
      <c r="DU64" s="313"/>
      <c r="DV64" s="313"/>
      <c r="DW64" s="313"/>
    </row>
    <row r="65" spans="1:127" s="2" customFormat="1" ht="14.25">
      <c r="A65" s="1839"/>
      <c r="B65" s="1841"/>
      <c r="C65" s="1452">
        <v>27.2</v>
      </c>
      <c r="D65" s="1453" t="s">
        <v>1275</v>
      </c>
      <c r="E65" s="1454" t="s">
        <v>1223</v>
      </c>
      <c r="F65" s="1466" t="s">
        <v>1254</v>
      </c>
      <c r="G65" s="1450"/>
      <c r="H65" s="1456"/>
      <c r="I65" s="1468"/>
      <c r="J65" s="1457">
        <f t="shared" si="42"/>
        <v>2205.6999999999998</v>
      </c>
      <c r="K65" s="1458"/>
      <c r="L65" s="1457">
        <f t="shared" si="43"/>
        <v>2715.9</v>
      </c>
      <c r="M65" s="1459"/>
      <c r="N65" s="1460">
        <f t="shared" si="20"/>
        <v>0</v>
      </c>
      <c r="O65" s="1460">
        <f t="shared" si="48"/>
        <v>0</v>
      </c>
      <c r="P65" s="1460">
        <f t="shared" si="21"/>
        <v>0</v>
      </c>
      <c r="Q65" s="1461">
        <f t="shared" si="22"/>
        <v>0</v>
      </c>
      <c r="R65" s="1462">
        <f t="shared" si="23"/>
        <v>0</v>
      </c>
      <c r="S65" s="1463"/>
      <c r="T65" s="1456">
        <v>971</v>
      </c>
      <c r="U65" s="1450"/>
      <c r="V65" s="1450">
        <v>826</v>
      </c>
      <c r="W65" s="1456">
        <v>1148</v>
      </c>
      <c r="X65" s="1456">
        <v>1084</v>
      </c>
      <c r="Y65" s="1450"/>
      <c r="Z65" s="1465">
        <f t="shared" si="44"/>
        <v>0.18228630278063851</v>
      </c>
      <c r="AA65" s="1463"/>
      <c r="AB65" s="1456">
        <v>2875</v>
      </c>
      <c r="AC65" s="1450"/>
      <c r="AD65" s="1450">
        <v>2228</v>
      </c>
      <c r="AE65" s="1456">
        <v>3769</v>
      </c>
      <c r="AF65" s="1456">
        <v>3784</v>
      </c>
      <c r="AG65" s="1450"/>
      <c r="AH65" s="1465">
        <f t="shared" si="3"/>
        <v>0.31095652173913035</v>
      </c>
      <c r="AI65" s="1463"/>
      <c r="AJ65" s="1452">
        <v>4154</v>
      </c>
      <c r="AK65" s="1450"/>
      <c r="AL65" s="1450">
        <v>3208</v>
      </c>
      <c r="AM65" s="1452">
        <v>5023</v>
      </c>
      <c r="AN65" s="1450"/>
      <c r="AO65" s="1450">
        <v>4792</v>
      </c>
      <c r="AP65" s="1465">
        <f t="shared" si="45"/>
        <v>0.20919595570534422</v>
      </c>
      <c r="AQ65" s="1463"/>
      <c r="AR65" s="1452">
        <v>1479</v>
      </c>
      <c r="AS65" s="1450"/>
      <c r="AT65" s="1450">
        <v>1121</v>
      </c>
      <c r="AU65" s="1452">
        <v>1309</v>
      </c>
      <c r="AV65" s="1450"/>
      <c r="AW65" s="1450">
        <v>1270</v>
      </c>
      <c r="AX65" s="1465">
        <f t="shared" si="46"/>
        <v>-0.11494252873563215</v>
      </c>
      <c r="AY65" s="1463"/>
      <c r="AZ65" s="1452">
        <v>3579</v>
      </c>
      <c r="BA65" s="1450"/>
      <c r="BB65" s="1450">
        <v>2794</v>
      </c>
      <c r="BC65" s="1452">
        <v>4926</v>
      </c>
      <c r="BD65" s="1450"/>
      <c r="BE65" s="1450">
        <v>4763</v>
      </c>
      <c r="BF65" s="1465">
        <f t="shared" si="6"/>
        <v>0.37636211232187766</v>
      </c>
      <c r="BG65" s="1463"/>
      <c r="BH65" s="1452">
        <v>3759</v>
      </c>
      <c r="BI65" s="1450"/>
      <c r="BJ65" s="1450">
        <v>2869</v>
      </c>
      <c r="BK65" s="1452">
        <v>4859</v>
      </c>
      <c r="BL65" s="1450"/>
      <c r="BM65" s="1450">
        <v>4397</v>
      </c>
      <c r="BN65" s="1465">
        <f t="shared" si="7"/>
        <v>0.29263101888800214</v>
      </c>
      <c r="BO65" s="1463"/>
      <c r="BP65" s="1452">
        <v>886</v>
      </c>
      <c r="BQ65" s="1450"/>
      <c r="BR65" s="1450">
        <v>666</v>
      </c>
      <c r="BS65" s="1452">
        <v>851</v>
      </c>
      <c r="BT65" s="1450"/>
      <c r="BU65" s="1450">
        <v>837</v>
      </c>
      <c r="BV65" s="1465">
        <f t="shared" si="8"/>
        <v>-3.950338600451464E-2</v>
      </c>
      <c r="BW65" s="1463"/>
      <c r="BX65" s="1452">
        <v>2794</v>
      </c>
      <c r="BY65" s="1450"/>
      <c r="BZ65" s="1450">
        <v>1937</v>
      </c>
      <c r="CA65" s="1452">
        <v>3455</v>
      </c>
      <c r="CB65" s="1450"/>
      <c r="CC65" s="1450">
        <v>2767</v>
      </c>
      <c r="CD65" s="1465">
        <f t="shared" si="9"/>
        <v>0.23657838224767369</v>
      </c>
      <c r="CE65" s="1463"/>
      <c r="CF65" s="1452">
        <v>718</v>
      </c>
      <c r="CG65" s="1450"/>
      <c r="CH65" s="1450">
        <v>526</v>
      </c>
      <c r="CI65" s="1452">
        <v>723</v>
      </c>
      <c r="CJ65" s="1450"/>
      <c r="CK65" s="1450">
        <v>630</v>
      </c>
      <c r="CL65" s="1465">
        <f t="shared" si="10"/>
        <v>6.9637883008355494E-3</v>
      </c>
      <c r="CM65" s="1463"/>
      <c r="CN65" s="1452">
        <v>842</v>
      </c>
      <c r="CO65" s="1450"/>
      <c r="CP65" s="1450">
        <v>628</v>
      </c>
      <c r="CQ65" s="1452">
        <v>1096</v>
      </c>
      <c r="CR65" s="1450"/>
      <c r="CS65" s="1450">
        <v>1097</v>
      </c>
      <c r="CT65" s="1465">
        <f t="shared" si="47"/>
        <v>0.3016627078384797</v>
      </c>
      <c r="CU65" s="315"/>
      <c r="CX65" s="521"/>
      <c r="CY65" s="521">
        <v>0</v>
      </c>
      <c r="CZ65" s="522">
        <f t="shared" si="55"/>
        <v>0</v>
      </c>
      <c r="DA65" s="521">
        <v>0</v>
      </c>
      <c r="DB65" s="522">
        <f t="shared" si="60"/>
        <v>0</v>
      </c>
      <c r="DC65" s="521">
        <v>0</v>
      </c>
      <c r="DD65" s="522">
        <f t="shared" si="61"/>
        <v>0</v>
      </c>
      <c r="DE65" s="521">
        <v>0</v>
      </c>
      <c r="DF65" s="522">
        <f t="shared" si="62"/>
        <v>0</v>
      </c>
      <c r="DG65" s="521">
        <v>0</v>
      </c>
      <c r="DH65" s="522">
        <f t="shared" si="63"/>
        <v>0</v>
      </c>
      <c r="DI65" s="521">
        <v>0</v>
      </c>
      <c r="DJ65" s="522">
        <f t="shared" si="64"/>
        <v>0</v>
      </c>
      <c r="DK65" s="521">
        <v>0</v>
      </c>
      <c r="DL65" s="522">
        <f t="shared" si="49"/>
        <v>0</v>
      </c>
      <c r="DM65" s="521">
        <f t="shared" si="24"/>
        <v>0</v>
      </c>
      <c r="DN65" s="313"/>
      <c r="DO65" s="313"/>
      <c r="DP65" s="313"/>
      <c r="DQ65" s="313"/>
      <c r="DR65" s="313"/>
      <c r="DS65" s="313"/>
      <c r="DT65" s="313"/>
      <c r="DU65" s="313"/>
      <c r="DV65" s="313"/>
      <c r="DW65" s="313"/>
    </row>
    <row r="66" spans="1:127" s="77" customFormat="1" ht="14.25">
      <c r="A66" s="634" t="s">
        <v>1277</v>
      </c>
      <c r="B66" s="634" t="s">
        <v>1278</v>
      </c>
      <c r="C66" s="23">
        <v>28</v>
      </c>
      <c r="D66" s="511" t="s">
        <v>1276</v>
      </c>
      <c r="E66" s="482" t="s">
        <v>1223</v>
      </c>
      <c r="F66" s="612"/>
      <c r="G66" s="612" t="s">
        <v>1779</v>
      </c>
      <c r="H66" s="334" t="s">
        <v>282</v>
      </c>
      <c r="I66" s="611">
        <v>1</v>
      </c>
      <c r="J66" s="536" t="s">
        <v>1280</v>
      </c>
      <c r="K66" s="651">
        <f>AVERAGE(CO66,CG66,BY66,BQ66,BI66,BA66,AS66,AK66,AC66,U66)</f>
        <v>1</v>
      </c>
      <c r="L66" s="536" t="s">
        <v>1280</v>
      </c>
      <c r="M66" s="501">
        <f>AVERAGE(CR66,CJ66,CB66,BT66,BL66,BD66,AV66,AN66,AG66,Y66)</f>
        <v>1</v>
      </c>
      <c r="N66" s="502">
        <f t="shared" si="20"/>
        <v>0</v>
      </c>
      <c r="O66" s="500">
        <f t="shared" si="48"/>
        <v>0</v>
      </c>
      <c r="P66" s="500">
        <f t="shared" si="21"/>
        <v>0</v>
      </c>
      <c r="Q66" s="816">
        <f t="shared" si="22"/>
        <v>0</v>
      </c>
      <c r="R66" s="815">
        <f t="shared" si="23"/>
        <v>0</v>
      </c>
      <c r="S66" s="510" t="s">
        <v>1238</v>
      </c>
      <c r="T66" s="1317" t="s">
        <v>1280</v>
      </c>
      <c r="U66" s="610">
        <v>1</v>
      </c>
      <c r="V66" s="1444"/>
      <c r="W66" s="330" t="s">
        <v>1280</v>
      </c>
      <c r="X66" s="1424"/>
      <c r="Y66" s="610">
        <v>1</v>
      </c>
      <c r="Z66" s="323">
        <f>IF((W66=T66)=TRUE,0,1)</f>
        <v>0</v>
      </c>
      <c r="AA66" s="510"/>
      <c r="AB66" s="1317" t="s">
        <v>1280</v>
      </c>
      <c r="AC66" s="610">
        <v>1</v>
      </c>
      <c r="AD66" s="1444"/>
      <c r="AE66" s="330" t="s">
        <v>1280</v>
      </c>
      <c r="AF66" s="1424"/>
      <c r="AG66" s="610">
        <v>1</v>
      </c>
      <c r="AH66" s="323">
        <f>IF((AE66=AB66)=TRUE,0,1)</f>
        <v>0</v>
      </c>
      <c r="AI66" s="510"/>
      <c r="AJ66" s="1317" t="s">
        <v>1280</v>
      </c>
      <c r="AK66" s="610">
        <v>1</v>
      </c>
      <c r="AL66" s="1444"/>
      <c r="AM66" s="330" t="s">
        <v>1280</v>
      </c>
      <c r="AN66" s="610">
        <v>1</v>
      </c>
      <c r="AO66" s="1421"/>
      <c r="AP66" s="323">
        <f>IF((AM66=AJ66)=TRUE,0,1)</f>
        <v>0</v>
      </c>
      <c r="AQ66" s="510"/>
      <c r="AR66" s="338" t="s">
        <v>1280</v>
      </c>
      <c r="AS66" s="610">
        <v>1</v>
      </c>
      <c r="AT66" s="1444"/>
      <c r="AU66" s="338" t="s">
        <v>1280</v>
      </c>
      <c r="AV66" s="610">
        <v>1</v>
      </c>
      <c r="AW66" s="1421"/>
      <c r="AX66" s="323">
        <f>IF((AU66=AR66)=TRUE,0,1)</f>
        <v>0</v>
      </c>
      <c r="AY66" s="510"/>
      <c r="AZ66" s="338" t="s">
        <v>1280</v>
      </c>
      <c r="BA66" s="610">
        <v>1</v>
      </c>
      <c r="BB66" s="1444"/>
      <c r="BC66" s="338" t="s">
        <v>1280</v>
      </c>
      <c r="BD66" s="610">
        <v>1</v>
      </c>
      <c r="BE66" s="1421"/>
      <c r="BF66" s="323">
        <f>IF((BC66=AZ66)=TRUE,0,1)</f>
        <v>0</v>
      </c>
      <c r="BG66" s="510"/>
      <c r="BH66" s="1317" t="s">
        <v>1280</v>
      </c>
      <c r="BI66" s="610">
        <v>1</v>
      </c>
      <c r="BJ66" s="1444"/>
      <c r="BK66" s="330" t="s">
        <v>1280</v>
      </c>
      <c r="BL66" s="610">
        <v>1</v>
      </c>
      <c r="BM66" s="1421"/>
      <c r="BN66" s="323">
        <f>IF((BK66=BH66)=TRUE,0,1)</f>
        <v>0</v>
      </c>
      <c r="BO66" s="510"/>
      <c r="BP66" s="1317" t="s">
        <v>1280</v>
      </c>
      <c r="BQ66" s="610">
        <v>1</v>
      </c>
      <c r="BR66" s="1444"/>
      <c r="BS66" s="330" t="s">
        <v>1280</v>
      </c>
      <c r="BT66" s="610">
        <v>1</v>
      </c>
      <c r="BU66" s="1421"/>
      <c r="BV66" s="323">
        <f>IF((BS66=BP66)=TRUE,0,1)</f>
        <v>0</v>
      </c>
      <c r="BW66" s="510"/>
      <c r="BX66" s="1317" t="s">
        <v>1280</v>
      </c>
      <c r="BY66" s="610">
        <v>1</v>
      </c>
      <c r="BZ66" s="1444"/>
      <c r="CA66" s="330" t="s">
        <v>1280</v>
      </c>
      <c r="CB66" s="610">
        <v>1</v>
      </c>
      <c r="CC66" s="1421"/>
      <c r="CD66" s="323">
        <f>IF((CA66=BX66)=TRUE,0,1)</f>
        <v>0</v>
      </c>
      <c r="CE66" s="510"/>
      <c r="CF66" s="1317" t="s">
        <v>1280</v>
      </c>
      <c r="CG66" s="610">
        <v>1</v>
      </c>
      <c r="CH66" s="1444"/>
      <c r="CI66" s="330" t="s">
        <v>1280</v>
      </c>
      <c r="CJ66" s="610">
        <v>1</v>
      </c>
      <c r="CK66" s="1421"/>
      <c r="CL66" s="323">
        <f>IF((CI66=CF66)=TRUE,0,1)</f>
        <v>0</v>
      </c>
      <c r="CM66" s="510"/>
      <c r="CN66" s="625" t="s">
        <v>1280</v>
      </c>
      <c r="CO66" s="610">
        <v>1</v>
      </c>
      <c r="CP66" s="1444"/>
      <c r="CQ66" s="625" t="s">
        <v>1280</v>
      </c>
      <c r="CR66" s="610">
        <v>1</v>
      </c>
      <c r="CS66" s="1421"/>
      <c r="CT66" s="323">
        <f>IF((CQ66=CN66)=TRUE,0,1)</f>
        <v>0</v>
      </c>
      <c r="CU66" s="315"/>
      <c r="CX66" s="521"/>
      <c r="CY66" s="521">
        <v>1</v>
      </c>
      <c r="CZ66" s="522">
        <f t="shared" si="55"/>
        <v>1</v>
      </c>
      <c r="DA66" s="521">
        <v>0</v>
      </c>
      <c r="DB66" s="522">
        <f t="shared" si="60"/>
        <v>1</v>
      </c>
      <c r="DC66" s="521">
        <v>0</v>
      </c>
      <c r="DD66" s="522">
        <f t="shared" si="61"/>
        <v>1</v>
      </c>
      <c r="DE66" s="521">
        <v>0</v>
      </c>
      <c r="DF66" s="522">
        <f t="shared" si="62"/>
        <v>1</v>
      </c>
      <c r="DG66" s="521">
        <v>0</v>
      </c>
      <c r="DH66" s="522">
        <f t="shared" si="63"/>
        <v>1</v>
      </c>
      <c r="DI66" s="521">
        <v>0</v>
      </c>
      <c r="DJ66" s="522">
        <f t="shared" si="64"/>
        <v>1</v>
      </c>
      <c r="DK66" s="521">
        <v>0</v>
      </c>
      <c r="DL66" s="522">
        <f t="shared" si="49"/>
        <v>1</v>
      </c>
      <c r="DM66" s="521">
        <f t="shared" si="24"/>
        <v>7</v>
      </c>
      <c r="DN66" s="313"/>
      <c r="DO66" s="313"/>
      <c r="DP66" s="313"/>
      <c r="DQ66" s="313"/>
      <c r="DR66" s="313"/>
      <c r="DS66" s="313"/>
      <c r="DT66" s="313"/>
      <c r="DU66" s="313"/>
      <c r="DV66" s="313"/>
      <c r="DW66" s="313"/>
    </row>
    <row r="67" spans="1:127" s="2" customFormat="1" ht="28.5">
      <c r="A67" s="1839" t="s">
        <v>1281</v>
      </c>
      <c r="B67" s="1841" t="s">
        <v>1282</v>
      </c>
      <c r="C67" s="23">
        <v>29</v>
      </c>
      <c r="D67" s="329" t="s">
        <v>2002</v>
      </c>
      <c r="E67" s="482" t="s">
        <v>1199</v>
      </c>
      <c r="F67" s="339" t="s">
        <v>719</v>
      </c>
      <c r="G67" s="612" t="s">
        <v>1780</v>
      </c>
      <c r="H67" s="334" t="s">
        <v>282</v>
      </c>
      <c r="I67" s="1849">
        <v>6</v>
      </c>
      <c r="J67" s="647">
        <f>AVERAGE(CN67,CF67,BX67,BP67,BH67,AZ67,AR67,AJ67,AB67,T67)</f>
        <v>0</v>
      </c>
      <c r="K67" s="651">
        <f>AVERAGE(CO67,CG67,BY67,BQ67,BI67,BA67,AS67,AK67,AC67,U67)</f>
        <v>6</v>
      </c>
      <c r="L67" s="647">
        <f>AVERAGE(CQ67,CI67,CA67,BS67,BK67,BC67,AU67,AM67,AE67,W67)</f>
        <v>0</v>
      </c>
      <c r="M67" s="501">
        <f>AVERAGE(CR67,CJ67,CB67,BT67,BL67,BD67,AV67,AN67,AG67,Y67)</f>
        <v>6</v>
      </c>
      <c r="N67" s="502">
        <f t="shared" si="20"/>
        <v>0</v>
      </c>
      <c r="O67" s="500">
        <f t="shared" si="48"/>
        <v>0</v>
      </c>
      <c r="P67" s="500">
        <f t="shared" si="21"/>
        <v>0</v>
      </c>
      <c r="Q67" s="816">
        <f t="shared" si="22"/>
        <v>0</v>
      </c>
      <c r="R67" s="815">
        <f t="shared" si="23"/>
        <v>0</v>
      </c>
      <c r="S67" s="510"/>
      <c r="T67" s="1317">
        <v>0</v>
      </c>
      <c r="U67" s="1826">
        <f>6-T67*0.5-T68*3</f>
        <v>6</v>
      </c>
      <c r="V67" s="1444"/>
      <c r="W67" s="330">
        <v>0</v>
      </c>
      <c r="X67" s="1424"/>
      <c r="Y67" s="1826">
        <f>6-W67*0.5-W68*3</f>
        <v>6</v>
      </c>
      <c r="Z67" s="323">
        <f>IF(AND(T67=0,W67&lt;&gt;0),1,IF(AND(T67=0,W67=0),0,W67/T67-1))</f>
        <v>0</v>
      </c>
      <c r="AA67" s="510"/>
      <c r="AB67" s="1317">
        <v>0</v>
      </c>
      <c r="AC67" s="1826">
        <f>6-AB67*0.5-AB68*3</f>
        <v>6</v>
      </c>
      <c r="AD67" s="1444"/>
      <c r="AE67" s="330">
        <v>0</v>
      </c>
      <c r="AF67" s="1424"/>
      <c r="AG67" s="1826">
        <f>6-AE67*0.5-AE68*3</f>
        <v>6</v>
      </c>
      <c r="AH67" s="323">
        <f t="shared" si="3"/>
        <v>0</v>
      </c>
      <c r="AI67" s="510"/>
      <c r="AJ67" s="1317">
        <v>0</v>
      </c>
      <c r="AK67" s="1826">
        <f>6-AJ67*0.5-AJ68*3</f>
        <v>6</v>
      </c>
      <c r="AL67" s="1444"/>
      <c r="AM67" s="330">
        <v>0</v>
      </c>
      <c r="AN67" s="1826">
        <f>6-AM67*0.5-AM68*3</f>
        <v>6</v>
      </c>
      <c r="AO67" s="1421"/>
      <c r="AP67" s="323">
        <f>IF(AND(AJ67=0,AM67&lt;&gt;0),1,IF(AND(AJ67=0,AM67=0),0,AM67/AJ67-1))</f>
        <v>0</v>
      </c>
      <c r="AQ67" s="510"/>
      <c r="AR67" s="338">
        <v>0</v>
      </c>
      <c r="AS67" s="1826">
        <f>6-AR67*0.5-AR68*3</f>
        <v>6</v>
      </c>
      <c r="AT67" s="1444"/>
      <c r="AU67" s="338">
        <v>0</v>
      </c>
      <c r="AV67" s="1826">
        <f>6-AU67*0.5-AU68*3</f>
        <v>6</v>
      </c>
      <c r="AW67" s="1421"/>
      <c r="AX67" s="323">
        <f>IF(AND(AR67=0,AU67&lt;&gt;0),1,IF(AND(AR67=0,AU67=0),0,AU67/AR67-1))</f>
        <v>0</v>
      </c>
      <c r="AY67" s="510"/>
      <c r="AZ67" s="338">
        <v>0</v>
      </c>
      <c r="BA67" s="1826">
        <f>6-AZ67*0.5-AZ68*3</f>
        <v>6</v>
      </c>
      <c r="BB67" s="1444"/>
      <c r="BC67" s="338">
        <v>0</v>
      </c>
      <c r="BD67" s="1826">
        <f>6-BC67*0.5-BC68*3</f>
        <v>6</v>
      </c>
      <c r="BE67" s="1421"/>
      <c r="BF67" s="323">
        <f t="shared" si="6"/>
        <v>0</v>
      </c>
      <c r="BG67" s="510"/>
      <c r="BH67" s="1317">
        <v>0</v>
      </c>
      <c r="BI67" s="1826">
        <f>6-BH67*0.5-BH68*3</f>
        <v>6</v>
      </c>
      <c r="BJ67" s="1444"/>
      <c r="BK67" s="330">
        <v>0</v>
      </c>
      <c r="BL67" s="1826">
        <f>6-BK67*0.5-BK68*3</f>
        <v>6</v>
      </c>
      <c r="BM67" s="1421"/>
      <c r="BN67" s="323">
        <f t="shared" si="7"/>
        <v>0</v>
      </c>
      <c r="BO67" s="510"/>
      <c r="BP67" s="1317">
        <v>0</v>
      </c>
      <c r="BQ67" s="1826">
        <f>6-BP67*0.5-BP68*3</f>
        <v>6</v>
      </c>
      <c r="BR67" s="1444"/>
      <c r="BS67" s="330">
        <v>0</v>
      </c>
      <c r="BT67" s="1826">
        <f>6-BS67*0.5-BS68*3</f>
        <v>6</v>
      </c>
      <c r="BU67" s="1421"/>
      <c r="BV67" s="323">
        <f t="shared" si="8"/>
        <v>0</v>
      </c>
      <c r="BW67" s="510"/>
      <c r="BX67" s="1317">
        <v>0</v>
      </c>
      <c r="BY67" s="1826">
        <f>6-BX67*0.5-BX68*3</f>
        <v>6</v>
      </c>
      <c r="BZ67" s="1444"/>
      <c r="CA67" s="330">
        <v>0</v>
      </c>
      <c r="CB67" s="1826">
        <f>6-CA67*0.5-CA68*3</f>
        <v>6</v>
      </c>
      <c r="CC67" s="1421"/>
      <c r="CD67" s="323">
        <f t="shared" si="9"/>
        <v>0</v>
      </c>
      <c r="CE67" s="510"/>
      <c r="CF67" s="1317">
        <v>0</v>
      </c>
      <c r="CG67" s="1826">
        <f>6-CF67*0.5-CF68*3</f>
        <v>6</v>
      </c>
      <c r="CH67" s="1444"/>
      <c r="CI67" s="330">
        <v>0</v>
      </c>
      <c r="CJ67" s="1826">
        <f>6-CI67*0.5-CI68*3</f>
        <v>6</v>
      </c>
      <c r="CK67" s="1421"/>
      <c r="CL67" s="323">
        <f t="shared" si="10"/>
        <v>0</v>
      </c>
      <c r="CM67" s="510"/>
      <c r="CN67" s="338">
        <v>0</v>
      </c>
      <c r="CO67" s="1826">
        <f>6-CN67*0.5-CN68*3</f>
        <v>6</v>
      </c>
      <c r="CP67" s="1444"/>
      <c r="CQ67" s="338">
        <v>0</v>
      </c>
      <c r="CR67" s="1826">
        <f>6-CQ67*0.5-CQ68*3</f>
        <v>6</v>
      </c>
      <c r="CS67" s="1421"/>
      <c r="CT67" s="323">
        <f>IF(AND(CN67=0,CQ67&lt;&gt;0),1,IF(AND(CN67=0,CQ67=0),0,CQ67/CN67-1))</f>
        <v>0</v>
      </c>
      <c r="CU67" s="315"/>
      <c r="CX67" s="521"/>
      <c r="CY67" s="521">
        <v>1</v>
      </c>
      <c r="CZ67" s="522">
        <f t="shared" si="55"/>
        <v>6</v>
      </c>
      <c r="DA67" s="521">
        <v>0</v>
      </c>
      <c r="DB67" s="522">
        <f t="shared" si="60"/>
        <v>6</v>
      </c>
      <c r="DC67" s="521">
        <v>0</v>
      </c>
      <c r="DD67" s="522">
        <f t="shared" si="61"/>
        <v>6</v>
      </c>
      <c r="DE67" s="521">
        <v>0</v>
      </c>
      <c r="DF67" s="522">
        <f t="shared" si="62"/>
        <v>6</v>
      </c>
      <c r="DG67" s="521">
        <v>0</v>
      </c>
      <c r="DH67" s="522">
        <f t="shared" si="63"/>
        <v>6</v>
      </c>
      <c r="DI67" s="521">
        <v>0</v>
      </c>
      <c r="DJ67" s="522">
        <f t="shared" si="64"/>
        <v>6</v>
      </c>
      <c r="DK67" s="521">
        <v>0</v>
      </c>
      <c r="DL67" s="522">
        <f t="shared" si="49"/>
        <v>6</v>
      </c>
      <c r="DM67" s="521">
        <f t="shared" si="24"/>
        <v>37</v>
      </c>
      <c r="DN67" s="313"/>
      <c r="DO67" s="313"/>
      <c r="DP67" s="313"/>
      <c r="DQ67" s="313"/>
      <c r="DR67" s="313"/>
      <c r="DS67" s="313"/>
      <c r="DT67" s="313"/>
      <c r="DU67" s="313"/>
      <c r="DV67" s="313"/>
      <c r="DW67" s="313"/>
    </row>
    <row r="68" spans="1:127" s="2" customFormat="1" ht="28.5">
      <c r="A68" s="1839"/>
      <c r="B68" s="1841"/>
      <c r="C68" s="23">
        <v>30</v>
      </c>
      <c r="D68" s="329" t="s">
        <v>1283</v>
      </c>
      <c r="E68" s="482" t="s">
        <v>1199</v>
      </c>
      <c r="F68" s="339" t="s">
        <v>719</v>
      </c>
      <c r="G68" s="612" t="s">
        <v>477</v>
      </c>
      <c r="H68" s="334" t="s">
        <v>282</v>
      </c>
      <c r="I68" s="1849"/>
      <c r="J68" s="647">
        <f>AVERAGE(CN68,CF68,BX68,BP68,BH68,AZ68,AR68,AJ68,AB68,T68)</f>
        <v>0</v>
      </c>
      <c r="K68" s="651">
        <v>0</v>
      </c>
      <c r="L68" s="647">
        <f>AVERAGE(CQ68,CI68,CA68,BS68,BK68,BC68,AU68,AM68,AE68,W68)</f>
        <v>0</v>
      </c>
      <c r="M68" s="501"/>
      <c r="N68" s="502">
        <f t="shared" si="20"/>
        <v>0</v>
      </c>
      <c r="O68" s="500">
        <f t="shared" si="48"/>
        <v>0</v>
      </c>
      <c r="P68" s="500">
        <f t="shared" si="21"/>
        <v>0</v>
      </c>
      <c r="Q68" s="816">
        <f t="shared" si="22"/>
        <v>0</v>
      </c>
      <c r="R68" s="815">
        <f t="shared" si="23"/>
        <v>0</v>
      </c>
      <c r="S68" s="510"/>
      <c r="T68" s="1317">
        <v>0</v>
      </c>
      <c r="U68" s="1826"/>
      <c r="V68" s="1444"/>
      <c r="W68" s="330">
        <v>0</v>
      </c>
      <c r="X68" s="1424"/>
      <c r="Y68" s="1826"/>
      <c r="Z68" s="323">
        <f>IF(AND(T68=0,W68&lt;&gt;0),1,IF(AND(T68=0,W68=0),0,W68/T68-1))</f>
        <v>0</v>
      </c>
      <c r="AA68" s="510"/>
      <c r="AB68" s="1317">
        <v>0</v>
      </c>
      <c r="AC68" s="1826"/>
      <c r="AD68" s="1444"/>
      <c r="AE68" s="330">
        <v>0</v>
      </c>
      <c r="AF68" s="1424"/>
      <c r="AG68" s="1826"/>
      <c r="AH68" s="323">
        <f t="shared" ref="AH68:AH71" si="65">IF(AND(AB68=0,AE68&lt;&gt;0),1,IF(AND(AB68=0,AE68=0),0,AE68/AB68-1))</f>
        <v>0</v>
      </c>
      <c r="AI68" s="510"/>
      <c r="AJ68" s="1317">
        <v>0</v>
      </c>
      <c r="AK68" s="1826"/>
      <c r="AL68" s="1444"/>
      <c r="AM68" s="330">
        <v>0</v>
      </c>
      <c r="AN68" s="1826"/>
      <c r="AO68" s="1421"/>
      <c r="AP68" s="323">
        <f>IF(AND(AJ68=0,AM68&lt;&gt;0),1,IF(AND(AJ68=0,AM68=0),0,AM68/AJ68-1))</f>
        <v>0</v>
      </c>
      <c r="AQ68" s="510"/>
      <c r="AR68" s="338">
        <v>0</v>
      </c>
      <c r="AS68" s="1826"/>
      <c r="AT68" s="1444"/>
      <c r="AU68" s="338">
        <v>0</v>
      </c>
      <c r="AV68" s="1826"/>
      <c r="AW68" s="1421"/>
      <c r="AX68" s="323">
        <f>IF(AND(AR68=0,AU68&lt;&gt;0),1,IF(AND(AR68=0,AU68=0),0,AU68/AR68-1))</f>
        <v>0</v>
      </c>
      <c r="AY68" s="510"/>
      <c r="AZ68" s="338">
        <v>0</v>
      </c>
      <c r="BA68" s="1826"/>
      <c r="BB68" s="1444"/>
      <c r="BC68" s="338">
        <v>0</v>
      </c>
      <c r="BD68" s="1826"/>
      <c r="BE68" s="1421"/>
      <c r="BF68" s="323">
        <f t="shared" ref="BF68:BF71" si="66">IF(AND(AZ68=0,BC68&lt;&gt;0),1,IF(AND(AZ68=0,BC68=0),0,BC68/AZ68-1))</f>
        <v>0</v>
      </c>
      <c r="BG68" s="510"/>
      <c r="BH68" s="1317">
        <v>0</v>
      </c>
      <c r="BI68" s="1826"/>
      <c r="BJ68" s="1444"/>
      <c r="BK68" s="330">
        <v>0</v>
      </c>
      <c r="BL68" s="1826"/>
      <c r="BM68" s="1421"/>
      <c r="BN68" s="323">
        <f t="shared" ref="BN68:BN71" si="67">IF(AND(BH68=0,BK68&lt;&gt;0),1,IF(AND(BH68=0,BK68=0),0,BK68/BH68-1))</f>
        <v>0</v>
      </c>
      <c r="BO68" s="510"/>
      <c r="BP68" s="1317">
        <v>0</v>
      </c>
      <c r="BQ68" s="1826"/>
      <c r="BR68" s="1444"/>
      <c r="BS68" s="330">
        <v>0</v>
      </c>
      <c r="BT68" s="1826"/>
      <c r="BU68" s="1421"/>
      <c r="BV68" s="323">
        <f t="shared" ref="BV68:BV71" si="68">IF(AND(BP68=0,BS68&lt;&gt;0),1,IF(AND(BP68=0,BS68=0),0,BS68/BP68-1))</f>
        <v>0</v>
      </c>
      <c r="BW68" s="510"/>
      <c r="BX68" s="1317">
        <v>0</v>
      </c>
      <c r="BY68" s="1826"/>
      <c r="BZ68" s="1444"/>
      <c r="CA68" s="330">
        <v>0</v>
      </c>
      <c r="CB68" s="1826"/>
      <c r="CC68" s="1421"/>
      <c r="CD68" s="323">
        <f t="shared" ref="CD68:CD71" si="69">IF(AND(BX68=0,CA68&lt;&gt;0),1,IF(AND(BX68=0,CA68=0),0,CA68/BX68-1))</f>
        <v>0</v>
      </c>
      <c r="CE68" s="510"/>
      <c r="CF68" s="1317">
        <v>0</v>
      </c>
      <c r="CG68" s="1826"/>
      <c r="CH68" s="1444"/>
      <c r="CI68" s="330">
        <v>0</v>
      </c>
      <c r="CJ68" s="1826"/>
      <c r="CK68" s="1421"/>
      <c r="CL68" s="323">
        <f t="shared" ref="CL68:CL71" si="70">IF(AND(CF68=0,CI68&lt;&gt;0),1,IF(AND(CF68=0,CI68=0),0,CI68/CF68-1))</f>
        <v>0</v>
      </c>
      <c r="CM68" s="510"/>
      <c r="CN68" s="338">
        <v>0</v>
      </c>
      <c r="CO68" s="1826"/>
      <c r="CP68" s="1444"/>
      <c r="CQ68" s="338">
        <v>0</v>
      </c>
      <c r="CR68" s="1826"/>
      <c r="CS68" s="1421"/>
      <c r="CT68" s="323">
        <f>IF(AND(CN68=0,CQ68&lt;&gt;0),1,IF(AND(CN68=0,CQ68=0),0,CQ68/CN68-1))</f>
        <v>0</v>
      </c>
      <c r="CU68" s="315"/>
      <c r="CX68" s="521"/>
      <c r="CY68" s="521">
        <v>1</v>
      </c>
      <c r="CZ68" s="522">
        <f t="shared" si="55"/>
        <v>0</v>
      </c>
      <c r="DA68" s="521">
        <v>0</v>
      </c>
      <c r="DB68" s="522">
        <f t="shared" si="60"/>
        <v>0</v>
      </c>
      <c r="DC68" s="521">
        <v>0</v>
      </c>
      <c r="DD68" s="522">
        <f t="shared" si="61"/>
        <v>0</v>
      </c>
      <c r="DE68" s="521">
        <v>0</v>
      </c>
      <c r="DF68" s="522">
        <f t="shared" si="62"/>
        <v>0</v>
      </c>
      <c r="DG68" s="521">
        <v>0</v>
      </c>
      <c r="DH68" s="522">
        <f t="shared" si="63"/>
        <v>0</v>
      </c>
      <c r="DI68" s="521">
        <v>0</v>
      </c>
      <c r="DJ68" s="522">
        <f t="shared" si="64"/>
        <v>0</v>
      </c>
      <c r="DK68" s="521">
        <v>0</v>
      </c>
      <c r="DL68" s="522">
        <f t="shared" si="49"/>
        <v>0</v>
      </c>
      <c r="DM68" s="521">
        <f t="shared" si="24"/>
        <v>1</v>
      </c>
      <c r="DN68" s="313"/>
      <c r="DO68" s="313"/>
      <c r="DP68" s="313"/>
      <c r="DQ68" s="313"/>
      <c r="DR68" s="313"/>
      <c r="DS68" s="313"/>
      <c r="DT68" s="313"/>
      <c r="DU68" s="313"/>
      <c r="DV68" s="313"/>
      <c r="DW68" s="313"/>
    </row>
    <row r="69" spans="1:127" s="2" customFormat="1" ht="28.5">
      <c r="A69" s="339" t="s">
        <v>1284</v>
      </c>
      <c r="B69" s="339" t="s">
        <v>1285</v>
      </c>
      <c r="C69" s="23">
        <v>31</v>
      </c>
      <c r="D69" s="329" t="s">
        <v>2412</v>
      </c>
      <c r="E69" s="482" t="s">
        <v>1199</v>
      </c>
      <c r="F69" s="339" t="s">
        <v>719</v>
      </c>
      <c r="G69" s="612" t="s">
        <v>477</v>
      </c>
      <c r="H69" s="334" t="s">
        <v>282</v>
      </c>
      <c r="I69" s="611" t="s">
        <v>1781</v>
      </c>
      <c r="J69" s="647">
        <f>AVERAGE(CN69,CF69,BX69,BP69,BH69,AZ69,AR69,AJ69,AB69,T69)</f>
        <v>0</v>
      </c>
      <c r="K69" s="567"/>
      <c r="L69" s="647">
        <f>AVERAGE(CQ69,CI69,CA69,BS69,BK69,BC69,AU69,AM69,AE69,W69)</f>
        <v>0</v>
      </c>
      <c r="M69" s="510"/>
      <c r="N69" s="502">
        <f t="shared" ref="N69:N73" si="71">M69-K69</f>
        <v>0</v>
      </c>
      <c r="O69" s="510"/>
      <c r="P69" s="510"/>
      <c r="Q69" s="510"/>
      <c r="R69" s="510"/>
      <c r="S69" s="510"/>
      <c r="T69" s="1317">
        <v>0</v>
      </c>
      <c r="U69" s="610" t="s">
        <v>1782</v>
      </c>
      <c r="V69" s="1444"/>
      <c r="W69" s="330">
        <v>0</v>
      </c>
      <c r="X69" s="1424"/>
      <c r="Y69" s="610" t="s">
        <v>1782</v>
      </c>
      <c r="Z69" s="323">
        <f>IF(AND(T69=0,W69&lt;&gt;0),1,IF(AND(T69=0,W69=0),0,W69/T69-1))</f>
        <v>0</v>
      </c>
      <c r="AA69" s="510"/>
      <c r="AB69" s="1317">
        <v>0</v>
      </c>
      <c r="AC69" s="610" t="s">
        <v>1165</v>
      </c>
      <c r="AD69" s="1444"/>
      <c r="AE69" s="330">
        <v>0</v>
      </c>
      <c r="AF69" s="1424"/>
      <c r="AG69" s="610" t="s">
        <v>1165</v>
      </c>
      <c r="AH69" s="323">
        <f t="shared" si="65"/>
        <v>0</v>
      </c>
      <c r="AI69" s="510"/>
      <c r="AJ69" s="1317">
        <v>0</v>
      </c>
      <c r="AK69" s="610" t="s">
        <v>1165</v>
      </c>
      <c r="AL69" s="1444"/>
      <c r="AM69" s="330">
        <v>0</v>
      </c>
      <c r="AN69" s="610" t="s">
        <v>1165</v>
      </c>
      <c r="AO69" s="1421"/>
      <c r="AP69" s="323">
        <f>IF(AND(AJ69=0,AM69&lt;&gt;0),1,IF(AND(AJ69=0,AM69=0),0,AM69/AJ69-1))</f>
        <v>0</v>
      </c>
      <c r="AQ69" s="510"/>
      <c r="AR69" s="338">
        <v>0</v>
      </c>
      <c r="AS69" s="610" t="s">
        <v>1165</v>
      </c>
      <c r="AT69" s="1444"/>
      <c r="AU69" s="338">
        <v>0</v>
      </c>
      <c r="AV69" s="610" t="s">
        <v>1165</v>
      </c>
      <c r="AW69" s="1421"/>
      <c r="AX69" s="323">
        <f>IF(AND(AR69=0,AU69&lt;&gt;0),1,IF(AND(AR69=0,AU69=0),0,AU69/AR69-1))</f>
        <v>0</v>
      </c>
      <c r="AY69" s="510"/>
      <c r="AZ69" s="338">
        <v>0</v>
      </c>
      <c r="BA69" s="610" t="s">
        <v>1165</v>
      </c>
      <c r="BB69" s="1444"/>
      <c r="BC69" s="338">
        <v>0</v>
      </c>
      <c r="BD69" s="610" t="s">
        <v>1165</v>
      </c>
      <c r="BE69" s="1421"/>
      <c r="BF69" s="323">
        <f t="shared" si="66"/>
        <v>0</v>
      </c>
      <c r="BG69" s="510"/>
      <c r="BH69" s="1317">
        <v>0</v>
      </c>
      <c r="BI69" s="610" t="s">
        <v>1165</v>
      </c>
      <c r="BJ69" s="1444"/>
      <c r="BK69" s="330">
        <v>0</v>
      </c>
      <c r="BL69" s="610" t="s">
        <v>1165</v>
      </c>
      <c r="BM69" s="1421"/>
      <c r="BN69" s="323">
        <f t="shared" si="67"/>
        <v>0</v>
      </c>
      <c r="BO69" s="510"/>
      <c r="BP69" s="1317">
        <v>0</v>
      </c>
      <c r="BQ69" s="610" t="s">
        <v>1165</v>
      </c>
      <c r="BR69" s="1444"/>
      <c r="BS69" s="330">
        <v>0</v>
      </c>
      <c r="BT69" s="610" t="s">
        <v>1165</v>
      </c>
      <c r="BU69" s="1421"/>
      <c r="BV69" s="323">
        <f t="shared" si="68"/>
        <v>0</v>
      </c>
      <c r="BW69" s="510"/>
      <c r="BX69" s="1317">
        <v>0</v>
      </c>
      <c r="BY69" s="610" t="s">
        <v>1165</v>
      </c>
      <c r="BZ69" s="1444"/>
      <c r="CA69" s="330">
        <v>0</v>
      </c>
      <c r="CB69" s="610" t="s">
        <v>1165</v>
      </c>
      <c r="CC69" s="1421"/>
      <c r="CD69" s="323">
        <f t="shared" si="69"/>
        <v>0</v>
      </c>
      <c r="CE69" s="510"/>
      <c r="CF69" s="1317">
        <v>0</v>
      </c>
      <c r="CG69" s="610" t="s">
        <v>1165</v>
      </c>
      <c r="CH69" s="1444"/>
      <c r="CI69" s="330">
        <v>0</v>
      </c>
      <c r="CJ69" s="610" t="s">
        <v>1165</v>
      </c>
      <c r="CK69" s="1421"/>
      <c r="CL69" s="323">
        <f t="shared" si="70"/>
        <v>0</v>
      </c>
      <c r="CM69" s="510"/>
      <c r="CN69" s="338">
        <v>0</v>
      </c>
      <c r="CO69" s="610" t="s">
        <v>1165</v>
      </c>
      <c r="CP69" s="1444"/>
      <c r="CQ69" s="338">
        <v>0</v>
      </c>
      <c r="CR69" s="610" t="s">
        <v>1165</v>
      </c>
      <c r="CS69" s="1421"/>
      <c r="CT69" s="323">
        <f>IF(AND(CN69=0,CQ69&lt;&gt;0),1,IF(AND(CN69=0,CQ69=0),0,CQ69/CN69-1))</f>
        <v>0</v>
      </c>
      <c r="CU69" s="315"/>
      <c r="CX69" s="521" t="s">
        <v>1594</v>
      </c>
      <c r="CY69" s="521">
        <v>1</v>
      </c>
      <c r="CZ69" s="522">
        <f t="shared" si="55"/>
        <v>0</v>
      </c>
      <c r="DA69" s="521">
        <v>1</v>
      </c>
      <c r="DB69" s="522">
        <f t="shared" si="60"/>
        <v>0</v>
      </c>
      <c r="DC69" s="521">
        <v>1</v>
      </c>
      <c r="DD69" s="522">
        <f t="shared" si="61"/>
        <v>0</v>
      </c>
      <c r="DE69" s="521">
        <v>1</v>
      </c>
      <c r="DF69" s="522">
        <f t="shared" si="62"/>
        <v>0</v>
      </c>
      <c r="DG69" s="521">
        <v>1</v>
      </c>
      <c r="DH69" s="522">
        <f t="shared" si="63"/>
        <v>0</v>
      </c>
      <c r="DI69" s="521">
        <v>1</v>
      </c>
      <c r="DJ69" s="522">
        <f t="shared" si="64"/>
        <v>0</v>
      </c>
      <c r="DK69" s="521">
        <v>0</v>
      </c>
      <c r="DL69" s="522">
        <f t="shared" si="49"/>
        <v>0</v>
      </c>
      <c r="DM69" s="521">
        <f t="shared" ref="DM69:DM73" si="72">SUM(CY69:DK69)</f>
        <v>6</v>
      </c>
      <c r="DN69" s="313"/>
      <c r="DO69" s="313"/>
      <c r="DP69" s="313"/>
      <c r="DQ69" s="313"/>
      <c r="DR69" s="313"/>
      <c r="DS69" s="313"/>
      <c r="DT69" s="313"/>
      <c r="DU69" s="313"/>
      <c r="DV69" s="313"/>
      <c r="DW69" s="313"/>
    </row>
    <row r="70" spans="1:127" s="2" customFormat="1" ht="14.25">
      <c r="A70" s="1839" t="s">
        <v>1288</v>
      </c>
      <c r="B70" s="1841" t="s">
        <v>1289</v>
      </c>
      <c r="C70" s="23">
        <v>32</v>
      </c>
      <c r="D70" s="329" t="s">
        <v>2414</v>
      </c>
      <c r="E70" s="482" t="s">
        <v>255</v>
      </c>
      <c r="F70" s="612"/>
      <c r="G70" s="612" t="s">
        <v>1783</v>
      </c>
      <c r="H70" s="334" t="s">
        <v>282</v>
      </c>
      <c r="I70" s="1849">
        <v>3</v>
      </c>
      <c r="J70" s="647">
        <f>AVERAGE(CN70,CF70,BX70,BP70,BH70,AZ70,AR70,AJ70,AB70,T70)</f>
        <v>0</v>
      </c>
      <c r="K70" s="651">
        <f>AVERAGE(CO70,CG70,BY70,BQ70,BI70,BA70,AS70,AK70,AC70,U70)</f>
        <v>3</v>
      </c>
      <c r="L70" s="647">
        <f>AVERAGE(CQ70,CI70,CA70,BS70,BK70,BC70,AU70,AM70,AE70,W70)</f>
        <v>0</v>
      </c>
      <c r="M70" s="501">
        <f>AVERAGE(CR70,CJ70,CB70,BT70,BL70,BD70,AV70,AN70,AG70,Y70)</f>
        <v>3</v>
      </c>
      <c r="N70" s="502">
        <f t="shared" si="71"/>
        <v>0</v>
      </c>
      <c r="O70" s="500">
        <f>I70-M70</f>
        <v>0</v>
      </c>
      <c r="P70" s="500">
        <f t="shared" ref="P70:P73" si="73">O70*0.7</f>
        <v>0</v>
      </c>
      <c r="Q70" s="816">
        <f t="shared" ref="Q70:Q73" si="74">P70/9</f>
        <v>0</v>
      </c>
      <c r="R70" s="815">
        <f t="shared" ref="R70:R77" si="75">Q70/2</f>
        <v>0</v>
      </c>
      <c r="S70" s="510"/>
      <c r="T70" s="1317">
        <v>0</v>
      </c>
      <c r="U70" s="1826">
        <f>3-T70*0.5-T71*1</f>
        <v>3</v>
      </c>
      <c r="V70" s="1444"/>
      <c r="W70" s="330">
        <v>0</v>
      </c>
      <c r="X70" s="1424"/>
      <c r="Y70" s="1826">
        <f>3-W70*0.5-W71*1</f>
        <v>3</v>
      </c>
      <c r="Z70" s="323">
        <f>IF(AND(T70=0,W70&lt;&gt;0),1,IF(AND(T70=0,W70=0),0,W70/T70-1))</f>
        <v>0</v>
      </c>
      <c r="AA70" s="510"/>
      <c r="AB70" s="1317">
        <v>0</v>
      </c>
      <c r="AC70" s="1826">
        <f>3-AB70*0.5-AB71*1</f>
        <v>3</v>
      </c>
      <c r="AD70" s="1444"/>
      <c r="AE70" s="330">
        <v>0</v>
      </c>
      <c r="AF70" s="1424"/>
      <c r="AG70" s="1826">
        <f>3-AE70*0.5-AE71*1</f>
        <v>3</v>
      </c>
      <c r="AH70" s="323">
        <f t="shared" si="65"/>
        <v>0</v>
      </c>
      <c r="AI70" s="510"/>
      <c r="AJ70" s="1317">
        <v>0</v>
      </c>
      <c r="AK70" s="1826">
        <f>3-AJ70*0.5-AJ71*1</f>
        <v>3</v>
      </c>
      <c r="AL70" s="1444"/>
      <c r="AM70" s="330">
        <v>0</v>
      </c>
      <c r="AN70" s="1826">
        <f>3-AM70*0.5-AM71*1</f>
        <v>3</v>
      </c>
      <c r="AO70" s="1421"/>
      <c r="AP70" s="323">
        <f>IF(AND(AJ70=0,AM70&lt;&gt;0),1,IF(AND(AJ70=0,AM70=0),0,AM70/AJ70-1))</f>
        <v>0</v>
      </c>
      <c r="AQ70" s="510"/>
      <c r="AR70" s="1317">
        <v>0</v>
      </c>
      <c r="AS70" s="1826">
        <f>3-AR70*0.5-AR71*1</f>
        <v>3</v>
      </c>
      <c r="AT70" s="1444"/>
      <c r="AU70" s="330">
        <v>0</v>
      </c>
      <c r="AV70" s="1826">
        <f>3-AU70*0.5-AU71*1</f>
        <v>3</v>
      </c>
      <c r="AW70" s="1421"/>
      <c r="AX70" s="323">
        <f>IF(AND(AR70=0,AU70&lt;&gt;0),1,IF(AND(AR70=0,AU70=0),0,AU70/AR70-1))</f>
        <v>0</v>
      </c>
      <c r="AY70" s="510"/>
      <c r="AZ70" s="1317">
        <v>0</v>
      </c>
      <c r="BA70" s="1826">
        <f>3-AZ70*0.5-AZ71*1</f>
        <v>3</v>
      </c>
      <c r="BB70" s="1444"/>
      <c r="BC70" s="330">
        <v>0</v>
      </c>
      <c r="BD70" s="1826">
        <f>3-BC70*0.5-BC71*1</f>
        <v>3</v>
      </c>
      <c r="BE70" s="1421"/>
      <c r="BF70" s="323">
        <f t="shared" si="66"/>
        <v>0</v>
      </c>
      <c r="BG70" s="510"/>
      <c r="BH70" s="1317">
        <v>0</v>
      </c>
      <c r="BI70" s="1826">
        <f>3-BH70*0.5-BH71*1</f>
        <v>3</v>
      </c>
      <c r="BJ70" s="1444"/>
      <c r="BK70" s="330">
        <v>0</v>
      </c>
      <c r="BL70" s="1826">
        <f>3-BK70*0.5-BK71*1</f>
        <v>3</v>
      </c>
      <c r="BM70" s="1421"/>
      <c r="BN70" s="323">
        <f t="shared" si="67"/>
        <v>0</v>
      </c>
      <c r="BO70" s="510"/>
      <c r="BP70" s="1317">
        <v>0</v>
      </c>
      <c r="BQ70" s="1826">
        <f>3-BP70*0.5-BP71*1</f>
        <v>3</v>
      </c>
      <c r="BR70" s="1444"/>
      <c r="BS70" s="330">
        <v>0</v>
      </c>
      <c r="BT70" s="1826">
        <f>3-BS70*0.5-BS71*1</f>
        <v>3</v>
      </c>
      <c r="BU70" s="1421"/>
      <c r="BV70" s="323">
        <f t="shared" si="68"/>
        <v>0</v>
      </c>
      <c r="BW70" s="510"/>
      <c r="BX70" s="1317">
        <v>0</v>
      </c>
      <c r="BY70" s="1826">
        <f>3-BX70*0.5-BX71*1</f>
        <v>3</v>
      </c>
      <c r="BZ70" s="1444"/>
      <c r="CA70" s="330">
        <v>0</v>
      </c>
      <c r="CB70" s="1826">
        <f>3-CA70*0.5-CA71*1</f>
        <v>3</v>
      </c>
      <c r="CC70" s="1421"/>
      <c r="CD70" s="323">
        <f t="shared" si="69"/>
        <v>0</v>
      </c>
      <c r="CE70" s="510"/>
      <c r="CF70" s="1317">
        <v>0</v>
      </c>
      <c r="CG70" s="1826">
        <f>3-CF70*0.5-CF71*1</f>
        <v>3</v>
      </c>
      <c r="CH70" s="1444"/>
      <c r="CI70" s="330">
        <v>0</v>
      </c>
      <c r="CJ70" s="1826">
        <f>3-CI70*0.5-CI71*1</f>
        <v>3</v>
      </c>
      <c r="CK70" s="1421"/>
      <c r="CL70" s="323">
        <f t="shared" si="70"/>
        <v>0</v>
      </c>
      <c r="CM70" s="510"/>
      <c r="CN70" s="1317">
        <v>0</v>
      </c>
      <c r="CO70" s="1826">
        <f>3-CN70*0.5-CN71*1</f>
        <v>3</v>
      </c>
      <c r="CP70" s="1444"/>
      <c r="CQ70" s="330">
        <v>0</v>
      </c>
      <c r="CR70" s="1826">
        <f>3-CQ70*0.5-CQ71*1</f>
        <v>3</v>
      </c>
      <c r="CS70" s="1421"/>
      <c r="CT70" s="323">
        <f>IF(AND(CN70=0,CQ70&lt;&gt;0),1,IF(AND(CN70=0,CQ70=0),0,CQ70/CN70-1))</f>
        <v>0</v>
      </c>
      <c r="CU70" s="315"/>
      <c r="CX70" s="521" t="s">
        <v>1594</v>
      </c>
      <c r="CY70" s="521">
        <v>1</v>
      </c>
      <c r="CZ70" s="522">
        <f t="shared" si="55"/>
        <v>3</v>
      </c>
      <c r="DA70" s="521">
        <v>1</v>
      </c>
      <c r="DB70" s="522">
        <f t="shared" si="60"/>
        <v>3</v>
      </c>
      <c r="DC70" s="521">
        <v>1</v>
      </c>
      <c r="DD70" s="522">
        <f t="shared" si="61"/>
        <v>3</v>
      </c>
      <c r="DE70" s="521">
        <v>1</v>
      </c>
      <c r="DF70" s="522">
        <f t="shared" si="62"/>
        <v>3</v>
      </c>
      <c r="DG70" s="521">
        <v>1</v>
      </c>
      <c r="DH70" s="522">
        <f t="shared" si="63"/>
        <v>3</v>
      </c>
      <c r="DI70" s="521">
        <v>1</v>
      </c>
      <c r="DJ70" s="522">
        <f t="shared" si="64"/>
        <v>3</v>
      </c>
      <c r="DK70" s="521">
        <v>1</v>
      </c>
      <c r="DL70" s="522">
        <f t="shared" si="49"/>
        <v>3</v>
      </c>
      <c r="DM70" s="521">
        <f t="shared" si="72"/>
        <v>25</v>
      </c>
      <c r="DN70" s="313"/>
      <c r="DO70" s="313"/>
      <c r="DP70" s="313"/>
      <c r="DQ70" s="313"/>
      <c r="DR70" s="313"/>
      <c r="DS70" s="313"/>
      <c r="DT70" s="313"/>
      <c r="DU70" s="313"/>
      <c r="DV70" s="313"/>
      <c r="DW70" s="313"/>
    </row>
    <row r="71" spans="1:127" s="2" customFormat="1" ht="28.5">
      <c r="A71" s="1839"/>
      <c r="B71" s="1841"/>
      <c r="C71" s="23">
        <v>33</v>
      </c>
      <c r="D71" s="329" t="s">
        <v>1290</v>
      </c>
      <c r="E71" s="482" t="s">
        <v>255</v>
      </c>
      <c r="F71" s="612"/>
      <c r="G71" s="612" t="s">
        <v>1783</v>
      </c>
      <c r="H71" s="334" t="s">
        <v>282</v>
      </c>
      <c r="I71" s="1849"/>
      <c r="J71" s="647">
        <f>AVERAGE(CN71,CF71,BX71,BP71,BH71,AZ71,AR71,AJ71,AB71,T71)</f>
        <v>0</v>
      </c>
      <c r="K71" s="651">
        <v>0</v>
      </c>
      <c r="L71" s="647">
        <f>AVERAGE(CQ71,CI71,CA71,BS71,BK71,BC71,AU71,AM71,AE71,W71)</f>
        <v>0</v>
      </c>
      <c r="M71" s="501"/>
      <c r="N71" s="502">
        <f t="shared" si="71"/>
        <v>0</v>
      </c>
      <c r="O71" s="500">
        <f>I71-M71</f>
        <v>0</v>
      </c>
      <c r="P71" s="500">
        <f t="shared" si="73"/>
        <v>0</v>
      </c>
      <c r="Q71" s="816">
        <f t="shared" si="74"/>
        <v>0</v>
      </c>
      <c r="R71" s="815">
        <f t="shared" si="75"/>
        <v>0</v>
      </c>
      <c r="S71" s="510"/>
      <c r="T71" s="1317">
        <v>0</v>
      </c>
      <c r="U71" s="1826"/>
      <c r="V71" s="1444"/>
      <c r="W71" s="330">
        <v>0</v>
      </c>
      <c r="X71" s="1424"/>
      <c r="Y71" s="1826"/>
      <c r="Z71" s="323">
        <f>IF(AND(T71=0,W71&lt;&gt;0),1,IF(AND(T71=0,W71=0),0,W71/T71-1))</f>
        <v>0</v>
      </c>
      <c r="AA71" s="510"/>
      <c r="AB71" s="1317">
        <v>0</v>
      </c>
      <c r="AC71" s="1826"/>
      <c r="AD71" s="1444"/>
      <c r="AE71" s="330">
        <v>0</v>
      </c>
      <c r="AF71" s="1424"/>
      <c r="AG71" s="1826"/>
      <c r="AH71" s="323">
        <f t="shared" si="65"/>
        <v>0</v>
      </c>
      <c r="AI71" s="510"/>
      <c r="AJ71" s="1317">
        <v>0</v>
      </c>
      <c r="AK71" s="1826"/>
      <c r="AL71" s="1444"/>
      <c r="AM71" s="330">
        <v>0</v>
      </c>
      <c r="AN71" s="1826"/>
      <c r="AO71" s="1421"/>
      <c r="AP71" s="323">
        <f>IF(AND(AJ71=0,AM71&lt;&gt;0),1,IF(AND(AJ71=0,AM71=0),0,AM71/AJ71-1))</f>
        <v>0</v>
      </c>
      <c r="AQ71" s="510"/>
      <c r="AR71" s="1317">
        <v>0</v>
      </c>
      <c r="AS71" s="1826"/>
      <c r="AT71" s="1444"/>
      <c r="AU71" s="330">
        <v>0</v>
      </c>
      <c r="AV71" s="1826"/>
      <c r="AW71" s="1421"/>
      <c r="AX71" s="323">
        <f>IF(AND(AR71=0,AU71&lt;&gt;0),1,IF(AND(AR71=0,AU71=0),0,AU71/AR71-1))</f>
        <v>0</v>
      </c>
      <c r="AY71" s="510"/>
      <c r="AZ71" s="1317">
        <v>0</v>
      </c>
      <c r="BA71" s="1826"/>
      <c r="BB71" s="1444"/>
      <c r="BC71" s="330">
        <v>0</v>
      </c>
      <c r="BD71" s="1826"/>
      <c r="BE71" s="1421"/>
      <c r="BF71" s="323">
        <f t="shared" si="66"/>
        <v>0</v>
      </c>
      <c r="BG71" s="510"/>
      <c r="BH71" s="1317">
        <v>0</v>
      </c>
      <c r="BI71" s="1826"/>
      <c r="BJ71" s="1444"/>
      <c r="BK71" s="330">
        <v>0</v>
      </c>
      <c r="BL71" s="1826"/>
      <c r="BM71" s="1421"/>
      <c r="BN71" s="323">
        <f t="shared" si="67"/>
        <v>0</v>
      </c>
      <c r="BO71" s="510"/>
      <c r="BP71" s="1317">
        <v>0</v>
      </c>
      <c r="BQ71" s="1826"/>
      <c r="BR71" s="1444"/>
      <c r="BS71" s="330">
        <v>0</v>
      </c>
      <c r="BT71" s="1826"/>
      <c r="BU71" s="1421"/>
      <c r="BV71" s="323">
        <f t="shared" si="68"/>
        <v>0</v>
      </c>
      <c r="BW71" s="510"/>
      <c r="BX71" s="1317">
        <v>0</v>
      </c>
      <c r="BY71" s="1826"/>
      <c r="BZ71" s="1444"/>
      <c r="CA71" s="330">
        <v>0</v>
      </c>
      <c r="CB71" s="1826"/>
      <c r="CC71" s="1421"/>
      <c r="CD71" s="323">
        <f t="shared" si="69"/>
        <v>0</v>
      </c>
      <c r="CE71" s="510"/>
      <c r="CF71" s="1317">
        <v>0</v>
      </c>
      <c r="CG71" s="1826"/>
      <c r="CH71" s="1444"/>
      <c r="CI71" s="330">
        <v>0</v>
      </c>
      <c r="CJ71" s="1826"/>
      <c r="CK71" s="1421"/>
      <c r="CL71" s="323">
        <f t="shared" si="70"/>
        <v>0</v>
      </c>
      <c r="CM71" s="510"/>
      <c r="CN71" s="1317">
        <v>0</v>
      </c>
      <c r="CO71" s="1826"/>
      <c r="CP71" s="1444"/>
      <c r="CQ71" s="330">
        <v>0</v>
      </c>
      <c r="CR71" s="1826"/>
      <c r="CS71" s="1421"/>
      <c r="CT71" s="323">
        <f>IF(AND(CN71=0,CQ71&lt;&gt;0),1,IF(AND(CN71=0,CQ71=0),0,CQ71/CN71-1))</f>
        <v>0</v>
      </c>
      <c r="CU71" s="315"/>
      <c r="CX71" s="521" t="s">
        <v>1594</v>
      </c>
      <c r="CY71" s="521">
        <v>0</v>
      </c>
      <c r="CZ71" s="522">
        <f t="shared" si="55"/>
        <v>0</v>
      </c>
      <c r="DA71" s="521">
        <v>1</v>
      </c>
      <c r="DB71" s="522">
        <f t="shared" si="60"/>
        <v>0</v>
      </c>
      <c r="DC71" s="521">
        <v>1</v>
      </c>
      <c r="DD71" s="522">
        <f t="shared" si="61"/>
        <v>0</v>
      </c>
      <c r="DE71" s="521">
        <v>1</v>
      </c>
      <c r="DF71" s="522">
        <f t="shared" si="62"/>
        <v>0</v>
      </c>
      <c r="DG71" s="521">
        <v>1</v>
      </c>
      <c r="DH71" s="522">
        <f t="shared" si="63"/>
        <v>0</v>
      </c>
      <c r="DI71" s="521">
        <v>1</v>
      </c>
      <c r="DJ71" s="522">
        <f t="shared" si="64"/>
        <v>0</v>
      </c>
      <c r="DK71" s="521">
        <v>1</v>
      </c>
      <c r="DL71" s="522">
        <f t="shared" si="49"/>
        <v>0</v>
      </c>
      <c r="DM71" s="521">
        <f t="shared" si="72"/>
        <v>6</v>
      </c>
      <c r="DN71" s="313"/>
      <c r="DO71" s="313"/>
      <c r="DP71" s="313"/>
      <c r="DQ71" s="313"/>
      <c r="DR71" s="313"/>
      <c r="DS71" s="313"/>
      <c r="DT71" s="313"/>
      <c r="DU71" s="313"/>
      <c r="DV71" s="313"/>
      <c r="DW71" s="313"/>
    </row>
    <row r="72" spans="1:127" s="2" customFormat="1" ht="14.25">
      <c r="A72" s="634" t="s">
        <v>1292</v>
      </c>
      <c r="B72" s="634" t="s">
        <v>1293</v>
      </c>
      <c r="C72" s="23">
        <v>34</v>
      </c>
      <c r="D72" s="329" t="s">
        <v>1291</v>
      </c>
      <c r="E72" s="482" t="s">
        <v>256</v>
      </c>
      <c r="F72" s="612"/>
      <c r="G72" s="612" t="s">
        <v>1783</v>
      </c>
      <c r="H72" s="334" t="s">
        <v>282</v>
      </c>
      <c r="I72" s="611">
        <v>2</v>
      </c>
      <c r="J72" s="536" t="s">
        <v>1294</v>
      </c>
      <c r="K72" s="651">
        <f>AVERAGE(CO72,CG72,BY72,BQ72,BI72,BA72,AS72,AK72,AC72,U72)</f>
        <v>2</v>
      </c>
      <c r="L72" s="536" t="s">
        <v>1294</v>
      </c>
      <c r="M72" s="501">
        <f>AVERAGE(CR72,CJ72,CB72,BT72,BL72,BD72,AV72,AN72,AG72,Y72)</f>
        <v>2</v>
      </c>
      <c r="N72" s="502">
        <f t="shared" si="71"/>
        <v>0</v>
      </c>
      <c r="O72" s="500">
        <f>I72-M72</f>
        <v>0</v>
      </c>
      <c r="P72" s="500">
        <f t="shared" si="73"/>
        <v>0</v>
      </c>
      <c r="Q72" s="816">
        <f t="shared" si="74"/>
        <v>0</v>
      </c>
      <c r="R72" s="815">
        <f t="shared" si="75"/>
        <v>0</v>
      </c>
      <c r="S72" s="510" t="s">
        <v>1238</v>
      </c>
      <c r="T72" s="1317" t="s">
        <v>1294</v>
      </c>
      <c r="U72" s="610">
        <v>2</v>
      </c>
      <c r="V72" s="1444"/>
      <c r="W72" s="330" t="s">
        <v>1294</v>
      </c>
      <c r="X72" s="1424"/>
      <c r="Y72" s="610">
        <v>2</v>
      </c>
      <c r="Z72" s="323">
        <f>IF((W72=T72)=TRUE,0,1)</f>
        <v>0</v>
      </c>
      <c r="AA72" s="510"/>
      <c r="AB72" s="1317" t="s">
        <v>1294</v>
      </c>
      <c r="AC72" s="610">
        <v>2</v>
      </c>
      <c r="AD72" s="1444"/>
      <c r="AE72" s="330" t="s">
        <v>1294</v>
      </c>
      <c r="AF72" s="1424"/>
      <c r="AG72" s="610">
        <v>2</v>
      </c>
      <c r="AH72" s="323">
        <f>IF((AE72=AB72)=TRUE,0,1)</f>
        <v>0</v>
      </c>
      <c r="AI72" s="510"/>
      <c r="AJ72" s="1317" t="s">
        <v>1294</v>
      </c>
      <c r="AK72" s="610">
        <v>2</v>
      </c>
      <c r="AL72" s="1444"/>
      <c r="AM72" s="330" t="s">
        <v>1294</v>
      </c>
      <c r="AN72" s="610">
        <v>2</v>
      </c>
      <c r="AO72" s="1421"/>
      <c r="AP72" s="323">
        <f>IF((AM72=AJ72)=TRUE,0,1)</f>
        <v>0</v>
      </c>
      <c r="AQ72" s="510"/>
      <c r="AR72" s="1317" t="s">
        <v>1294</v>
      </c>
      <c r="AS72" s="610">
        <v>2</v>
      </c>
      <c r="AT72" s="1444"/>
      <c r="AU72" s="330" t="s">
        <v>1294</v>
      </c>
      <c r="AV72" s="610">
        <v>2</v>
      </c>
      <c r="AW72" s="1421"/>
      <c r="AX72" s="323">
        <f>IF((AU72=AR72)=TRUE,0,1)</f>
        <v>0</v>
      </c>
      <c r="AY72" s="510"/>
      <c r="AZ72" s="1317" t="s">
        <v>1294</v>
      </c>
      <c r="BA72" s="610">
        <v>2</v>
      </c>
      <c r="BB72" s="1444"/>
      <c r="BC72" s="330" t="s">
        <v>1294</v>
      </c>
      <c r="BD72" s="610">
        <v>2</v>
      </c>
      <c r="BE72" s="1421"/>
      <c r="BF72" s="323">
        <f>IF((BC72=AZ72)=TRUE,0,1)</f>
        <v>0</v>
      </c>
      <c r="BG72" s="510"/>
      <c r="BH72" s="1317" t="s">
        <v>1294</v>
      </c>
      <c r="BI72" s="610">
        <v>2</v>
      </c>
      <c r="BJ72" s="1444"/>
      <c r="BK72" s="330" t="s">
        <v>1294</v>
      </c>
      <c r="BL72" s="610">
        <v>2</v>
      </c>
      <c r="BM72" s="1421"/>
      <c r="BN72" s="323">
        <f>IF((BK72=BH72)=TRUE,0,1)</f>
        <v>0</v>
      </c>
      <c r="BO72" s="510"/>
      <c r="BP72" s="1317" t="s">
        <v>1294</v>
      </c>
      <c r="BQ72" s="610">
        <v>2</v>
      </c>
      <c r="BR72" s="1444"/>
      <c r="BS72" s="330" t="s">
        <v>1294</v>
      </c>
      <c r="BT72" s="610">
        <v>2</v>
      </c>
      <c r="BU72" s="1421"/>
      <c r="BV72" s="323">
        <f>IF((BS72=BP72)=TRUE,0,1)</f>
        <v>0</v>
      </c>
      <c r="BW72" s="510"/>
      <c r="BX72" s="1317" t="s">
        <v>1294</v>
      </c>
      <c r="BY72" s="610">
        <v>2</v>
      </c>
      <c r="BZ72" s="1444"/>
      <c r="CA72" s="330" t="s">
        <v>1294</v>
      </c>
      <c r="CB72" s="610">
        <v>2</v>
      </c>
      <c r="CC72" s="1421"/>
      <c r="CD72" s="323">
        <f>IF((CA72=BX72)=TRUE,0,1)</f>
        <v>0</v>
      </c>
      <c r="CE72" s="510"/>
      <c r="CF72" s="1317" t="s">
        <v>1294</v>
      </c>
      <c r="CG72" s="610">
        <v>2</v>
      </c>
      <c r="CH72" s="1444"/>
      <c r="CI72" s="330" t="s">
        <v>1294</v>
      </c>
      <c r="CJ72" s="610">
        <v>2</v>
      </c>
      <c r="CK72" s="1421"/>
      <c r="CL72" s="323">
        <f>IF((CI72=CF72)=TRUE,0,1)</f>
        <v>0</v>
      </c>
      <c r="CM72" s="510"/>
      <c r="CN72" s="1317" t="s">
        <v>1294</v>
      </c>
      <c r="CO72" s="610">
        <v>2</v>
      </c>
      <c r="CP72" s="1444"/>
      <c r="CQ72" s="330" t="s">
        <v>1294</v>
      </c>
      <c r="CR72" s="610">
        <v>2</v>
      </c>
      <c r="CS72" s="1421"/>
      <c r="CT72" s="323">
        <f>IF((CQ72=CN72)=TRUE,0,1)</f>
        <v>0</v>
      </c>
      <c r="CU72" s="315"/>
      <c r="CX72" s="521"/>
      <c r="CY72" s="521">
        <v>0</v>
      </c>
      <c r="CZ72" s="522">
        <f t="shared" si="55"/>
        <v>2</v>
      </c>
      <c r="DA72" s="521">
        <v>1</v>
      </c>
      <c r="DB72" s="522">
        <f t="shared" si="60"/>
        <v>2</v>
      </c>
      <c r="DC72" s="521">
        <v>1</v>
      </c>
      <c r="DD72" s="522">
        <f t="shared" si="61"/>
        <v>2</v>
      </c>
      <c r="DE72" s="521">
        <v>1</v>
      </c>
      <c r="DF72" s="522">
        <f t="shared" si="62"/>
        <v>2</v>
      </c>
      <c r="DG72" s="521">
        <v>1</v>
      </c>
      <c r="DH72" s="522">
        <f t="shared" si="63"/>
        <v>2</v>
      </c>
      <c r="DI72" s="521">
        <v>1</v>
      </c>
      <c r="DJ72" s="522">
        <f t="shared" si="64"/>
        <v>2</v>
      </c>
      <c r="DK72" s="521">
        <v>0</v>
      </c>
      <c r="DL72" s="522">
        <f t="shared" si="49"/>
        <v>2</v>
      </c>
      <c r="DM72" s="521">
        <f t="shared" si="72"/>
        <v>17</v>
      </c>
      <c r="DN72" s="313"/>
      <c r="DO72" s="313"/>
      <c r="DP72" s="313"/>
      <c r="DQ72" s="313"/>
      <c r="DR72" s="313"/>
      <c r="DS72" s="313"/>
      <c r="DT72" s="313"/>
      <c r="DU72" s="313"/>
      <c r="DV72" s="313"/>
      <c r="DW72" s="313"/>
    </row>
    <row r="73" spans="1:127" s="2" customFormat="1" ht="14.25">
      <c r="A73" s="1844" t="s">
        <v>1784</v>
      </c>
      <c r="B73" s="1845" t="s">
        <v>1296</v>
      </c>
      <c r="C73" s="23">
        <v>35</v>
      </c>
      <c r="D73" s="329" t="s">
        <v>1295</v>
      </c>
      <c r="E73" s="482" t="s">
        <v>256</v>
      </c>
      <c r="F73" s="612"/>
      <c r="G73" s="1848" t="s">
        <v>477</v>
      </c>
      <c r="H73" s="1869" t="s">
        <v>1785</v>
      </c>
      <c r="I73" s="1849">
        <v>10</v>
      </c>
      <c r="J73" s="645">
        <f>AVERAGE(CN73,CF73,BX73,BP73,BH73,AZ73,AR73,AJ73,AB73,T73)</f>
        <v>297716781.79399997</v>
      </c>
      <c r="K73" s="651">
        <v>0</v>
      </c>
      <c r="L73" s="645">
        <f>AVERAGE(CQ73,CI73,CA73,BS73,BK73,BC73,AU73,AM73,AE73,W73)</f>
        <v>308979183.35900003</v>
      </c>
      <c r="M73" s="1835">
        <v>0</v>
      </c>
      <c r="N73" s="1814">
        <f t="shared" si="71"/>
        <v>0</v>
      </c>
      <c r="O73" s="1817">
        <f>I73-M73</f>
        <v>10</v>
      </c>
      <c r="P73" s="1817">
        <f t="shared" si="73"/>
        <v>7</v>
      </c>
      <c r="Q73" s="1820">
        <f t="shared" si="74"/>
        <v>0.77777777777777779</v>
      </c>
      <c r="R73" s="1823">
        <f t="shared" si="75"/>
        <v>0.3888888888888889</v>
      </c>
      <c r="S73" s="510"/>
      <c r="T73" s="338">
        <v>150759849.93000001</v>
      </c>
      <c r="U73" s="1828" t="str">
        <f>IF(T28+T29+T30+T31+T32+T33+T43+T44+T67+T68+T41+T42=0,10,"行业水平得分")</f>
        <v>行业水平得分</v>
      </c>
      <c r="V73" s="1697">
        <v>150759849.93000001</v>
      </c>
      <c r="W73" s="338">
        <v>162608970.34999999</v>
      </c>
      <c r="X73" s="338"/>
      <c r="Y73" s="1827" t="str">
        <f>IF(W28+W29+W30+W31+W32+W33+W43+W44+W67+W68+W41+W42=0,10,"行业水平得分")</f>
        <v>行业水平得分</v>
      </c>
      <c r="Z73" s="323">
        <f>IF(AND(T73=0,W73&lt;&gt;0),1,IF(AND(T73=0,W73=0),0,W73/T73-1))</f>
        <v>7.8595995057713974E-2</v>
      </c>
      <c r="AA73" s="510"/>
      <c r="AB73" s="642">
        <v>717814933.43999994</v>
      </c>
      <c r="AC73" s="1828" t="str">
        <f>IF(AB28+AB29+AB30+AB31+AB32+AB33+AB43+AB44+AB67+AB68+AB41+AB42=0,10,"行业水平得分")</f>
        <v>行业水平得分</v>
      </c>
      <c r="AD73" s="1697">
        <v>715944574.90999997</v>
      </c>
      <c r="AE73" s="642">
        <v>727358141.16999996</v>
      </c>
      <c r="AF73" s="642"/>
      <c r="AG73" s="1827" t="str">
        <f>IF(AE28+AE29+AE30+AE31+AE32+AE33+AE43+AE44+AE67+AE68+AE41+AE42=0,10,"行业水平得分")</f>
        <v>行业水平得分</v>
      </c>
      <c r="AH73" s="323">
        <f t="shared" ref="AH73:AH75" si="76">IF(AND(AB73=0,AE73&lt;&gt;0),1,IF(AND(AB73=0,AE73=0),0,AE73/AB73-1))</f>
        <v>1.3294802441996989E-2</v>
      </c>
      <c r="AI73" s="510"/>
      <c r="AJ73" s="1699">
        <v>480317907.71999997</v>
      </c>
      <c r="AK73" s="1828" t="str">
        <f>IF(AJ28+AJ29+AJ30+AJ31+AJ32+AJ33+AJ43+AJ44+AJ67+AJ68+AJ41+AJ42=0,10,"行业水平得分")</f>
        <v>行业水平得分</v>
      </c>
      <c r="AL73" s="1697">
        <v>480317907.72000003</v>
      </c>
      <c r="AM73" s="338">
        <v>501849477.09000003</v>
      </c>
      <c r="AN73" s="1827" t="str">
        <f>IF(AM28+AM29+AM30+AM31+AM32+AM33+AM43+AM44+AM67+AM68+AM41+AM42=0,10,"行业水平得分")</f>
        <v>行业水平得分</v>
      </c>
      <c r="AO73" s="1422"/>
      <c r="AP73" s="323">
        <f>IF(AND(AJ73=0,AM73&lt;&gt;0),1,IF(AND(AJ73=0,AM73=0),0,AM73/AJ73-1))</f>
        <v>4.4827746423628634E-2</v>
      </c>
      <c r="AQ73" s="510"/>
      <c r="AR73" s="338">
        <v>167275700.56999999</v>
      </c>
      <c r="AS73" s="1828" t="str">
        <f>IF(AR28+AR29+AR30+AR31+AR32+AR33+AR43+AR44+AR67+AR68+AR41+AR42=0,10,"行业水平得分")</f>
        <v>行业水平得分</v>
      </c>
      <c r="AT73" s="1697">
        <v>167275700.56999999</v>
      </c>
      <c r="AU73" s="338">
        <v>174855437.49000001</v>
      </c>
      <c r="AV73" s="1832" t="str">
        <f>IF(AU28+AU29+AU30+AU31+AU32+AU33+AU43+AU44+AU67+AU68+AU41+AU42=0,10,"行业水平得分")</f>
        <v>行业水平得分</v>
      </c>
      <c r="AW73" s="1426"/>
      <c r="AX73" s="323">
        <f>IF(AND(AR73=0,AU73&lt;&gt;0),1,IF(AND(AR73=0,AU73=0),0,AU73/AR73-1))</f>
        <v>4.5312839188069054E-2</v>
      </c>
      <c r="AY73" s="510"/>
      <c r="AZ73" s="656">
        <v>410195478.64000005</v>
      </c>
      <c r="BA73" s="1827" t="str">
        <f>IF(AZ28+AZ29+AZ30+AZ31+AZ32+AZ33+AZ43+AZ44+AZ67+AZ68+AZ41+AZ42=0,10,"行业水平得分")</f>
        <v>行业水平得分</v>
      </c>
      <c r="BB73" s="1696">
        <v>410195478.63999999</v>
      </c>
      <c r="BC73" s="656">
        <v>426685488.34000003</v>
      </c>
      <c r="BD73" s="1827" t="str">
        <f>IF(BC28+BC29+BC30+BC31+BC32+BC33+BC43+BC44+BC67+BC68+BC41+BC42=0,10,"行业水平得分")</f>
        <v>行业水平得分</v>
      </c>
      <c r="BE73" s="1422"/>
      <c r="BF73" s="323">
        <f t="shared" ref="BF73:BF75" si="77">IF(AND(AZ73=0,BC73&lt;&gt;0),1,IF(AND(AZ73=0,BC73=0),0,BC73/AZ73-1))</f>
        <v>4.0200369235352085E-2</v>
      </c>
      <c r="BG73" s="510"/>
      <c r="BH73" s="656">
        <v>439731394.57999992</v>
      </c>
      <c r="BI73" s="1827" t="str">
        <f>IF(BH28+BH29+BH30+BH31+BH32+BH33+BH43+BH44+BH67+BH68+BH41+BH42=0,10,"行业水平得分")</f>
        <v>行业水平得分</v>
      </c>
      <c r="BJ73" s="1696">
        <v>439731394.57999998</v>
      </c>
      <c r="BK73" s="656">
        <v>460576487.81</v>
      </c>
      <c r="BL73" s="1827" t="str">
        <f>IF(BK28+BK29+BK30+BK31+BK32+BK33+BK43+BK44+BK67+BK68+BK41+BK42=0,10,"行业水平得分")</f>
        <v>行业水平得分</v>
      </c>
      <c r="BM73" s="1422"/>
      <c r="BN73" s="323">
        <f t="shared" ref="BN73:BN75" si="78">IF(AND(BH73=0,BK73&lt;&gt;0),1,IF(AND(BH73=0,BK73=0),0,BK73/BH73-1))</f>
        <v>4.7404150549473112E-2</v>
      </c>
      <c r="BO73" s="510"/>
      <c r="BP73" s="656">
        <v>89135757.319999993</v>
      </c>
      <c r="BQ73" s="1828">
        <f>IF(BP28+BP29+BP30+BP31+BP32+BP33+BP43+BP44+BP67+BP68+BP41+BP42=0,10,"行业水平得分")</f>
        <v>10</v>
      </c>
      <c r="BR73" s="1697">
        <v>89135757.319999993</v>
      </c>
      <c r="BS73" s="656">
        <v>88076318.189999998</v>
      </c>
      <c r="BT73" s="1828">
        <f>IF(BS28+BS29+BS30+BS31+BS32+BS33+BS43+BS44+BS67+BS68+BS41+BS42=0,10,"行业水平得分")</f>
        <v>10</v>
      </c>
      <c r="BU73" s="1425"/>
      <c r="BV73" s="323">
        <f t="shared" ref="BV73:BV75" si="79">IF(AND(BP73=0,BS73&lt;&gt;0),1,IF(AND(BP73=0,BS73=0),0,BS73/BP73-1))</f>
        <v>-1.1885680470482551E-2</v>
      </c>
      <c r="BW73" s="510"/>
      <c r="BX73" s="656">
        <v>325747164.19999999</v>
      </c>
      <c r="BY73" s="1827" t="str">
        <f>IF(BX28+BX29+BX30+BX31+BX32+BX33+BX43+BX44+BX67+BX68+BX41+BX42=0,10,"行业水平得分")</f>
        <v>行业水平得分</v>
      </c>
      <c r="BZ73" s="1696">
        <v>325747164.19999999</v>
      </c>
      <c r="CA73" s="656">
        <v>344221917.25000006</v>
      </c>
      <c r="CB73" s="1827" t="str">
        <f>IF(CA28+CA29+CA30+CA31+CA32+CA33+CA43+CA44+CA67+CA68+CA41+CA42=0,10,"行业水平得分")</f>
        <v>行业水平得分</v>
      </c>
      <c r="CC73" s="1422"/>
      <c r="CD73" s="323">
        <f t="shared" ref="CD73:CD75" si="80">IF(AND(BX73=0,CA73&lt;&gt;0),1,IF(AND(BX73=0,CA73=0),0,CA73/BX73-1))</f>
        <v>5.6715008081105189E-2</v>
      </c>
      <c r="CE73" s="510"/>
      <c r="CF73" s="656">
        <v>79523892.569999993</v>
      </c>
      <c r="CG73" s="1828">
        <f>IF(CF28+CF29+CF30+CF31+CF32+CF33+CF43+CF44+CF67+CF68+CF41+CF42=0,10,"行业水平得分")</f>
        <v>10</v>
      </c>
      <c r="CH73" s="1697">
        <v>79523892.569999993</v>
      </c>
      <c r="CI73" s="656">
        <v>81146683.63000001</v>
      </c>
      <c r="CJ73" s="1828">
        <f>IF(CI28+CI29+CI30+CI31+CI32+CI33+CI43+CI44+CI67+CI68+CI41+CI42=0,10,"行业水平得分")</f>
        <v>10</v>
      </c>
      <c r="CK73" s="1425"/>
      <c r="CL73" s="323">
        <f t="shared" ref="CL73:CL75" si="81">IF(AND(CF73=0,CI73&lt;&gt;0),1,IF(AND(CF73=0,CI73=0),0,CI73/CF73-1))</f>
        <v>2.040633333650721E-2</v>
      </c>
      <c r="CM73" s="510"/>
      <c r="CN73" s="656">
        <v>116665738.97000001</v>
      </c>
      <c r="CO73" s="1827" t="str">
        <f>IF(CN28+CN29+CN30+CN31+CN32+CN33+CN43+CN44+CN67+CN68+CN41+CN42=0,10,"行业水平得分")</f>
        <v>行业水平得分</v>
      </c>
      <c r="CP73" s="1696">
        <v>116665738.97</v>
      </c>
      <c r="CQ73" s="656">
        <v>122412912.26999998</v>
      </c>
      <c r="CR73" s="1827" t="str">
        <f>IF(CQ28+CQ29+CQ30+CQ31+CQ32+CQ33+CQ43+CQ44+CQ67+CQ68+CQ41+CQ42=0,10,"行业水平得分")</f>
        <v>行业水平得分</v>
      </c>
      <c r="CS73" s="1422"/>
      <c r="CT73" s="323">
        <f>IF(AND(CN73=0,CQ73&lt;&gt;0),1,IF(AND(CN73=0,CQ73=0),0,CQ73/CN73-1))</f>
        <v>4.9261877143535804E-2</v>
      </c>
      <c r="CU73" s="315"/>
      <c r="CX73" s="521"/>
      <c r="CY73" s="521">
        <v>1</v>
      </c>
      <c r="CZ73" s="523">
        <v>9</v>
      </c>
      <c r="DA73" s="521">
        <v>1</v>
      </c>
      <c r="DB73" s="523">
        <v>5</v>
      </c>
      <c r="DC73" s="521">
        <v>1</v>
      </c>
      <c r="DD73" s="523">
        <v>10</v>
      </c>
      <c r="DE73" s="521">
        <v>1</v>
      </c>
      <c r="DF73" s="523">
        <v>9</v>
      </c>
      <c r="DG73" s="521">
        <v>1</v>
      </c>
      <c r="DH73" s="523">
        <v>9</v>
      </c>
      <c r="DI73" s="521">
        <v>1</v>
      </c>
      <c r="DJ73" s="523">
        <v>10</v>
      </c>
      <c r="DK73" s="521">
        <v>0</v>
      </c>
      <c r="DL73" s="522">
        <v>0</v>
      </c>
      <c r="DM73" s="521">
        <f t="shared" si="72"/>
        <v>58</v>
      </c>
      <c r="DN73" s="313"/>
      <c r="DO73" s="313"/>
      <c r="DP73" s="313"/>
      <c r="DQ73" s="313"/>
      <c r="DR73" s="313"/>
      <c r="DS73" s="313"/>
      <c r="DT73" s="313"/>
      <c r="DU73" s="313"/>
      <c r="DV73" s="313"/>
      <c r="DW73" s="313"/>
    </row>
    <row r="74" spans="1:127" s="2" customFormat="1" ht="14.25">
      <c r="A74" s="1839"/>
      <c r="B74" s="1846"/>
      <c r="C74" s="23">
        <v>36</v>
      </c>
      <c r="D74" s="329" t="s">
        <v>1298</v>
      </c>
      <c r="E74" s="482" t="s">
        <v>256</v>
      </c>
      <c r="F74" s="612"/>
      <c r="G74" s="1848"/>
      <c r="H74" s="1870"/>
      <c r="I74" s="1849"/>
      <c r="J74" s="645">
        <f>AVERAGE(CN74,CF74,BX74,BP74,BH74,AZ74,AR74,AJ74,AB74,T74)</f>
        <v>14550880.921</v>
      </c>
      <c r="K74" s="651"/>
      <c r="L74" s="645">
        <f>AVERAGE(CQ74,CI74,CA74,BS74,BK74,BC74,AU74,AM74,AE74,W74)</f>
        <v>16658020.476</v>
      </c>
      <c r="M74" s="1836"/>
      <c r="N74" s="1815"/>
      <c r="O74" s="1818"/>
      <c r="P74" s="1818"/>
      <c r="Q74" s="1821"/>
      <c r="R74" s="1824"/>
      <c r="S74" s="510"/>
      <c r="T74" s="338">
        <v>5135200</v>
      </c>
      <c r="U74" s="1828"/>
      <c r="V74" s="1697">
        <v>5135200</v>
      </c>
      <c r="W74" s="338">
        <v>5077700</v>
      </c>
      <c r="X74" s="338"/>
      <c r="Y74" s="1827"/>
      <c r="Z74" s="323">
        <f>IF(AND(T74=0,W74&lt;&gt;0),1,IF(AND(T74=0,W74=0),0,W74/T74-1))</f>
        <v>-1.1197226982396002E-2</v>
      </c>
      <c r="AA74" s="510"/>
      <c r="AB74" s="642">
        <v>30100846.810000002</v>
      </c>
      <c r="AC74" s="1828"/>
      <c r="AD74" s="1697">
        <v>30100846.809999999</v>
      </c>
      <c r="AE74" s="642">
        <v>33056085.510000002</v>
      </c>
      <c r="AF74" s="642"/>
      <c r="AG74" s="1827"/>
      <c r="AH74" s="323">
        <f t="shared" si="76"/>
        <v>9.8177925646205422E-2</v>
      </c>
      <c r="AI74" s="510"/>
      <c r="AJ74" s="1699">
        <v>32649400</v>
      </c>
      <c r="AK74" s="1828"/>
      <c r="AL74" s="1697">
        <v>32649400</v>
      </c>
      <c r="AM74" s="338">
        <v>31917500</v>
      </c>
      <c r="AN74" s="1827"/>
      <c r="AO74" s="1422"/>
      <c r="AP74" s="323">
        <f>IF(AND(AJ74=0,AM74&lt;&gt;0),1,IF(AND(AJ74=0,AM74=0),0,AM74/AJ74-1))</f>
        <v>-2.2416951000630903E-2</v>
      </c>
      <c r="AQ74" s="510"/>
      <c r="AR74" s="338">
        <v>20000</v>
      </c>
      <c r="AS74" s="1828"/>
      <c r="AT74" s="1697">
        <v>20000</v>
      </c>
      <c r="AU74" s="338">
        <v>20000</v>
      </c>
      <c r="AV74" s="1833"/>
      <c r="AW74" s="1427"/>
      <c r="AX74" s="323">
        <f>IF(AND(AR74=0,AU74&lt;&gt;0),1,IF(AND(AR74=0,AU74=0),0,AU74/AR74-1))</f>
        <v>0</v>
      </c>
      <c r="AY74" s="510"/>
      <c r="AZ74" s="656">
        <v>45303469</v>
      </c>
      <c r="BA74" s="1827"/>
      <c r="BB74" s="1696">
        <v>45303469</v>
      </c>
      <c r="BC74" s="656">
        <v>66620469.450000003</v>
      </c>
      <c r="BD74" s="1827"/>
      <c r="BE74" s="1422"/>
      <c r="BF74" s="323">
        <f t="shared" si="77"/>
        <v>0.47053792834275021</v>
      </c>
      <c r="BG74" s="510"/>
      <c r="BH74" s="656">
        <v>14569700</v>
      </c>
      <c r="BI74" s="1827"/>
      <c r="BJ74" s="1696">
        <v>14569700</v>
      </c>
      <c r="BK74" s="656">
        <v>14431200</v>
      </c>
      <c r="BL74" s="1827"/>
      <c r="BM74" s="1422"/>
      <c r="BN74" s="323">
        <f t="shared" si="78"/>
        <v>-9.5060296368491004E-3</v>
      </c>
      <c r="BO74" s="510"/>
      <c r="BP74" s="656">
        <v>8202430</v>
      </c>
      <c r="BQ74" s="1828"/>
      <c r="BR74" s="1697">
        <v>8202430</v>
      </c>
      <c r="BS74" s="656">
        <v>7793430</v>
      </c>
      <c r="BT74" s="1828"/>
      <c r="BU74" s="1425"/>
      <c r="BV74" s="323">
        <f t="shared" si="79"/>
        <v>-4.9863272225425859E-2</v>
      </c>
      <c r="BW74" s="510"/>
      <c r="BX74" s="656">
        <v>4586963.4000000004</v>
      </c>
      <c r="BY74" s="1827"/>
      <c r="BZ74" s="1696">
        <v>4586963.4000000004</v>
      </c>
      <c r="CA74" s="656">
        <v>2582819.7999999998</v>
      </c>
      <c r="CB74" s="1827"/>
      <c r="CC74" s="1422"/>
      <c r="CD74" s="323">
        <f t="shared" si="80"/>
        <v>-0.43692164624640351</v>
      </c>
      <c r="CE74" s="510"/>
      <c r="CF74" s="656">
        <v>87900</v>
      </c>
      <c r="CG74" s="1828"/>
      <c r="CH74" s="1697">
        <v>87900</v>
      </c>
      <c r="CI74" s="656">
        <v>87900</v>
      </c>
      <c r="CJ74" s="1828"/>
      <c r="CK74" s="1425"/>
      <c r="CL74" s="323">
        <f t="shared" si="81"/>
        <v>0</v>
      </c>
      <c r="CM74" s="510"/>
      <c r="CN74" s="656">
        <v>4852900</v>
      </c>
      <c r="CO74" s="1827"/>
      <c r="CP74" s="1696">
        <v>4852900</v>
      </c>
      <c r="CQ74" s="656">
        <v>4993100</v>
      </c>
      <c r="CR74" s="1827"/>
      <c r="CS74" s="1422"/>
      <c r="CT74" s="323">
        <f>IF(AND(CN74=0,CQ74&lt;&gt;0),1,IF(AND(CN74=0,CQ74=0),0,CQ74/CN74-1))</f>
        <v>2.8889942096478327E-2</v>
      </c>
      <c r="CU74" s="315"/>
      <c r="CX74" s="521"/>
      <c r="CY74" s="521"/>
      <c r="CZ74" s="522"/>
      <c r="DA74" s="521"/>
      <c r="DB74" s="522"/>
      <c r="DC74" s="521"/>
      <c r="DD74" s="522"/>
      <c r="DE74" s="521"/>
      <c r="DF74" s="522"/>
      <c r="DG74" s="521"/>
      <c r="DH74" s="522"/>
      <c r="DI74" s="521"/>
      <c r="DJ74" s="499"/>
      <c r="DK74" s="521"/>
      <c r="DL74" s="522"/>
      <c r="DM74" s="521"/>
      <c r="DN74" s="313"/>
      <c r="DO74" s="313"/>
      <c r="DP74" s="313"/>
      <c r="DQ74" s="313"/>
      <c r="DR74" s="313"/>
      <c r="DS74" s="313"/>
      <c r="DT74" s="313"/>
      <c r="DU74" s="313"/>
      <c r="DV74" s="313"/>
      <c r="DW74" s="313"/>
    </row>
    <row r="75" spans="1:127" s="2" customFormat="1" ht="14.25">
      <c r="A75" s="1839"/>
      <c r="B75" s="1847"/>
      <c r="C75" s="23">
        <v>37</v>
      </c>
      <c r="D75" s="329" t="s">
        <v>1982</v>
      </c>
      <c r="E75" s="482" t="s">
        <v>256</v>
      </c>
      <c r="F75" s="612"/>
      <c r="G75" s="1848"/>
      <c r="H75" s="1871"/>
      <c r="I75" s="1849"/>
      <c r="J75" s="645">
        <f>AVERAGE(CN75,CF75,BX75,BP75,BH75,AZ75,AR75,AJ75,AB75,T75)</f>
        <v>266054.41000000003</v>
      </c>
      <c r="K75" s="651"/>
      <c r="L75" s="645">
        <f>AVERAGE(CQ75,CI75,CA75,BS75,BK75,BC75,AU75,AM75,AE75,W75)</f>
        <v>306377.79000000004</v>
      </c>
      <c r="M75" s="1837"/>
      <c r="N75" s="1816"/>
      <c r="O75" s="1819"/>
      <c r="P75" s="1819"/>
      <c r="Q75" s="1822"/>
      <c r="R75" s="1825"/>
      <c r="S75" s="510"/>
      <c r="T75" s="338">
        <v>0</v>
      </c>
      <c r="U75" s="1828"/>
      <c r="V75" s="1445">
        <v>0</v>
      </c>
      <c r="W75" s="338">
        <v>0</v>
      </c>
      <c r="X75" s="338"/>
      <c r="Y75" s="1827"/>
      <c r="Z75" s="323">
        <f>IF(AND(T75=0,W75&lt;&gt;0),1,IF(AND(T75=0,W75=0),0,W75/T75-1))</f>
        <v>0</v>
      </c>
      <c r="AA75" s="510"/>
      <c r="AB75" s="642">
        <v>277945.40000000002</v>
      </c>
      <c r="AC75" s="1828"/>
      <c r="AD75" s="642">
        <v>277945.40000000002</v>
      </c>
      <c r="AE75" s="642">
        <v>317629.2</v>
      </c>
      <c r="AF75" s="642"/>
      <c r="AG75" s="1827"/>
      <c r="AH75" s="323">
        <f t="shared" si="76"/>
        <v>0.1427755235380761</v>
      </c>
      <c r="AI75" s="510"/>
      <c r="AJ75" s="1699">
        <v>770079.10000000009</v>
      </c>
      <c r="AK75" s="1828"/>
      <c r="AL75" s="1697">
        <v>770079.1</v>
      </c>
      <c r="AM75" s="338">
        <v>974724.70000000007</v>
      </c>
      <c r="AN75" s="1827"/>
      <c r="AO75" s="1422"/>
      <c r="AP75" s="323">
        <f>IF(AND(AJ75=0,AM75&lt;&gt;0),1,IF(AND(AJ75=0,AM75=0),0,AM75/AJ75-1))</f>
        <v>0.26574620711041241</v>
      </c>
      <c r="AQ75" s="510"/>
      <c r="AR75" s="338">
        <v>12900</v>
      </c>
      <c r="AS75" s="1828"/>
      <c r="AT75" s="1697">
        <v>12900</v>
      </c>
      <c r="AU75" s="338">
        <v>12900</v>
      </c>
      <c r="AV75" s="1834"/>
      <c r="AW75" s="1428"/>
      <c r="AX75" s="323">
        <f>IF(AND(AR75=0,AU75&lt;&gt;0),1,IF(AND(AR75=0,AU75=0),0,AU75/AR75-1))</f>
        <v>0</v>
      </c>
      <c r="AY75" s="510"/>
      <c r="AZ75" s="656">
        <v>939089.6</v>
      </c>
      <c r="BA75" s="1827"/>
      <c r="BB75" s="1696">
        <v>939089.6</v>
      </c>
      <c r="BC75" s="656">
        <v>1000993.7</v>
      </c>
      <c r="BD75" s="1827"/>
      <c r="BE75" s="1422"/>
      <c r="BF75" s="323">
        <f t="shared" si="77"/>
        <v>6.5919269045253914E-2</v>
      </c>
      <c r="BG75" s="510"/>
      <c r="BH75" s="656">
        <v>224088.5</v>
      </c>
      <c r="BI75" s="1827"/>
      <c r="BJ75" s="1696">
        <v>224088.5</v>
      </c>
      <c r="BK75" s="656">
        <v>259475.60000000003</v>
      </c>
      <c r="BL75" s="1827"/>
      <c r="BM75" s="1422"/>
      <c r="BN75" s="323">
        <f t="shared" si="78"/>
        <v>0.15791573418537785</v>
      </c>
      <c r="BO75" s="510"/>
      <c r="BP75" s="656">
        <v>1006</v>
      </c>
      <c r="BQ75" s="1828"/>
      <c r="BR75" s="1697">
        <v>1006</v>
      </c>
      <c r="BS75" s="656">
        <v>1006</v>
      </c>
      <c r="BT75" s="1828"/>
      <c r="BU75" s="1425"/>
      <c r="BV75" s="323">
        <f t="shared" si="79"/>
        <v>0</v>
      </c>
      <c r="BW75" s="510"/>
      <c r="BX75" s="656">
        <v>141159.5</v>
      </c>
      <c r="BY75" s="1827"/>
      <c r="BZ75" s="1696">
        <v>141159.5</v>
      </c>
      <c r="CA75" s="656">
        <v>204178.8</v>
      </c>
      <c r="CB75" s="1827"/>
      <c r="CC75" s="1422"/>
      <c r="CD75" s="323">
        <f t="shared" si="80"/>
        <v>0.44644037418664695</v>
      </c>
      <c r="CE75" s="510"/>
      <c r="CF75" s="656">
        <v>292264</v>
      </c>
      <c r="CG75" s="1828"/>
      <c r="CH75" s="1697">
        <v>292264</v>
      </c>
      <c r="CI75" s="656">
        <v>290857.90000000002</v>
      </c>
      <c r="CJ75" s="1828"/>
      <c r="CK75" s="1425"/>
      <c r="CL75" s="323">
        <f t="shared" si="81"/>
        <v>-4.811061232310454E-3</v>
      </c>
      <c r="CM75" s="510"/>
      <c r="CN75" s="656">
        <v>2012</v>
      </c>
      <c r="CO75" s="1827"/>
      <c r="CP75" s="656">
        <v>2012</v>
      </c>
      <c r="CQ75" s="656">
        <v>2012</v>
      </c>
      <c r="CR75" s="1827"/>
      <c r="CS75" s="1422"/>
      <c r="CT75" s="323">
        <f>IF(AND(CN75=0,CQ75&lt;&gt;0),1,IF(AND(CN75=0,CQ75=0),0,CQ75/CN75-1))</f>
        <v>0</v>
      </c>
      <c r="CU75" s="315"/>
      <c r="CX75" s="521"/>
      <c r="CY75" s="521"/>
      <c r="CZ75" s="522"/>
      <c r="DA75" s="521"/>
      <c r="DB75" s="522"/>
      <c r="DC75" s="521"/>
      <c r="DD75" s="522"/>
      <c r="DE75" s="521"/>
      <c r="DF75" s="522"/>
      <c r="DG75" s="521"/>
      <c r="DH75" s="522"/>
      <c r="DI75" s="521"/>
      <c r="DJ75" s="522"/>
      <c r="DK75" s="521"/>
      <c r="DL75" s="522"/>
      <c r="DM75" s="521"/>
      <c r="DN75" s="313"/>
      <c r="DO75" s="313"/>
      <c r="DP75" s="313"/>
      <c r="DQ75" s="313"/>
      <c r="DR75" s="313"/>
      <c r="DS75" s="313"/>
      <c r="DT75" s="313"/>
      <c r="DU75" s="313"/>
      <c r="DV75" s="313"/>
      <c r="DW75" s="313"/>
    </row>
    <row r="76" spans="1:127" s="267" customFormat="1" ht="14.25">
      <c r="A76" s="394"/>
      <c r="B76" s="394"/>
      <c r="C76" s="548"/>
      <c r="D76" s="547" t="s">
        <v>1786</v>
      </c>
      <c r="E76" s="549"/>
      <c r="F76" s="636"/>
      <c r="G76" s="636"/>
      <c r="H76" s="637"/>
      <c r="I76" s="534">
        <f>SUM(I4:I75)</f>
        <v>90</v>
      </c>
      <c r="J76" s="649"/>
      <c r="K76" s="343"/>
      <c r="L76" s="649"/>
      <c r="M76" s="343"/>
      <c r="N76" s="502"/>
      <c r="O76" s="528">
        <f>SUM(O4:O75)</f>
        <v>16.478207171717585</v>
      </c>
      <c r="P76" s="528">
        <f>O76*0.7</f>
        <v>11.534745020202308</v>
      </c>
      <c r="Q76" s="528">
        <f>P76/9</f>
        <v>1.2816383355780343</v>
      </c>
      <c r="R76" s="528">
        <f t="shared" si="75"/>
        <v>0.64081916778901715</v>
      </c>
      <c r="S76" s="510"/>
      <c r="T76" s="649"/>
      <c r="U76" s="343">
        <f>SUM(U4:U75)</f>
        <v>77.63636363636364</v>
      </c>
      <c r="V76" s="343"/>
      <c r="W76" s="649"/>
      <c r="X76" s="649"/>
      <c r="Y76" s="343">
        <f>SUM(Y4:Y75)</f>
        <v>77.400000000000006</v>
      </c>
      <c r="Z76" s="343"/>
      <c r="AA76" s="510"/>
      <c r="AB76" s="649"/>
      <c r="AC76" s="343">
        <f>SUM(AC4:AC75)</f>
        <v>73.871681415929203</v>
      </c>
      <c r="AD76" s="343"/>
      <c r="AE76" s="649"/>
      <c r="AF76" s="649"/>
      <c r="AG76" s="343">
        <f>SUM(AG4:AG75)</f>
        <v>73.948844884488452</v>
      </c>
      <c r="AH76" s="343"/>
      <c r="AI76" s="343"/>
      <c r="AJ76" s="649"/>
      <c r="AK76" s="343">
        <f>SUM(AK4:AK75)</f>
        <v>76.201986754966896</v>
      </c>
      <c r="AL76" s="343"/>
      <c r="AM76" s="649"/>
      <c r="AN76" s="343">
        <f>SUM(AN4:AN75)</f>
        <v>76.483221476510067</v>
      </c>
      <c r="AO76" s="343"/>
      <c r="AP76" s="343"/>
      <c r="AQ76" s="343"/>
      <c r="AR76" s="649"/>
      <c r="AS76" s="343">
        <f>SUM(AS4:AS75)</f>
        <v>74.009090909090901</v>
      </c>
      <c r="AT76" s="343"/>
      <c r="AU76" s="649"/>
      <c r="AV76" s="343">
        <f>SUM(AV4:AV75)</f>
        <v>70.836283185840699</v>
      </c>
      <c r="AW76" s="343"/>
      <c r="AX76" s="343"/>
      <c r="AY76" s="343"/>
      <c r="AZ76" s="649"/>
      <c r="BA76" s="343">
        <f>SUM(BA4:BA75)</f>
        <v>74.92307692307692</v>
      </c>
      <c r="BB76" s="343"/>
      <c r="BC76" s="649"/>
      <c r="BD76" s="343">
        <f>SUM(BD4:BD75)</f>
        <v>75.763440860215056</v>
      </c>
      <c r="BE76" s="343"/>
      <c r="BF76" s="343"/>
      <c r="BG76" s="343"/>
      <c r="BH76" s="649"/>
      <c r="BI76" s="343">
        <f>SUM(BI4:BI75)</f>
        <v>71.353932584269671</v>
      </c>
      <c r="BJ76" s="343"/>
      <c r="BK76" s="649"/>
      <c r="BL76" s="343">
        <f>SUM(BL4:BL75)</f>
        <v>71.006912442396313</v>
      </c>
      <c r="BM76" s="343"/>
      <c r="BN76" s="343"/>
      <c r="BO76" s="343"/>
      <c r="BP76" s="343"/>
      <c r="BQ76" s="343">
        <f>SUM(BQ4:BQ75)</f>
        <v>82.924778761061944</v>
      </c>
      <c r="BR76" s="343"/>
      <c r="BS76" s="649"/>
      <c r="BT76" s="343">
        <f>SUM(BT4:BT75)</f>
        <v>80.95</v>
      </c>
      <c r="BU76" s="343"/>
      <c r="BV76" s="343"/>
      <c r="BW76" s="343"/>
      <c r="BX76" s="343"/>
      <c r="BY76" s="343">
        <f>SUM(BY4:BY75)</f>
        <v>76.026785714285722</v>
      </c>
      <c r="BZ76" s="343"/>
      <c r="CA76" s="649"/>
      <c r="CB76" s="343">
        <f>SUM(CB4:CB75)</f>
        <v>71.592592592592595</v>
      </c>
      <c r="CC76" s="343"/>
      <c r="CD76" s="343"/>
      <c r="CE76" s="343"/>
      <c r="CF76" s="343"/>
      <c r="CG76" s="343">
        <f>SUM(CG4:CG75)</f>
        <v>81.439759036144579</v>
      </c>
      <c r="CH76" s="343"/>
      <c r="CI76" s="343"/>
      <c r="CJ76" s="343">
        <f>SUM(CJ4:CJ75)</f>
        <v>82.313868613138681</v>
      </c>
      <c r="CK76" s="343"/>
      <c r="CL76" s="343"/>
      <c r="CM76" s="343"/>
      <c r="CN76" s="343"/>
      <c r="CO76" s="343">
        <f>SUM(CO4:CO75)</f>
        <v>76.441176470588232</v>
      </c>
      <c r="CP76" s="343"/>
      <c r="CQ76" s="343"/>
      <c r="CR76" s="343">
        <f>SUM(CR4:CR75)</f>
        <v>74.922764227642276</v>
      </c>
      <c r="CS76" s="343"/>
      <c r="CT76" s="343"/>
      <c r="CU76" s="344"/>
      <c r="CX76" s="521"/>
      <c r="CY76" s="524"/>
      <c r="CZ76" s="525"/>
      <c r="DA76" s="524"/>
      <c r="DB76" s="525"/>
      <c r="DC76" s="524"/>
      <c r="DD76" s="525"/>
      <c r="DE76" s="524"/>
      <c r="DF76" s="525"/>
      <c r="DG76" s="524"/>
      <c r="DH76" s="525"/>
      <c r="DI76" s="524"/>
      <c r="DJ76" s="525"/>
      <c r="DK76" s="524"/>
      <c r="DL76" s="525"/>
      <c r="DM76" s="521"/>
      <c r="DN76" s="345"/>
      <c r="DO76" s="345"/>
      <c r="DP76" s="345"/>
      <c r="DQ76" s="345"/>
      <c r="DR76" s="345"/>
      <c r="DS76" s="345"/>
      <c r="DT76" s="345"/>
      <c r="DU76" s="345"/>
      <c r="DV76" s="345"/>
      <c r="DW76" s="345"/>
    </row>
    <row r="77" spans="1:127" s="2" customFormat="1" ht="14.25">
      <c r="A77" s="347"/>
      <c r="B77" s="347"/>
      <c r="C77" s="268"/>
      <c r="D77" s="539" t="s">
        <v>1787</v>
      </c>
      <c r="E77" s="347"/>
      <c r="F77" s="349"/>
      <c r="G77" s="349"/>
      <c r="H77" s="348"/>
      <c r="I77" s="611">
        <v>80</v>
      </c>
      <c r="J77" s="348"/>
      <c r="K77" s="349"/>
      <c r="L77" s="348"/>
      <c r="M77" s="690">
        <f>SUM(M4:M72)</f>
        <v>73.521792828282429</v>
      </c>
      <c r="O77" s="828">
        <f>SUM(O4:O72)</f>
        <v>6.4782071717175853</v>
      </c>
      <c r="P77" s="528">
        <f t="shared" ref="P77" si="82">O77*0.7</f>
        <v>4.5347450202023092</v>
      </c>
      <c r="Q77" s="528">
        <f t="shared" ref="Q77" si="83">P77/9</f>
        <v>0.50386055780025663</v>
      </c>
      <c r="R77" s="528">
        <f t="shared" si="75"/>
        <v>0.25193027890012831</v>
      </c>
      <c r="S77" s="1043" t="s">
        <v>1788</v>
      </c>
      <c r="T77" s="348"/>
      <c r="U77" s="349"/>
      <c r="V77" s="349"/>
      <c r="W77" s="348"/>
      <c r="X77" s="348"/>
      <c r="Y77" s="370"/>
      <c r="Z77" s="350"/>
      <c r="AA77" s="350"/>
      <c r="AB77" s="654"/>
      <c r="AC77" s="372"/>
      <c r="AD77" s="372"/>
      <c r="AE77" s="654"/>
      <c r="AF77" s="654"/>
      <c r="AG77" s="372"/>
      <c r="AH77" s="351"/>
      <c r="AI77" s="351"/>
      <c r="AJ77" s="348"/>
      <c r="AK77" s="370"/>
      <c r="AL77" s="370"/>
      <c r="AM77" s="348"/>
      <c r="AN77" s="370"/>
      <c r="AO77" s="370"/>
      <c r="AP77" s="350"/>
      <c r="AQ77" s="350"/>
      <c r="AR77" s="654"/>
      <c r="AS77" s="372"/>
      <c r="AT77" s="372"/>
      <c r="AU77" s="654"/>
      <c r="AV77" s="372"/>
      <c r="AW77" s="372"/>
      <c r="AX77" s="351"/>
      <c r="AY77" s="351"/>
      <c r="AZ77" s="348"/>
      <c r="BA77" s="370"/>
      <c r="BB77" s="370"/>
      <c r="BC77" s="348"/>
      <c r="BD77" s="370"/>
      <c r="BE77" s="370"/>
      <c r="BF77" s="350"/>
      <c r="BG77" s="350"/>
      <c r="BH77" s="654"/>
      <c r="BI77" s="372"/>
      <c r="BJ77" s="372"/>
      <c r="BK77" s="654"/>
      <c r="BL77" s="372"/>
      <c r="BM77" s="372"/>
      <c r="BN77" s="351"/>
      <c r="BO77" s="351"/>
      <c r="BP77" s="313"/>
      <c r="BQ77" s="370"/>
      <c r="BR77" s="370"/>
      <c r="BS77" s="348"/>
      <c r="BT77" s="370"/>
      <c r="BU77" s="370"/>
      <c r="BV77" s="350"/>
      <c r="BW77" s="350"/>
      <c r="BX77" s="315"/>
      <c r="BY77" s="372"/>
      <c r="BZ77" s="372"/>
      <c r="CA77" s="654"/>
      <c r="CB77" s="372"/>
      <c r="CC77" s="372"/>
      <c r="CD77" s="351"/>
      <c r="CE77" s="351"/>
      <c r="CF77" s="313"/>
      <c r="CG77" s="370"/>
      <c r="CH77" s="370"/>
      <c r="CI77" s="313"/>
      <c r="CJ77" s="370"/>
      <c r="CK77" s="370"/>
      <c r="CL77" s="350"/>
      <c r="CM77" s="350"/>
      <c r="CN77" s="315"/>
      <c r="CO77" s="372"/>
      <c r="CP77" s="372"/>
      <c r="CQ77" s="315"/>
      <c r="CR77" s="372"/>
      <c r="CS77" s="372"/>
      <c r="CT77" s="351"/>
      <c r="CU77" s="315"/>
      <c r="CV77" s="315"/>
      <c r="CW77" s="313"/>
      <c r="CX77" s="516"/>
      <c r="CY77" s="516"/>
      <c r="CZ77" s="517"/>
      <c r="DA77" s="516"/>
      <c r="DB77" s="517"/>
      <c r="DC77" s="516"/>
      <c r="DD77" s="517"/>
      <c r="DE77" s="516"/>
      <c r="DF77" s="517"/>
      <c r="DG77" s="516"/>
      <c r="DH77" s="517"/>
      <c r="DI77" s="516"/>
      <c r="DJ77" s="517"/>
      <c r="DK77" s="516"/>
      <c r="DL77" s="517"/>
      <c r="DM77" s="516"/>
      <c r="DN77" s="313"/>
      <c r="DO77" s="313"/>
      <c r="DP77" s="313"/>
      <c r="DQ77" s="313"/>
      <c r="DR77" s="313"/>
      <c r="DS77" s="313"/>
      <c r="DT77" s="313"/>
      <c r="DU77" s="313"/>
      <c r="DV77" s="313"/>
      <c r="DW77" s="313"/>
    </row>
    <row r="78" spans="1:127" s="2" customFormat="1" ht="14.25">
      <c r="A78" s="347"/>
      <c r="B78" s="347"/>
      <c r="C78" s="268"/>
      <c r="D78" s="539" t="s">
        <v>1789</v>
      </c>
      <c r="F78" s="349"/>
      <c r="G78" s="349"/>
      <c r="H78" s="313"/>
      <c r="I78" s="611">
        <v>10</v>
      </c>
      <c r="J78" s="419"/>
      <c r="K78" s="369"/>
      <c r="L78" s="419"/>
      <c r="M78" s="691">
        <f>M73</f>
        <v>0</v>
      </c>
      <c r="O78" s="828"/>
      <c r="P78" s="528"/>
      <c r="Q78" s="528"/>
      <c r="R78" s="1048"/>
      <c r="S78" s="1044"/>
      <c r="T78" s="348"/>
      <c r="U78" s="349"/>
      <c r="V78" s="349"/>
      <c r="W78" s="348"/>
      <c r="X78" s="348"/>
      <c r="Y78" s="349"/>
      <c r="Z78" s="313"/>
      <c r="AA78" s="313"/>
      <c r="AB78" s="654"/>
      <c r="AC78" s="373"/>
      <c r="AD78" s="373"/>
      <c r="AE78" s="654"/>
      <c r="AF78" s="654"/>
      <c r="AG78" s="373"/>
      <c r="AH78" s="315"/>
      <c r="AI78" s="315"/>
      <c r="AJ78" s="348"/>
      <c r="AK78" s="349"/>
      <c r="AL78" s="349"/>
      <c r="AM78" s="348"/>
      <c r="AN78" s="349"/>
      <c r="AO78" s="349"/>
      <c r="AP78" s="313"/>
      <c r="AQ78" s="313"/>
      <c r="AR78" s="654"/>
      <c r="AS78" s="373"/>
      <c r="AT78" s="373"/>
      <c r="AU78" s="654"/>
      <c r="AV78" s="373"/>
      <c r="AW78" s="373"/>
      <c r="AX78" s="315"/>
      <c r="AY78" s="315"/>
      <c r="AZ78" s="348"/>
      <c r="BA78" s="349"/>
      <c r="BB78" s="349"/>
      <c r="BC78" s="348"/>
      <c r="BD78" s="349"/>
      <c r="BE78" s="349"/>
      <c r="BF78" s="313"/>
      <c r="BG78" s="313"/>
      <c r="BH78" s="654"/>
      <c r="BI78" s="373"/>
      <c r="BJ78" s="373"/>
      <c r="BK78" s="654"/>
      <c r="BL78" s="373"/>
      <c r="BM78" s="373"/>
      <c r="BN78" s="315"/>
      <c r="BO78" s="315"/>
      <c r="BP78" s="313"/>
      <c r="BQ78" s="349"/>
      <c r="BR78" s="349"/>
      <c r="BS78" s="348"/>
      <c r="BT78" s="349"/>
      <c r="BU78" s="349"/>
      <c r="BV78" s="313"/>
      <c r="BW78" s="313"/>
      <c r="BX78" s="315"/>
      <c r="BY78" s="373"/>
      <c r="BZ78" s="373"/>
      <c r="CA78" s="654"/>
      <c r="CB78" s="373"/>
      <c r="CC78" s="373"/>
      <c r="CD78" s="315"/>
      <c r="CE78" s="315"/>
      <c r="CF78" s="313"/>
      <c r="CG78" s="349"/>
      <c r="CH78" s="349"/>
      <c r="CI78" s="313"/>
      <c r="CJ78" s="349"/>
      <c r="CK78" s="349"/>
      <c r="CL78" s="313"/>
      <c r="CM78" s="313"/>
      <c r="CN78" s="315"/>
      <c r="CO78" s="373"/>
      <c r="CP78" s="373"/>
      <c r="CQ78" s="315"/>
      <c r="CR78" s="373"/>
      <c r="CS78" s="373"/>
      <c r="CT78" s="315"/>
      <c r="CU78" s="315"/>
      <c r="CV78" s="315"/>
      <c r="CW78" s="313"/>
      <c r="CX78" s="516"/>
      <c r="CY78" s="516"/>
      <c r="CZ78" s="517"/>
      <c r="DA78" s="516"/>
      <c r="DB78" s="517"/>
      <c r="DC78" s="516"/>
      <c r="DD78" s="517"/>
      <c r="DE78" s="516"/>
      <c r="DF78" s="517"/>
      <c r="DG78" s="516"/>
      <c r="DH78" s="517"/>
      <c r="DI78" s="516"/>
      <c r="DJ78" s="517"/>
      <c r="DK78" s="516"/>
      <c r="DL78" s="517"/>
      <c r="DM78" s="516"/>
      <c r="DN78" s="313"/>
      <c r="DO78" s="313"/>
      <c r="DP78" s="313"/>
      <c r="DQ78" s="313"/>
      <c r="DR78" s="313"/>
      <c r="DS78" s="313"/>
      <c r="DT78" s="313"/>
      <c r="DU78" s="313"/>
      <c r="DV78" s="313"/>
      <c r="DW78" s="313"/>
    </row>
    <row r="79" spans="1:127" s="2" customFormat="1" ht="14.25">
      <c r="A79" s="347"/>
      <c r="B79" s="347"/>
      <c r="C79" s="268"/>
      <c r="D79" s="538" t="s">
        <v>1790</v>
      </c>
      <c r="F79" s="349"/>
      <c r="G79" s="349"/>
      <c r="H79" s="313"/>
      <c r="I79" s="352"/>
      <c r="J79" s="419"/>
      <c r="K79" s="369"/>
      <c r="L79" s="419"/>
      <c r="M79" s="352"/>
      <c r="N79" s="352"/>
      <c r="O79" s="529">
        <f t="shared" ref="O79:O84" si="84">AVERAGE(Y79,AG79,AN79,AV79,BD79,BL79,BT79,CB79,CJ79,CR79)</f>
        <v>75.521792828282415</v>
      </c>
      <c r="P79" s="529"/>
      <c r="Q79" s="529"/>
      <c r="R79" s="529"/>
      <c r="S79" s="429"/>
      <c r="T79" s="638"/>
      <c r="U79" s="530">
        <f>SUBTOTAL(9,U4:U75)</f>
        <v>77.63636363636364</v>
      </c>
      <c r="V79" s="530"/>
      <c r="W79" s="638"/>
      <c r="X79" s="638"/>
      <c r="Y79" s="530">
        <f>SUBTOTAL(9,Y4:Y75)</f>
        <v>77.400000000000006</v>
      </c>
      <c r="Z79" s="510"/>
      <c r="AA79" s="510"/>
      <c r="AB79" s="638"/>
      <c r="AC79" s="530">
        <f>SUBTOTAL(9,AC4:AC75)</f>
        <v>73.871681415929203</v>
      </c>
      <c r="AD79" s="530"/>
      <c r="AE79" s="638"/>
      <c r="AF79" s="638"/>
      <c r="AG79" s="531">
        <f>SUBTOTAL(9,AG4:AG75)</f>
        <v>73.948844884488452</v>
      </c>
      <c r="AH79" s="510"/>
      <c r="AI79" s="510"/>
      <c r="AJ79" s="638"/>
      <c r="AK79" s="530">
        <f>SUBTOTAL(9,AK4:AK75)</f>
        <v>76.201986754966896</v>
      </c>
      <c r="AL79" s="530"/>
      <c r="AM79" s="638"/>
      <c r="AN79" s="530">
        <f>SUBTOTAL(9,AN4:AN75)</f>
        <v>76.483221476510067</v>
      </c>
      <c r="AO79" s="530"/>
      <c r="AP79" s="510"/>
      <c r="AQ79" s="510"/>
      <c r="AR79" s="638"/>
      <c r="AS79" s="530">
        <f>SUBTOTAL(9,AS4:AS75)</f>
        <v>74.009090909090901</v>
      </c>
      <c r="AT79" s="530"/>
      <c r="AU79" s="638"/>
      <c r="AV79" s="531">
        <f>SUBTOTAL(9,AV4:AV75)</f>
        <v>70.836283185840699</v>
      </c>
      <c r="AW79" s="531"/>
      <c r="AX79" s="510"/>
      <c r="AY79" s="510"/>
      <c r="AZ79" s="638"/>
      <c r="BA79" s="530">
        <f>SUBTOTAL(9,BA4:BA75)</f>
        <v>74.92307692307692</v>
      </c>
      <c r="BB79" s="530"/>
      <c r="BC79" s="638"/>
      <c r="BD79" s="530">
        <f>SUBTOTAL(9,BD4:BD75)</f>
        <v>75.763440860215056</v>
      </c>
      <c r="BE79" s="530"/>
      <c r="BF79" s="510"/>
      <c r="BG79" s="510"/>
      <c r="BH79" s="638"/>
      <c r="BI79" s="530">
        <f>SUBTOTAL(9,BI4:BI75)</f>
        <v>71.353932584269671</v>
      </c>
      <c r="BJ79" s="530"/>
      <c r="BK79" s="638"/>
      <c r="BL79" s="531">
        <f>SUBTOTAL(9,BL4:BL75)</f>
        <v>71.006912442396313</v>
      </c>
      <c r="BM79" s="531"/>
      <c r="BN79" s="510"/>
      <c r="BO79" s="510"/>
      <c r="BP79" s="510"/>
      <c r="BQ79" s="530">
        <f>SUBTOTAL(9,BQ4:BQ75)</f>
        <v>82.924778761061944</v>
      </c>
      <c r="BR79" s="530"/>
      <c r="BS79" s="638"/>
      <c r="BT79" s="530">
        <f>SUBTOTAL(9,BT4:BT75)</f>
        <v>80.95</v>
      </c>
      <c r="BU79" s="530"/>
      <c r="BV79" s="510"/>
      <c r="BW79" s="510"/>
      <c r="BX79" s="510"/>
      <c r="BY79" s="530">
        <f>SUBTOTAL(9,BY4:BY75)</f>
        <v>76.026785714285722</v>
      </c>
      <c r="BZ79" s="530"/>
      <c r="CA79" s="638"/>
      <c r="CB79" s="531">
        <f>SUBTOTAL(9,CB4:CB75)</f>
        <v>71.592592592592595</v>
      </c>
      <c r="CC79" s="531"/>
      <c r="CD79" s="510"/>
      <c r="CE79" s="510"/>
      <c r="CF79" s="510"/>
      <c r="CG79" s="530">
        <f>SUBTOTAL(9,CG4:CG75)</f>
        <v>81.439759036144579</v>
      </c>
      <c r="CH79" s="530"/>
      <c r="CI79" s="510"/>
      <c r="CJ79" s="530">
        <f>SUBTOTAL(9,CJ4:CJ75)</f>
        <v>82.313868613138681</v>
      </c>
      <c r="CK79" s="530"/>
      <c r="CL79" s="510"/>
      <c r="CM79" s="510"/>
      <c r="CN79" s="510"/>
      <c r="CO79" s="531">
        <f>SUBTOTAL(9,CO4:CO75)</f>
        <v>76.441176470588232</v>
      </c>
      <c r="CP79" s="531"/>
      <c r="CQ79" s="510"/>
      <c r="CR79" s="531">
        <f>SUBTOTAL(9,CR4:CR75)</f>
        <v>74.922764227642276</v>
      </c>
      <c r="CS79" s="531"/>
      <c r="CT79" s="510"/>
      <c r="CU79" s="315"/>
      <c r="CV79" s="353"/>
      <c r="CW79" s="313"/>
      <c r="CX79" s="516"/>
      <c r="CY79" s="516"/>
      <c r="CZ79" s="517"/>
      <c r="DA79" s="516"/>
      <c r="DB79" s="517"/>
      <c r="DC79" s="516"/>
      <c r="DD79" s="517"/>
      <c r="DE79" s="516"/>
      <c r="DF79" s="517"/>
      <c r="DG79" s="516"/>
      <c r="DH79" s="517"/>
      <c r="DI79" s="516"/>
      <c r="DJ79" s="517"/>
      <c r="DK79" s="516"/>
      <c r="DL79" s="517"/>
      <c r="DM79" s="516"/>
      <c r="DN79" s="313"/>
      <c r="DO79" s="313"/>
      <c r="DP79" s="313"/>
      <c r="DQ79" s="313"/>
      <c r="DR79" s="313"/>
      <c r="DS79" s="313"/>
      <c r="DT79" s="313"/>
      <c r="DU79" s="313"/>
      <c r="DV79" s="313"/>
      <c r="DW79" s="313"/>
    </row>
    <row r="80" spans="1:127" s="431" customFormat="1" ht="14.25">
      <c r="A80" s="426"/>
      <c r="B80" s="426"/>
      <c r="C80" s="424"/>
      <c r="D80" s="535" t="s">
        <v>1791</v>
      </c>
      <c r="E80" s="426"/>
      <c r="F80" s="427"/>
      <c r="G80" s="427"/>
      <c r="H80" s="425"/>
      <c r="I80" s="428"/>
      <c r="J80" s="425"/>
      <c r="K80" s="652"/>
      <c r="L80" s="425"/>
      <c r="M80" s="428"/>
      <c r="N80" s="428"/>
      <c r="O80" s="529">
        <f t="shared" si="84"/>
        <v>73.521792828282415</v>
      </c>
      <c r="P80" s="529"/>
      <c r="Q80" s="529"/>
      <c r="R80" s="529"/>
      <c r="S80" s="313"/>
      <c r="T80" s="638"/>
      <c r="U80" s="526">
        <f>U79-U81</f>
        <v>77.63636363636364</v>
      </c>
      <c r="V80" s="526"/>
      <c r="W80" s="638"/>
      <c r="X80" s="638"/>
      <c r="Y80" s="526">
        <f>Y79-Y81</f>
        <v>77.400000000000006</v>
      </c>
      <c r="Z80" s="510"/>
      <c r="AA80" s="510"/>
      <c r="AB80" s="638"/>
      <c r="AC80" s="526">
        <f t="shared" ref="AC80:CR80" si="85">AC79-AC81</f>
        <v>73.871681415929203</v>
      </c>
      <c r="AD80" s="526"/>
      <c r="AE80" s="638"/>
      <c r="AF80" s="638"/>
      <c r="AG80" s="526">
        <f>AG79-AG81</f>
        <v>73.948844884488452</v>
      </c>
      <c r="AH80" s="510"/>
      <c r="AI80" s="510"/>
      <c r="AJ80" s="638"/>
      <c r="AK80" s="526">
        <f t="shared" si="85"/>
        <v>76.201986754966896</v>
      </c>
      <c r="AL80" s="526"/>
      <c r="AM80" s="638"/>
      <c r="AN80" s="526">
        <f t="shared" si="85"/>
        <v>76.483221476510067</v>
      </c>
      <c r="AO80" s="526"/>
      <c r="AP80" s="510"/>
      <c r="AQ80" s="510"/>
      <c r="AR80" s="638"/>
      <c r="AS80" s="526">
        <f t="shared" si="85"/>
        <v>74.009090909090901</v>
      </c>
      <c r="AT80" s="526"/>
      <c r="AU80" s="638"/>
      <c r="AV80" s="526">
        <f t="shared" si="85"/>
        <v>70.836283185840699</v>
      </c>
      <c r="AW80" s="526"/>
      <c r="AX80" s="510"/>
      <c r="AY80" s="510"/>
      <c r="AZ80" s="638"/>
      <c r="BA80" s="526">
        <f t="shared" si="85"/>
        <v>74.92307692307692</v>
      </c>
      <c r="BB80" s="526"/>
      <c r="BC80" s="638"/>
      <c r="BD80" s="526">
        <f t="shared" si="85"/>
        <v>75.763440860215056</v>
      </c>
      <c r="BE80" s="526"/>
      <c r="BF80" s="510"/>
      <c r="BG80" s="510"/>
      <c r="BH80" s="638"/>
      <c r="BI80" s="526">
        <f t="shared" si="85"/>
        <v>71.353932584269671</v>
      </c>
      <c r="BJ80" s="526"/>
      <c r="BK80" s="638"/>
      <c r="BL80" s="526">
        <f t="shared" si="85"/>
        <v>71.006912442396313</v>
      </c>
      <c r="BM80" s="526"/>
      <c r="BN80" s="510"/>
      <c r="BO80" s="510"/>
      <c r="BP80" s="510"/>
      <c r="BQ80" s="526">
        <f t="shared" si="85"/>
        <v>72.924778761061944</v>
      </c>
      <c r="BR80" s="526"/>
      <c r="BS80" s="638"/>
      <c r="BT80" s="526">
        <f t="shared" si="85"/>
        <v>70.95</v>
      </c>
      <c r="BU80" s="526"/>
      <c r="BV80" s="510"/>
      <c r="BW80" s="510"/>
      <c r="BX80" s="510"/>
      <c r="BY80" s="526">
        <f t="shared" si="85"/>
        <v>76.026785714285722</v>
      </c>
      <c r="BZ80" s="526"/>
      <c r="CA80" s="638"/>
      <c r="CB80" s="526">
        <f t="shared" si="85"/>
        <v>71.592592592592595</v>
      </c>
      <c r="CC80" s="526"/>
      <c r="CD80" s="510"/>
      <c r="CE80" s="510"/>
      <c r="CF80" s="510"/>
      <c r="CG80" s="526">
        <f t="shared" si="85"/>
        <v>71.439759036144579</v>
      </c>
      <c r="CH80" s="526"/>
      <c r="CI80" s="510"/>
      <c r="CJ80" s="526">
        <f t="shared" si="85"/>
        <v>72.313868613138681</v>
      </c>
      <c r="CK80" s="526"/>
      <c r="CL80" s="510"/>
      <c r="CM80" s="510"/>
      <c r="CN80" s="510"/>
      <c r="CO80" s="526">
        <f t="shared" si="85"/>
        <v>76.441176470588232</v>
      </c>
      <c r="CP80" s="526"/>
      <c r="CQ80" s="510"/>
      <c r="CR80" s="526">
        <f t="shared" si="85"/>
        <v>74.922764227642276</v>
      </c>
      <c r="CS80" s="526"/>
      <c r="CT80" s="510"/>
      <c r="CU80" s="430"/>
      <c r="CV80" s="430"/>
      <c r="CW80" s="428"/>
      <c r="CX80" s="516"/>
      <c r="CY80" s="518"/>
      <c r="CZ80" s="519"/>
      <c r="DA80" s="518"/>
      <c r="DB80" s="519"/>
      <c r="DC80" s="518"/>
      <c r="DD80" s="519"/>
      <c r="DE80" s="518"/>
      <c r="DF80" s="519"/>
      <c r="DG80" s="518"/>
      <c r="DH80" s="519"/>
      <c r="DI80" s="518"/>
      <c r="DJ80" s="519"/>
      <c r="DK80" s="518"/>
      <c r="DL80" s="519"/>
      <c r="DM80" s="516"/>
      <c r="DN80" s="428"/>
      <c r="DO80" s="428"/>
      <c r="DP80" s="428"/>
      <c r="DQ80" s="428"/>
      <c r="DR80" s="428"/>
      <c r="DS80" s="428"/>
      <c r="DT80" s="428"/>
      <c r="DU80" s="428"/>
      <c r="DV80" s="428"/>
      <c r="DW80" s="428"/>
    </row>
    <row r="81" spans="1:127" s="2" customFormat="1" ht="14.25">
      <c r="A81" s="347"/>
      <c r="B81" s="347"/>
      <c r="C81" s="268"/>
      <c r="D81" s="535" t="s">
        <v>1792</v>
      </c>
      <c r="E81" s="347"/>
      <c r="F81" s="349"/>
      <c r="G81" s="349"/>
      <c r="H81" s="348"/>
      <c r="I81" s="347"/>
      <c r="J81" s="348"/>
      <c r="K81" s="349"/>
      <c r="L81" s="348"/>
      <c r="M81" s="347"/>
      <c r="N81" s="347"/>
      <c r="O81" s="828">
        <f t="shared" si="84"/>
        <v>2</v>
      </c>
      <c r="P81" s="528">
        <f t="shared" ref="P81:P83" si="86">O81*0.7</f>
        <v>1.4</v>
      </c>
      <c r="Q81" s="528">
        <f t="shared" ref="Q81:Q83" si="87">P81/9</f>
        <v>0.15555555555555556</v>
      </c>
      <c r="R81" s="528">
        <f t="shared" ref="R81:R83" si="88">Q81/2</f>
        <v>7.7777777777777779E-2</v>
      </c>
      <c r="S81" s="324"/>
      <c r="T81" s="638"/>
      <c r="U81" s="526">
        <f>IF(U73=10, 10, 0)</f>
        <v>0</v>
      </c>
      <c r="V81" s="526"/>
      <c r="W81" s="638"/>
      <c r="X81" s="638"/>
      <c r="Y81" s="526">
        <f>IF(Y73=10, 10, 0)</f>
        <v>0</v>
      </c>
      <c r="Z81" s="510"/>
      <c r="AA81" s="510"/>
      <c r="AB81" s="638"/>
      <c r="AC81" s="526">
        <f>IF(AC73=10, 10, 0)</f>
        <v>0</v>
      </c>
      <c r="AD81" s="526"/>
      <c r="AE81" s="638"/>
      <c r="AF81" s="638"/>
      <c r="AG81" s="526">
        <f>IF(AG73=10, 10, 0)</f>
        <v>0</v>
      </c>
      <c r="AH81" s="510"/>
      <c r="AI81" s="510"/>
      <c r="AJ81" s="638"/>
      <c r="AK81" s="526">
        <f>IF(AK73=10, 10, 0)</f>
        <v>0</v>
      </c>
      <c r="AL81" s="526"/>
      <c r="AM81" s="638"/>
      <c r="AN81" s="526">
        <f>IF(AN73=10, 10, 0)</f>
        <v>0</v>
      </c>
      <c r="AO81" s="526"/>
      <c r="AP81" s="510"/>
      <c r="AQ81" s="510"/>
      <c r="AR81" s="638"/>
      <c r="AS81" s="526">
        <f>IF(AS73=10, 10, 0)</f>
        <v>0</v>
      </c>
      <c r="AT81" s="526"/>
      <c r="AU81" s="638"/>
      <c r="AV81" s="526">
        <f>IF(AV73=10, 10, 0)</f>
        <v>0</v>
      </c>
      <c r="AW81" s="526"/>
      <c r="AX81" s="510"/>
      <c r="AY81" s="510"/>
      <c r="AZ81" s="638"/>
      <c r="BA81" s="526">
        <f>IF(BA73=10, 10, 0)</f>
        <v>0</v>
      </c>
      <c r="BB81" s="526"/>
      <c r="BC81" s="638"/>
      <c r="BD81" s="526">
        <f>IF(BD73=10, 10, 0)</f>
        <v>0</v>
      </c>
      <c r="BE81" s="526"/>
      <c r="BF81" s="510"/>
      <c r="BG81" s="510"/>
      <c r="BH81" s="638"/>
      <c r="BI81" s="526">
        <f>IF(BI73=10, 10, 0)</f>
        <v>0</v>
      </c>
      <c r="BJ81" s="526"/>
      <c r="BK81" s="638"/>
      <c r="BL81" s="526">
        <f>IF(BL73=10, 10, 0)</f>
        <v>0</v>
      </c>
      <c r="BM81" s="526"/>
      <c r="BN81" s="510"/>
      <c r="BO81" s="510"/>
      <c r="BP81" s="510"/>
      <c r="BQ81" s="526">
        <f>IF(BQ73=10, 10, 0)</f>
        <v>10</v>
      </c>
      <c r="BR81" s="526"/>
      <c r="BS81" s="638"/>
      <c r="BT81" s="526">
        <f>IF(BT73=10, 10, 0)</f>
        <v>10</v>
      </c>
      <c r="BU81" s="526"/>
      <c r="BV81" s="510"/>
      <c r="BW81" s="510"/>
      <c r="BX81" s="510"/>
      <c r="BY81" s="526">
        <f>IF(BY73=10, 10, 0)</f>
        <v>0</v>
      </c>
      <c r="BZ81" s="526"/>
      <c r="CA81" s="638"/>
      <c r="CB81" s="526">
        <f>IF(CB73=10, 10, 0)</f>
        <v>0</v>
      </c>
      <c r="CC81" s="526"/>
      <c r="CD81" s="510"/>
      <c r="CE81" s="510"/>
      <c r="CF81" s="510"/>
      <c r="CG81" s="526">
        <f>IF(CG73=10, 10, 0)</f>
        <v>10</v>
      </c>
      <c r="CH81" s="526"/>
      <c r="CI81" s="510"/>
      <c r="CJ81" s="526">
        <f>IF(CJ73=10, 10, 0)</f>
        <v>10</v>
      </c>
      <c r="CK81" s="526"/>
      <c r="CL81" s="510"/>
      <c r="CM81" s="510"/>
      <c r="CN81" s="510"/>
      <c r="CO81" s="526">
        <f>IF(CO73=10, 10, 0)</f>
        <v>0</v>
      </c>
      <c r="CP81" s="526"/>
      <c r="CQ81" s="510"/>
      <c r="CR81" s="526">
        <f>IF(CR73=10, 10, 0)</f>
        <v>0</v>
      </c>
      <c r="CS81" s="526"/>
      <c r="CT81" s="510"/>
      <c r="CU81" s="315"/>
      <c r="CV81" s="353"/>
      <c r="CW81" s="313"/>
      <c r="CX81" s="516"/>
      <c r="CY81" s="516"/>
      <c r="CZ81" s="517"/>
      <c r="DA81" s="516"/>
      <c r="DB81" s="517"/>
      <c r="DC81" s="516"/>
      <c r="DD81" s="517"/>
      <c r="DE81" s="516"/>
      <c r="DF81" s="517"/>
      <c r="DG81" s="516"/>
      <c r="DH81" s="517"/>
      <c r="DI81" s="516"/>
      <c r="DJ81" s="517"/>
      <c r="DK81" s="516"/>
      <c r="DL81" s="517"/>
      <c r="DM81" s="516"/>
      <c r="DN81" s="313"/>
      <c r="DO81" s="313"/>
      <c r="DP81" s="313"/>
      <c r="DQ81" s="313"/>
      <c r="DR81" s="313"/>
      <c r="DS81" s="313"/>
      <c r="DT81" s="313"/>
      <c r="DU81" s="313"/>
      <c r="DV81" s="313"/>
      <c r="DW81" s="313"/>
    </row>
    <row r="82" spans="1:127" s="135" customFormat="1" ht="14.25">
      <c r="A82" s="352"/>
      <c r="B82" s="352"/>
      <c r="C82" s="418"/>
      <c r="D82" s="535" t="s">
        <v>1793</v>
      </c>
      <c r="E82" s="352"/>
      <c r="F82" s="369"/>
      <c r="G82" s="369"/>
      <c r="H82" s="419"/>
      <c r="I82" s="352"/>
      <c r="J82" s="419"/>
      <c r="K82" s="369"/>
      <c r="L82" s="419"/>
      <c r="M82" s="352"/>
      <c r="N82" s="352"/>
      <c r="O82" s="828">
        <f t="shared" si="84"/>
        <v>8</v>
      </c>
      <c r="P82" s="528">
        <f t="shared" si="86"/>
        <v>5.6</v>
      </c>
      <c r="Q82" s="528">
        <f t="shared" si="87"/>
        <v>0.62222222222222223</v>
      </c>
      <c r="R82" s="528">
        <f t="shared" si="88"/>
        <v>0.31111111111111112</v>
      </c>
      <c r="S82" s="313"/>
      <c r="T82" s="638"/>
      <c r="U82" s="532">
        <f>10-U81</f>
        <v>10</v>
      </c>
      <c r="V82" s="532"/>
      <c r="W82" s="638"/>
      <c r="X82" s="638"/>
      <c r="Y82" s="532">
        <f>10-Y81</f>
        <v>10</v>
      </c>
      <c r="Z82" s="510"/>
      <c r="AA82" s="510"/>
      <c r="AB82" s="638"/>
      <c r="AC82" s="532">
        <f>10-AC81</f>
        <v>10</v>
      </c>
      <c r="AD82" s="532"/>
      <c r="AE82" s="638"/>
      <c r="AF82" s="638"/>
      <c r="AG82" s="532">
        <f>10-AG81</f>
        <v>10</v>
      </c>
      <c r="AH82" s="510"/>
      <c r="AI82" s="510"/>
      <c r="AJ82" s="638"/>
      <c r="AK82" s="532">
        <f>10-AK81</f>
        <v>10</v>
      </c>
      <c r="AL82" s="532"/>
      <c r="AM82" s="638"/>
      <c r="AN82" s="532">
        <f>10-AN81</f>
        <v>10</v>
      </c>
      <c r="AO82" s="532"/>
      <c r="AP82" s="510"/>
      <c r="AQ82" s="510"/>
      <c r="AR82" s="638"/>
      <c r="AS82" s="532">
        <f>10-AS81</f>
        <v>10</v>
      </c>
      <c r="AT82" s="532"/>
      <c r="AU82" s="638"/>
      <c r="AV82" s="532">
        <f>10-AV81</f>
        <v>10</v>
      </c>
      <c r="AW82" s="532"/>
      <c r="AX82" s="510"/>
      <c r="AY82" s="510"/>
      <c r="AZ82" s="638"/>
      <c r="BA82" s="532">
        <f>10-BA81</f>
        <v>10</v>
      </c>
      <c r="BB82" s="532"/>
      <c r="BC82" s="638"/>
      <c r="BD82" s="532">
        <f>10-BD81</f>
        <v>10</v>
      </c>
      <c r="BE82" s="532"/>
      <c r="BF82" s="510"/>
      <c r="BG82" s="510"/>
      <c r="BH82" s="638"/>
      <c r="BI82" s="532">
        <f>10-BI81</f>
        <v>10</v>
      </c>
      <c r="BJ82" s="532"/>
      <c r="BK82" s="638"/>
      <c r="BL82" s="532">
        <f>10-BL81</f>
        <v>10</v>
      </c>
      <c r="BM82" s="532"/>
      <c r="BN82" s="510"/>
      <c r="BO82" s="510"/>
      <c r="BP82" s="510"/>
      <c r="BQ82" s="532">
        <f>10-BQ81</f>
        <v>0</v>
      </c>
      <c r="BR82" s="532"/>
      <c r="BS82" s="638"/>
      <c r="BT82" s="532">
        <f>10-BT81</f>
        <v>0</v>
      </c>
      <c r="BU82" s="532"/>
      <c r="BV82" s="510"/>
      <c r="BW82" s="510"/>
      <c r="BX82" s="510"/>
      <c r="BY82" s="532">
        <f>10-BY81</f>
        <v>10</v>
      </c>
      <c r="BZ82" s="532"/>
      <c r="CA82" s="638"/>
      <c r="CB82" s="532">
        <f>10-CB81</f>
        <v>10</v>
      </c>
      <c r="CC82" s="532"/>
      <c r="CD82" s="510"/>
      <c r="CE82" s="510"/>
      <c r="CF82" s="510"/>
      <c r="CG82" s="532">
        <f>10-CG81</f>
        <v>0</v>
      </c>
      <c r="CH82" s="532"/>
      <c r="CI82" s="510"/>
      <c r="CJ82" s="532">
        <f>10-CJ81</f>
        <v>0</v>
      </c>
      <c r="CK82" s="532"/>
      <c r="CL82" s="510"/>
      <c r="CM82" s="510"/>
      <c r="CN82" s="510"/>
      <c r="CO82" s="532">
        <f>10-CO81</f>
        <v>10</v>
      </c>
      <c r="CP82" s="532"/>
      <c r="CQ82" s="510"/>
      <c r="CR82" s="532">
        <f>10-CR81</f>
        <v>10</v>
      </c>
      <c r="CS82" s="532"/>
      <c r="CT82" s="510"/>
      <c r="CU82" s="353"/>
      <c r="CV82" s="353"/>
      <c r="CW82" s="324"/>
      <c r="CX82" s="516"/>
      <c r="CY82" s="520"/>
      <c r="CZ82" s="333"/>
      <c r="DA82" s="520"/>
      <c r="DB82" s="333"/>
      <c r="DC82" s="520"/>
      <c r="DD82" s="333"/>
      <c r="DE82" s="520"/>
      <c r="DF82" s="333"/>
      <c r="DG82" s="520"/>
      <c r="DH82" s="333"/>
      <c r="DI82" s="520"/>
      <c r="DJ82" s="333"/>
      <c r="DK82" s="520"/>
      <c r="DL82" s="333"/>
      <c r="DM82" s="516"/>
      <c r="DN82" s="324"/>
      <c r="DO82" s="324"/>
      <c r="DP82" s="324"/>
      <c r="DQ82" s="324"/>
      <c r="DR82" s="324"/>
      <c r="DS82" s="324"/>
      <c r="DT82" s="324"/>
      <c r="DU82" s="324"/>
      <c r="DV82" s="324"/>
      <c r="DW82" s="324"/>
    </row>
    <row r="83" spans="1:127" s="2" customFormat="1" ht="14.25">
      <c r="A83" s="347"/>
      <c r="B83" s="347"/>
      <c r="C83" s="268"/>
      <c r="D83" s="535" t="s">
        <v>1794</v>
      </c>
      <c r="E83" s="347"/>
      <c r="F83" s="349"/>
      <c r="G83" s="349"/>
      <c r="H83" s="348"/>
      <c r="I83" s="803">
        <v>10</v>
      </c>
      <c r="J83" s="348"/>
      <c r="K83" s="349"/>
      <c r="L83" s="348"/>
      <c r="M83" s="347"/>
      <c r="N83" s="347"/>
      <c r="O83" s="828">
        <f t="shared" si="84"/>
        <v>10</v>
      </c>
      <c r="P83" s="528">
        <f t="shared" si="86"/>
        <v>7</v>
      </c>
      <c r="Q83" s="528">
        <f t="shared" si="87"/>
        <v>0.77777777777777779</v>
      </c>
      <c r="R83" s="528">
        <f t="shared" si="88"/>
        <v>0.3888888888888889</v>
      </c>
      <c r="S83" s="313"/>
      <c r="T83" s="638"/>
      <c r="U83" s="526">
        <v>10</v>
      </c>
      <c r="V83" s="526"/>
      <c r="W83" s="638"/>
      <c r="X83" s="638"/>
      <c r="Y83" s="526">
        <v>10</v>
      </c>
      <c r="Z83" s="510"/>
      <c r="AA83" s="510"/>
      <c r="AB83" s="638"/>
      <c r="AC83" s="526">
        <v>10</v>
      </c>
      <c r="AD83" s="526"/>
      <c r="AE83" s="638"/>
      <c r="AF83" s="638"/>
      <c r="AG83" s="532">
        <v>10</v>
      </c>
      <c r="AH83" s="510"/>
      <c r="AI83" s="510"/>
      <c r="AJ83" s="638"/>
      <c r="AK83" s="526">
        <v>10</v>
      </c>
      <c r="AL83" s="526"/>
      <c r="AM83" s="638"/>
      <c r="AN83" s="526">
        <v>10</v>
      </c>
      <c r="AO83" s="526"/>
      <c r="AP83" s="510"/>
      <c r="AQ83" s="510"/>
      <c r="AR83" s="638"/>
      <c r="AS83" s="526">
        <v>10</v>
      </c>
      <c r="AT83" s="526"/>
      <c r="AU83" s="638"/>
      <c r="AV83" s="532">
        <v>10</v>
      </c>
      <c r="AW83" s="532"/>
      <c r="AX83" s="510"/>
      <c r="AY83" s="510"/>
      <c r="AZ83" s="638"/>
      <c r="BA83" s="526">
        <v>10</v>
      </c>
      <c r="BB83" s="526"/>
      <c r="BC83" s="638"/>
      <c r="BD83" s="526">
        <v>10</v>
      </c>
      <c r="BE83" s="526"/>
      <c r="BF83" s="510"/>
      <c r="BG83" s="510"/>
      <c r="BH83" s="638"/>
      <c r="BI83" s="526">
        <v>10</v>
      </c>
      <c r="BJ83" s="526"/>
      <c r="BK83" s="638"/>
      <c r="BL83" s="532">
        <v>10</v>
      </c>
      <c r="BM83" s="532"/>
      <c r="BN83" s="510"/>
      <c r="BO83" s="510"/>
      <c r="BP83" s="510"/>
      <c r="BQ83" s="526">
        <v>10</v>
      </c>
      <c r="BR83" s="526"/>
      <c r="BS83" s="638"/>
      <c r="BT83" s="526">
        <v>10</v>
      </c>
      <c r="BU83" s="526"/>
      <c r="BV83" s="510"/>
      <c r="BW83" s="510"/>
      <c r="BX83" s="510"/>
      <c r="BY83" s="526">
        <v>10</v>
      </c>
      <c r="BZ83" s="526"/>
      <c r="CA83" s="638"/>
      <c r="CB83" s="532">
        <v>10</v>
      </c>
      <c r="CC83" s="532"/>
      <c r="CD83" s="510"/>
      <c r="CE83" s="510"/>
      <c r="CF83" s="510"/>
      <c r="CG83" s="526">
        <v>10</v>
      </c>
      <c r="CH83" s="526"/>
      <c r="CI83" s="510"/>
      <c r="CJ83" s="526">
        <v>10</v>
      </c>
      <c r="CK83" s="526"/>
      <c r="CL83" s="510"/>
      <c r="CM83" s="510"/>
      <c r="CN83" s="510"/>
      <c r="CO83" s="532">
        <v>10</v>
      </c>
      <c r="CP83" s="532"/>
      <c r="CQ83" s="510"/>
      <c r="CR83" s="532">
        <v>10</v>
      </c>
      <c r="CS83" s="532"/>
      <c r="CT83" s="510"/>
      <c r="CU83" s="315"/>
      <c r="CV83" s="353"/>
      <c r="CW83" s="313"/>
      <c r="CX83" s="516"/>
      <c r="CY83" s="516"/>
      <c r="CZ83" s="517"/>
      <c r="DA83" s="516"/>
      <c r="DB83" s="517"/>
      <c r="DC83" s="516"/>
      <c r="DD83" s="517"/>
      <c r="DE83" s="516"/>
      <c r="DF83" s="517"/>
      <c r="DG83" s="516"/>
      <c r="DH83" s="517"/>
      <c r="DI83" s="516"/>
      <c r="DJ83" s="517"/>
      <c r="DK83" s="516"/>
      <c r="DL83" s="517"/>
      <c r="DM83" s="516"/>
      <c r="DN83" s="313"/>
      <c r="DO83" s="313"/>
      <c r="DP83" s="313"/>
      <c r="DQ83" s="313"/>
      <c r="DR83" s="313"/>
      <c r="DS83" s="313"/>
      <c r="DT83" s="313"/>
      <c r="DU83" s="313"/>
      <c r="DV83" s="313"/>
      <c r="DW83" s="313"/>
    </row>
    <row r="84" spans="1:127" s="2" customFormat="1" ht="14.25">
      <c r="A84" s="347"/>
      <c r="B84" s="347"/>
      <c r="C84" s="268"/>
      <c r="D84" s="535" t="s">
        <v>1795</v>
      </c>
      <c r="E84" s="347"/>
      <c r="F84" s="349"/>
      <c r="G84" s="349"/>
      <c r="H84" s="348"/>
      <c r="I84" s="347"/>
      <c r="J84" s="348"/>
      <c r="K84" s="349"/>
      <c r="L84" s="348"/>
      <c r="M84" s="347"/>
      <c r="N84" s="347"/>
      <c r="O84" s="529">
        <f t="shared" si="84"/>
        <v>6.4782071717175853</v>
      </c>
      <c r="P84" s="528"/>
      <c r="Q84" s="528"/>
      <c r="R84" s="528"/>
      <c r="S84" s="313"/>
      <c r="T84" s="638"/>
      <c r="U84" s="526">
        <f>100-SUM(U80:U83)</f>
        <v>2.3636363636363598</v>
      </c>
      <c r="V84" s="526"/>
      <c r="W84" s="638"/>
      <c r="X84" s="638"/>
      <c r="Y84" s="526">
        <f>100-SUM(Y80:Y83)</f>
        <v>2.5999999999999943</v>
      </c>
      <c r="Z84" s="510"/>
      <c r="AA84" s="510"/>
      <c r="AB84" s="638"/>
      <c r="AC84" s="526">
        <f>100-SUM(AC80:AC83)</f>
        <v>6.1283185840707972</v>
      </c>
      <c r="AD84" s="526"/>
      <c r="AE84" s="638"/>
      <c r="AF84" s="638"/>
      <c r="AG84" s="532">
        <f>100-SUM(AG80:AG83)</f>
        <v>6.0511551155115484</v>
      </c>
      <c r="AH84" s="510"/>
      <c r="AI84" s="510"/>
      <c r="AJ84" s="638"/>
      <c r="AK84" s="526">
        <f>100-SUM(AK80:AK83)</f>
        <v>3.7980132450331041</v>
      </c>
      <c r="AL84" s="526"/>
      <c r="AM84" s="638"/>
      <c r="AN84" s="526">
        <f>100-SUM(AN80:AN83)</f>
        <v>3.5167785234899327</v>
      </c>
      <c r="AO84" s="526"/>
      <c r="AP84" s="510"/>
      <c r="AQ84" s="510"/>
      <c r="AR84" s="638"/>
      <c r="AS84" s="526">
        <f>100-SUM(AS80:AS83)</f>
        <v>5.9909090909090992</v>
      </c>
      <c r="AT84" s="526"/>
      <c r="AU84" s="638"/>
      <c r="AV84" s="532">
        <f>100-SUM(AV80:AV83)</f>
        <v>9.1637168141593008</v>
      </c>
      <c r="AW84" s="532"/>
      <c r="AX84" s="510"/>
      <c r="AY84" s="510"/>
      <c r="AZ84" s="638"/>
      <c r="BA84" s="526">
        <f>100-SUM(BA80:BA83)</f>
        <v>5.0769230769230802</v>
      </c>
      <c r="BB84" s="526"/>
      <c r="BC84" s="638"/>
      <c r="BD84" s="526">
        <f>100-SUM(BD80:BD83)</f>
        <v>4.2365591397849443</v>
      </c>
      <c r="BE84" s="526"/>
      <c r="BF84" s="510"/>
      <c r="BG84" s="510"/>
      <c r="BH84" s="638"/>
      <c r="BI84" s="526">
        <f>100-SUM(BI80:BI83)</f>
        <v>8.6460674157303288</v>
      </c>
      <c r="BJ84" s="526"/>
      <c r="BK84" s="638"/>
      <c r="BL84" s="532">
        <f>100-SUM(BL80:BL83)</f>
        <v>8.9930875576036868</v>
      </c>
      <c r="BM84" s="532"/>
      <c r="BN84" s="510"/>
      <c r="BO84" s="510"/>
      <c r="BP84" s="510"/>
      <c r="BQ84" s="526">
        <f>100-SUM(BQ80:BQ83)</f>
        <v>7.075221238938056</v>
      </c>
      <c r="BR84" s="526"/>
      <c r="BS84" s="638"/>
      <c r="BT84" s="526">
        <f>100-SUM(BT80:BT83)</f>
        <v>9.0499999999999972</v>
      </c>
      <c r="BU84" s="526"/>
      <c r="BV84" s="510"/>
      <c r="BW84" s="510"/>
      <c r="BX84" s="510"/>
      <c r="BY84" s="526">
        <f>100-SUM(BY80:BY83)</f>
        <v>3.9732142857142776</v>
      </c>
      <c r="BZ84" s="526"/>
      <c r="CA84" s="638"/>
      <c r="CB84" s="532">
        <f>100-SUM(CB80:CB83)</f>
        <v>8.4074074074074048</v>
      </c>
      <c r="CC84" s="532"/>
      <c r="CD84" s="510"/>
      <c r="CE84" s="510"/>
      <c r="CF84" s="510"/>
      <c r="CG84" s="526">
        <f>100-SUM(CG80:CG83)</f>
        <v>8.5602409638554207</v>
      </c>
      <c r="CH84" s="526"/>
      <c r="CI84" s="510"/>
      <c r="CJ84" s="526">
        <f>100-SUM(CJ80:CJ83)</f>
        <v>7.6861313868613195</v>
      </c>
      <c r="CK84" s="526"/>
      <c r="CL84" s="510"/>
      <c r="CM84" s="510"/>
      <c r="CN84" s="510"/>
      <c r="CO84" s="532">
        <f>100-SUM(CO80:CO83)</f>
        <v>3.558823529411768</v>
      </c>
      <c r="CP84" s="532"/>
      <c r="CQ84" s="510"/>
      <c r="CR84" s="532">
        <f>100-SUM(CR80:CR83)</f>
        <v>5.0772357723577244</v>
      </c>
      <c r="CS84" s="532"/>
      <c r="CT84" s="510"/>
      <c r="CU84" s="315"/>
      <c r="CV84" s="353"/>
      <c r="CW84" s="313"/>
      <c r="CX84" s="516"/>
      <c r="CY84" s="516"/>
      <c r="CZ84" s="517"/>
      <c r="DA84" s="516"/>
      <c r="DB84" s="517"/>
      <c r="DC84" s="516"/>
      <c r="DD84" s="517"/>
      <c r="DE84" s="516"/>
      <c r="DF84" s="517"/>
      <c r="DG84" s="516"/>
      <c r="DH84" s="517"/>
      <c r="DI84" s="516"/>
      <c r="DJ84" s="517"/>
      <c r="DK84" s="516"/>
      <c r="DL84" s="517"/>
      <c r="DM84" s="516"/>
      <c r="DN84" s="313"/>
      <c r="DO84" s="313"/>
      <c r="DP84" s="313"/>
      <c r="DQ84" s="313"/>
      <c r="DR84" s="313"/>
      <c r="DS84" s="313"/>
      <c r="DT84" s="313"/>
      <c r="DU84" s="313"/>
      <c r="DV84" s="313"/>
      <c r="DW84" s="313"/>
    </row>
    <row r="85" spans="1:127" s="2" customFormat="1">
      <c r="A85" s="347"/>
      <c r="B85" s="347"/>
      <c r="C85" s="268"/>
      <c r="E85" s="347"/>
      <c r="F85" s="349"/>
      <c r="G85" s="349"/>
      <c r="H85" s="348"/>
      <c r="I85" s="347"/>
      <c r="J85" s="348"/>
      <c r="K85" s="349"/>
      <c r="L85" s="348"/>
      <c r="M85" s="347"/>
      <c r="N85" s="347"/>
      <c r="T85" s="7"/>
      <c r="U85" s="83"/>
      <c r="V85" s="83"/>
      <c r="W85" s="7"/>
      <c r="X85" s="7"/>
      <c r="AB85" s="7"/>
      <c r="AE85" s="7"/>
      <c r="AF85" s="7"/>
      <c r="AJ85" s="7"/>
      <c r="AM85" s="7"/>
      <c r="AR85" s="7"/>
      <c r="AU85" s="7"/>
      <c r="AZ85" s="7"/>
      <c r="BC85" s="7"/>
      <c r="BH85" s="7"/>
      <c r="BK85" s="7"/>
      <c r="BS85" s="7"/>
      <c r="CA85" s="7"/>
      <c r="CU85" s="315"/>
      <c r="CV85" s="353"/>
      <c r="CW85" s="313"/>
      <c r="CX85" s="512"/>
      <c r="CY85" s="516"/>
      <c r="CZ85" s="517"/>
      <c r="DA85" s="516"/>
      <c r="DB85" s="517"/>
      <c r="DC85" s="516"/>
      <c r="DD85" s="517"/>
      <c r="DE85" s="516"/>
      <c r="DF85" s="517"/>
      <c r="DG85" s="516"/>
      <c r="DH85" s="517"/>
      <c r="DI85" s="516"/>
      <c r="DJ85" s="517"/>
      <c r="DK85" s="516"/>
      <c r="DL85" s="517"/>
      <c r="DM85" s="512"/>
      <c r="DN85" s="313"/>
      <c r="DO85" s="313"/>
      <c r="DP85" s="313"/>
      <c r="DQ85" s="313"/>
      <c r="DR85" s="313"/>
      <c r="DS85" s="313"/>
      <c r="DT85" s="313"/>
      <c r="DU85" s="313"/>
      <c r="DV85" s="313"/>
      <c r="DW85" s="313"/>
    </row>
    <row r="86" spans="1:127" s="2" customFormat="1">
      <c r="A86" s="347"/>
      <c r="B86" s="347"/>
      <c r="C86" s="268"/>
      <c r="D86" s="346"/>
      <c r="E86" s="347"/>
      <c r="F86" s="349"/>
      <c r="G86" s="349"/>
      <c r="H86" s="348"/>
      <c r="I86" s="347"/>
      <c r="J86" s="348"/>
      <c r="K86" s="349"/>
      <c r="L86" s="348"/>
      <c r="M86" s="347"/>
      <c r="N86" s="347"/>
      <c r="O86" s="313"/>
      <c r="P86" s="313"/>
      <c r="Q86" s="313"/>
      <c r="R86" s="313"/>
      <c r="S86" s="313"/>
      <c r="T86" s="419"/>
      <c r="U86" s="349"/>
      <c r="V86" s="349"/>
      <c r="W86" s="348"/>
      <c r="X86" s="348"/>
      <c r="Y86" s="349"/>
      <c r="Z86" s="313"/>
      <c r="AA86" s="313"/>
      <c r="AB86" s="655"/>
      <c r="AC86" s="373"/>
      <c r="AD86" s="373"/>
      <c r="AE86" s="654"/>
      <c r="AF86" s="654"/>
      <c r="AG86" s="373"/>
      <c r="AH86" s="315"/>
      <c r="AI86" s="315"/>
      <c r="AJ86" s="419"/>
      <c r="AK86" s="349"/>
      <c r="AL86" s="349"/>
      <c r="AM86" s="348"/>
      <c r="AN86" s="349"/>
      <c r="AO86" s="349"/>
      <c r="AP86" s="313"/>
      <c r="AQ86" s="313"/>
      <c r="AR86" s="655"/>
      <c r="AS86" s="373"/>
      <c r="AT86" s="373"/>
      <c r="AU86" s="654"/>
      <c r="AV86" s="373"/>
      <c r="AW86" s="373"/>
      <c r="AX86" s="315"/>
      <c r="AY86" s="315"/>
      <c r="AZ86" s="419"/>
      <c r="BA86" s="349"/>
      <c r="BB86" s="349"/>
      <c r="BC86" s="348"/>
      <c r="BD86" s="349"/>
      <c r="BE86" s="349"/>
      <c r="BF86" s="313"/>
      <c r="BG86" s="313"/>
      <c r="BH86" s="655"/>
      <c r="BI86" s="373"/>
      <c r="BJ86" s="373"/>
      <c r="BK86" s="654"/>
      <c r="BL86" s="373"/>
      <c r="BM86" s="373"/>
      <c r="BN86" s="315"/>
      <c r="BO86" s="315"/>
      <c r="BP86" s="324"/>
      <c r="BQ86" s="349"/>
      <c r="BR86" s="349"/>
      <c r="BS86" s="348"/>
      <c r="BT86" s="349"/>
      <c r="BU86" s="349"/>
      <c r="BV86" s="313"/>
      <c r="BW86" s="313"/>
      <c r="BX86" s="353"/>
      <c r="BY86" s="373"/>
      <c r="BZ86" s="373"/>
      <c r="CA86" s="654"/>
      <c r="CB86" s="373"/>
      <c r="CC86" s="373"/>
      <c r="CD86" s="315"/>
      <c r="CE86" s="315"/>
      <c r="CF86" s="324"/>
      <c r="CG86" s="349"/>
      <c r="CH86" s="349"/>
      <c r="CI86" s="313"/>
      <c r="CJ86" s="349"/>
      <c r="CK86" s="349"/>
      <c r="CL86" s="313"/>
      <c r="CM86" s="313"/>
      <c r="CN86" s="353"/>
      <c r="CO86" s="373"/>
      <c r="CP86" s="373"/>
      <c r="CQ86" s="315"/>
      <c r="CR86" s="373"/>
      <c r="CS86" s="373"/>
      <c r="CT86" s="533"/>
      <c r="CU86" s="315"/>
      <c r="CV86" s="353"/>
      <c r="CW86" s="313"/>
      <c r="CX86" s="512"/>
      <c r="CY86" s="516"/>
      <c r="CZ86" s="517"/>
      <c r="DA86" s="516"/>
      <c r="DB86" s="517"/>
      <c r="DC86" s="516"/>
      <c r="DD86" s="517"/>
      <c r="DE86" s="516"/>
      <c r="DF86" s="517"/>
      <c r="DG86" s="516"/>
      <c r="DH86" s="517"/>
      <c r="DI86" s="516"/>
      <c r="DJ86" s="517"/>
      <c r="DK86" s="516"/>
      <c r="DL86" s="517"/>
      <c r="DM86" s="512"/>
      <c r="DN86" s="313"/>
      <c r="DO86" s="313"/>
      <c r="DP86" s="313"/>
      <c r="DQ86" s="313"/>
      <c r="DR86" s="313"/>
      <c r="DS86" s="313"/>
      <c r="DT86" s="313"/>
      <c r="DU86" s="313"/>
      <c r="DV86" s="313"/>
      <c r="DW86" s="313"/>
    </row>
    <row r="87" spans="1:127" s="2" customFormat="1">
      <c r="A87" s="347"/>
      <c r="B87" s="347"/>
      <c r="C87" s="268"/>
      <c r="D87" s="315"/>
      <c r="E87" s="347"/>
      <c r="F87" s="349"/>
      <c r="G87" s="349"/>
      <c r="H87" s="348"/>
      <c r="I87" s="347"/>
      <c r="J87" s="348"/>
      <c r="K87" s="349"/>
      <c r="L87" s="348"/>
      <c r="M87" s="347"/>
      <c r="N87" s="347"/>
      <c r="O87" s="313"/>
      <c r="P87" s="313"/>
      <c r="Q87" s="313"/>
      <c r="R87" s="313"/>
      <c r="S87" s="313"/>
      <c r="T87" s="348"/>
      <c r="U87" s="349"/>
      <c r="V87" s="349"/>
      <c r="W87" s="348"/>
      <c r="X87" s="348"/>
      <c r="Y87" s="349"/>
      <c r="Z87" s="313"/>
      <c r="AA87" s="313"/>
      <c r="AB87" s="654"/>
      <c r="AC87" s="373"/>
      <c r="AD87" s="373"/>
      <c r="AE87" s="654"/>
      <c r="AF87" s="654"/>
      <c r="AG87" s="373"/>
      <c r="AH87" s="315"/>
      <c r="AI87" s="315"/>
      <c r="AJ87" s="348"/>
      <c r="AK87" s="349"/>
      <c r="AL87" s="349"/>
      <c r="AM87" s="348"/>
      <c r="AN87" s="349"/>
      <c r="AO87" s="349"/>
      <c r="AP87" s="313"/>
      <c r="AQ87" s="313"/>
      <c r="AR87" s="654"/>
      <c r="AS87" s="373"/>
      <c r="AT87" s="373"/>
      <c r="AU87" s="654"/>
      <c r="AV87" s="373"/>
      <c r="AW87" s="373"/>
      <c r="AX87" s="315"/>
      <c r="AY87" s="315"/>
      <c r="AZ87" s="348"/>
      <c r="BA87" s="349"/>
      <c r="BB87" s="349"/>
      <c r="BC87" s="348"/>
      <c r="BD87" s="349"/>
      <c r="BE87" s="349"/>
      <c r="BF87" s="313"/>
      <c r="BG87" s="313"/>
      <c r="BH87" s="654"/>
      <c r="BI87" s="373"/>
      <c r="BJ87" s="373"/>
      <c r="BK87" s="654"/>
      <c r="BL87" s="373"/>
      <c r="BM87" s="373"/>
      <c r="BN87" s="315"/>
      <c r="BO87" s="315"/>
      <c r="BP87" s="313"/>
      <c r="BQ87" s="349"/>
      <c r="BR87" s="349"/>
      <c r="BS87" s="348"/>
      <c r="BT87" s="349"/>
      <c r="BU87" s="349"/>
      <c r="BV87" s="313"/>
      <c r="BW87" s="313"/>
      <c r="BX87" s="315"/>
      <c r="BY87" s="373"/>
      <c r="BZ87" s="373"/>
      <c r="CA87" s="654"/>
      <c r="CB87" s="373"/>
      <c r="CC87" s="373"/>
      <c r="CD87" s="315"/>
      <c r="CE87" s="315"/>
      <c r="CF87" s="313"/>
      <c r="CG87" s="349"/>
      <c r="CH87" s="349"/>
      <c r="CI87" s="313"/>
      <c r="CJ87" s="349"/>
      <c r="CK87" s="349"/>
      <c r="CL87" s="313"/>
      <c r="CM87" s="313"/>
      <c r="CN87" s="315"/>
      <c r="CO87" s="373"/>
      <c r="CP87" s="373"/>
      <c r="CQ87" s="315"/>
      <c r="CR87" s="373"/>
      <c r="CS87" s="373"/>
      <c r="CT87" s="533"/>
      <c r="CU87" s="315"/>
      <c r="CV87" s="353"/>
      <c r="CW87" s="313"/>
      <c r="CX87" s="512" t="s">
        <v>1441</v>
      </c>
      <c r="CY87" s="516">
        <f>SUMPRODUCT(CZ4:CZ75,CY4:CY75)</f>
        <v>40.4</v>
      </c>
      <c r="CZ87" s="517"/>
      <c r="DA87" s="516">
        <f>SUMPRODUCT(DB4:DB75,DA4:DA75)</f>
        <v>54.221792828282418</v>
      </c>
      <c r="DB87" s="517"/>
      <c r="DC87" s="516">
        <f>SUMPRODUCT(DD4:DD75,DC4:DC75)</f>
        <v>50.050000000000004</v>
      </c>
      <c r="DD87" s="517"/>
      <c r="DE87" s="516">
        <f>SUMPRODUCT(DF4:DF75,DE4:DE75)</f>
        <v>54.875</v>
      </c>
      <c r="DF87" s="517"/>
      <c r="DG87" s="516">
        <f>SUMPRODUCT(DH4:DH75,DG4:DG75)</f>
        <v>55.5</v>
      </c>
      <c r="DH87" s="517"/>
      <c r="DI87" s="516">
        <f>SUMPRODUCT(DJ4:DJ75,DI4:DI75)</f>
        <v>53.500000000000007</v>
      </c>
      <c r="DJ87" s="517"/>
      <c r="DK87" s="516">
        <f>SUMPRODUCT(DL4:DL75,DK4:DK75)</f>
        <v>3</v>
      </c>
      <c r="DL87" s="517"/>
      <c r="DM87" s="512"/>
      <c r="DN87" s="313"/>
      <c r="DO87" s="313"/>
      <c r="DP87" s="313"/>
      <c r="DQ87" s="313"/>
      <c r="DR87" s="313"/>
      <c r="DS87" s="313"/>
      <c r="DT87" s="313"/>
      <c r="DU87" s="313"/>
      <c r="DV87" s="313"/>
      <c r="DW87" s="313"/>
    </row>
    <row r="88" spans="1:127" s="2" customFormat="1">
      <c r="A88" s="347"/>
      <c r="B88" s="347"/>
      <c r="C88" s="268"/>
      <c r="D88" s="852" t="s">
        <v>1897</v>
      </c>
      <c r="E88" s="347"/>
      <c r="F88" s="349"/>
      <c r="G88" s="349"/>
      <c r="H88" s="348"/>
      <c r="I88" s="347"/>
      <c r="J88" s="348"/>
      <c r="K88" s="349"/>
      <c r="L88" s="348"/>
      <c r="M88" s="347"/>
      <c r="N88" s="347"/>
      <c r="O88" s="313"/>
      <c r="P88" s="313"/>
      <c r="Q88" s="313"/>
      <c r="R88" s="313"/>
      <c r="S88" s="313"/>
      <c r="T88" s="348"/>
      <c r="U88" s="349"/>
      <c r="V88" s="349"/>
      <c r="W88" s="348"/>
      <c r="X88" s="348"/>
      <c r="Y88" s="349"/>
      <c r="Z88" s="313"/>
      <c r="AA88" s="313"/>
      <c r="AB88" s="654"/>
      <c r="AC88" s="373"/>
      <c r="AD88" s="373"/>
      <c r="AE88" s="654"/>
      <c r="AF88" s="654"/>
      <c r="AG88" s="373"/>
      <c r="AH88" s="315"/>
      <c r="AI88" s="315"/>
      <c r="AJ88" s="348"/>
      <c r="AK88" s="349"/>
      <c r="AL88" s="349"/>
      <c r="AM88" s="348"/>
      <c r="AN88" s="349"/>
      <c r="AO88" s="349"/>
      <c r="AP88" s="313"/>
      <c r="AQ88" s="313"/>
      <c r="AR88" s="654"/>
      <c r="AS88" s="373"/>
      <c r="AT88" s="373"/>
      <c r="AU88" s="654"/>
      <c r="AV88" s="373"/>
      <c r="AW88" s="373"/>
      <c r="AX88" s="315"/>
      <c r="AY88" s="315"/>
      <c r="AZ88" s="348"/>
      <c r="BA88" s="349"/>
      <c r="BB88" s="349"/>
      <c r="BC88" s="348"/>
      <c r="BD88" s="349"/>
      <c r="BE88" s="349"/>
      <c r="BF88" s="313"/>
      <c r="BG88" s="313"/>
      <c r="BH88" s="654"/>
      <c r="BI88" s="373"/>
      <c r="BJ88" s="373"/>
      <c r="BK88" s="654"/>
      <c r="BL88" s="373"/>
      <c r="BM88" s="373"/>
      <c r="BN88" s="315"/>
      <c r="BO88" s="315"/>
      <c r="BP88" s="313"/>
      <c r="BQ88" s="349"/>
      <c r="BR88" s="349"/>
      <c r="BS88" s="348"/>
      <c r="BT88" s="349"/>
      <c r="BU88" s="349"/>
      <c r="BV88" s="313"/>
      <c r="BW88" s="313"/>
      <c r="BX88" s="315"/>
      <c r="BY88" s="373"/>
      <c r="BZ88" s="373"/>
      <c r="CA88" s="654"/>
      <c r="CB88" s="373"/>
      <c r="CC88" s="373"/>
      <c r="CD88" s="315"/>
      <c r="CE88" s="315"/>
      <c r="CF88" s="313"/>
      <c r="CG88" s="349"/>
      <c r="CH88" s="349"/>
      <c r="CI88" s="313"/>
      <c r="CJ88" s="349"/>
      <c r="CK88" s="349"/>
      <c r="CL88" s="313"/>
      <c r="CM88" s="313"/>
      <c r="CN88" s="315"/>
      <c r="CO88" s="373"/>
      <c r="CP88" s="373"/>
      <c r="CQ88" s="315"/>
      <c r="CR88" s="373"/>
      <c r="CS88" s="373"/>
      <c r="CT88" s="533"/>
      <c r="CU88" s="315"/>
      <c r="CV88" s="353"/>
      <c r="CW88" s="313"/>
      <c r="CX88" s="512" t="s">
        <v>1440</v>
      </c>
      <c r="CY88" s="516">
        <f>SUMPRODUCT($I$4:$I$75,CY4:CY75)</f>
        <v>42</v>
      </c>
      <c r="CZ88" s="517"/>
      <c r="DA88" s="516">
        <f>SUMPRODUCT($I$4:$I$75,DA4:DA75)</f>
        <v>63</v>
      </c>
      <c r="DB88" s="517"/>
      <c r="DC88" s="516">
        <f>SUMPRODUCT($I$4:$I$75,DC4:DC75)</f>
        <v>52</v>
      </c>
      <c r="DD88" s="517"/>
      <c r="DE88" s="516">
        <f>SUMPRODUCT($I$4:$I$75,DE4:DE75)</f>
        <v>62</v>
      </c>
      <c r="DF88" s="517"/>
      <c r="DG88" s="516">
        <f>SUMPRODUCT($I$4:$I$75,DG4:DG75)</f>
        <v>57</v>
      </c>
      <c r="DH88" s="517"/>
      <c r="DI88" s="516">
        <f>SUMPRODUCT($I$4:$I$75,DI4:DI75)</f>
        <v>55</v>
      </c>
      <c r="DJ88" s="517"/>
      <c r="DK88" s="516">
        <f>SUMPRODUCT($I$4:$I$75,DK4:DK75)</f>
        <v>3</v>
      </c>
      <c r="DL88" s="517"/>
      <c r="DM88" s="512"/>
      <c r="DN88" s="313"/>
      <c r="DO88" s="313"/>
      <c r="DP88" s="313"/>
      <c r="DQ88" s="313"/>
      <c r="DR88" s="313"/>
      <c r="DS88" s="313"/>
      <c r="DT88" s="313"/>
      <c r="DU88" s="313"/>
      <c r="DV88" s="313"/>
      <c r="DW88" s="313"/>
    </row>
    <row r="89" spans="1:127" s="2" customFormat="1">
      <c r="A89" s="347"/>
      <c r="B89" s="347"/>
      <c r="C89" s="268"/>
      <c r="D89" s="876" t="s">
        <v>1944</v>
      </c>
      <c r="E89" s="347"/>
      <c r="F89" s="349"/>
      <c r="G89" s="349"/>
      <c r="H89" s="348"/>
      <c r="I89" s="347"/>
      <c r="J89" s="348"/>
      <c r="K89" s="349"/>
      <c r="L89" s="348"/>
      <c r="M89" s="347"/>
      <c r="N89" s="347"/>
      <c r="O89" s="313"/>
      <c r="P89" s="313"/>
      <c r="Q89" s="313"/>
      <c r="R89" s="313"/>
      <c r="S89" s="313"/>
      <c r="T89" s="348"/>
      <c r="U89" s="349"/>
      <c r="V89" s="349"/>
      <c r="W89" s="348"/>
      <c r="X89" s="348"/>
      <c r="Y89" s="349"/>
      <c r="Z89" s="313"/>
      <c r="AA89" s="313"/>
      <c r="AB89" s="654"/>
      <c r="AC89" s="373"/>
      <c r="AD89" s="373"/>
      <c r="AE89" s="654"/>
      <c r="AF89" s="654"/>
      <c r="AG89" s="373"/>
      <c r="AH89" s="315"/>
      <c r="AI89" s="315"/>
      <c r="AJ89" s="348"/>
      <c r="AK89" s="349"/>
      <c r="AL89" s="349"/>
      <c r="AM89" s="348"/>
      <c r="AN89" s="349"/>
      <c r="AO89" s="349"/>
      <c r="AP89" s="313"/>
      <c r="AQ89" s="313"/>
      <c r="AR89" s="654"/>
      <c r="AS89" s="373"/>
      <c r="AT89" s="373"/>
      <c r="AU89" s="654"/>
      <c r="AV89" s="373"/>
      <c r="AW89" s="373"/>
      <c r="AX89" s="315"/>
      <c r="AY89" s="315"/>
      <c r="AZ89" s="348"/>
      <c r="BA89" s="349"/>
      <c r="BB89" s="349"/>
      <c r="BC89" s="348"/>
      <c r="BD89" s="349"/>
      <c r="BE89" s="349"/>
      <c r="BF89" s="313"/>
      <c r="BG89" s="313"/>
      <c r="BH89" s="654"/>
      <c r="BI89" s="373"/>
      <c r="BJ89" s="373"/>
      <c r="BK89" s="654"/>
      <c r="BL89" s="373"/>
      <c r="BM89" s="373"/>
      <c r="BN89" s="315"/>
      <c r="BO89" s="315"/>
      <c r="BP89" s="313"/>
      <c r="BQ89" s="349"/>
      <c r="BR89" s="349"/>
      <c r="BS89" s="348"/>
      <c r="BT89" s="349"/>
      <c r="BU89" s="349"/>
      <c r="BV89" s="313"/>
      <c r="BW89" s="313"/>
      <c r="BX89" s="315"/>
      <c r="BY89" s="373"/>
      <c r="BZ89" s="373"/>
      <c r="CA89" s="654"/>
      <c r="CB89" s="373"/>
      <c r="CC89" s="373"/>
      <c r="CD89" s="315"/>
      <c r="CE89" s="315"/>
      <c r="CF89" s="313"/>
      <c r="CG89" s="349"/>
      <c r="CH89" s="349"/>
      <c r="CI89" s="313"/>
      <c r="CJ89" s="349"/>
      <c r="CK89" s="349"/>
      <c r="CL89" s="313"/>
      <c r="CM89" s="313"/>
      <c r="CN89" s="315"/>
      <c r="CO89" s="373"/>
      <c r="CP89" s="373"/>
      <c r="CQ89" s="315"/>
      <c r="CR89" s="373"/>
      <c r="CS89" s="373"/>
      <c r="CT89" s="533"/>
      <c r="CU89" s="315"/>
      <c r="CV89" s="353"/>
      <c r="CW89" s="313"/>
      <c r="CX89" s="512"/>
      <c r="CY89" s="516"/>
      <c r="CZ89" s="517"/>
      <c r="DA89" s="516"/>
      <c r="DB89" s="517"/>
      <c r="DC89" s="516"/>
      <c r="DD89" s="517"/>
      <c r="DE89" s="516"/>
      <c r="DF89" s="517"/>
      <c r="DG89" s="516"/>
      <c r="DH89" s="517"/>
      <c r="DI89" s="516"/>
      <c r="DJ89" s="517"/>
      <c r="DK89" s="516"/>
      <c r="DL89" s="517"/>
      <c r="DM89" s="512"/>
      <c r="DN89" s="313"/>
      <c r="DO89" s="313"/>
      <c r="DP89" s="313"/>
      <c r="DQ89" s="313"/>
      <c r="DR89" s="313"/>
      <c r="DS89" s="313"/>
      <c r="DT89" s="313"/>
      <c r="DU89" s="313"/>
      <c r="DV89" s="313"/>
      <c r="DW89" s="313"/>
    </row>
    <row r="90" spans="1:127" s="2" customFormat="1">
      <c r="A90" s="347"/>
      <c r="B90" s="347"/>
      <c r="C90" s="268"/>
      <c r="D90" s="346"/>
      <c r="E90" s="347"/>
      <c r="F90" s="349"/>
      <c r="G90" s="349"/>
      <c r="H90" s="348"/>
      <c r="I90" s="347"/>
      <c r="J90" s="348"/>
      <c r="K90" s="349"/>
      <c r="L90" s="348"/>
      <c r="M90" s="347"/>
      <c r="N90" s="347"/>
      <c r="O90" s="313"/>
      <c r="P90" s="313"/>
      <c r="Q90" s="313"/>
      <c r="R90" s="313"/>
      <c r="S90" s="313"/>
      <c r="T90" s="348"/>
      <c r="U90" s="349"/>
      <c r="V90" s="349"/>
      <c r="W90" s="348"/>
      <c r="X90" s="348"/>
      <c r="Y90" s="349"/>
      <c r="Z90" s="313"/>
      <c r="AA90" s="313"/>
      <c r="AB90" s="654"/>
      <c r="AC90" s="373"/>
      <c r="AD90" s="373"/>
      <c r="AE90" s="654"/>
      <c r="AF90" s="654"/>
      <c r="AG90" s="373"/>
      <c r="AH90" s="315"/>
      <c r="AI90" s="315"/>
      <c r="AJ90" s="348"/>
      <c r="AK90" s="349"/>
      <c r="AL90" s="349"/>
      <c r="AM90" s="348"/>
      <c r="AN90" s="349"/>
      <c r="AO90" s="349"/>
      <c r="AP90" s="313"/>
      <c r="AQ90" s="313"/>
      <c r="AR90" s="654"/>
      <c r="AS90" s="373"/>
      <c r="AT90" s="373"/>
      <c r="AU90" s="654"/>
      <c r="AV90" s="373"/>
      <c r="AW90" s="373"/>
      <c r="AX90" s="315"/>
      <c r="AY90" s="315"/>
      <c r="AZ90" s="348"/>
      <c r="BA90" s="349"/>
      <c r="BB90" s="349"/>
      <c r="BC90" s="348"/>
      <c r="BD90" s="349"/>
      <c r="BE90" s="349"/>
      <c r="BF90" s="313"/>
      <c r="BG90" s="313"/>
      <c r="BH90" s="654"/>
      <c r="BI90" s="373"/>
      <c r="BJ90" s="373"/>
      <c r="BK90" s="654"/>
      <c r="BL90" s="373"/>
      <c r="BM90" s="373"/>
      <c r="BN90" s="315"/>
      <c r="BO90" s="315"/>
      <c r="BP90" s="313"/>
      <c r="BQ90" s="349"/>
      <c r="BR90" s="349"/>
      <c r="BS90" s="348"/>
      <c r="BT90" s="349"/>
      <c r="BU90" s="349"/>
      <c r="BV90" s="313"/>
      <c r="BW90" s="313"/>
      <c r="BX90" s="315"/>
      <c r="BY90" s="373"/>
      <c r="BZ90" s="373"/>
      <c r="CA90" s="654"/>
      <c r="CB90" s="373"/>
      <c r="CC90" s="373"/>
      <c r="CD90" s="315"/>
      <c r="CE90" s="315"/>
      <c r="CF90" s="313"/>
      <c r="CG90" s="349"/>
      <c r="CH90" s="349"/>
      <c r="CI90" s="313"/>
      <c r="CJ90" s="349"/>
      <c r="CK90" s="349"/>
      <c r="CL90" s="313"/>
      <c r="CM90" s="313"/>
      <c r="CN90" s="315"/>
      <c r="CO90" s="373"/>
      <c r="CP90" s="373"/>
      <c r="CQ90" s="315"/>
      <c r="CR90" s="373"/>
      <c r="CS90" s="373"/>
      <c r="CT90" s="342"/>
      <c r="CU90" s="315"/>
      <c r="CV90" s="353"/>
      <c r="CW90" s="313"/>
      <c r="CX90" s="512"/>
      <c r="CY90" s="516"/>
      <c r="CZ90" s="517"/>
      <c r="DA90" s="516"/>
      <c r="DB90" s="517"/>
      <c r="DC90" s="516"/>
      <c r="DD90" s="517"/>
      <c r="DE90" s="516"/>
      <c r="DF90" s="517"/>
      <c r="DG90" s="516"/>
      <c r="DH90" s="517"/>
      <c r="DI90" s="516"/>
      <c r="DJ90" s="517"/>
      <c r="DK90" s="516"/>
      <c r="DL90" s="517"/>
      <c r="DM90" s="512"/>
      <c r="DN90" s="313"/>
      <c r="DO90" s="313"/>
      <c r="DP90" s="313"/>
      <c r="DQ90" s="313"/>
      <c r="DR90" s="313"/>
      <c r="DS90" s="313"/>
      <c r="DT90" s="313"/>
      <c r="DU90" s="313"/>
      <c r="DV90" s="313"/>
      <c r="DW90" s="313"/>
    </row>
    <row r="91" spans="1:127" s="2" customFormat="1">
      <c r="A91" s="347"/>
      <c r="B91" s="347"/>
      <c r="C91" s="268"/>
      <c r="D91" s="346"/>
      <c r="E91" s="347"/>
      <c r="F91" s="349"/>
      <c r="G91" s="349"/>
      <c r="H91" s="348"/>
      <c r="I91" s="347"/>
      <c r="J91" s="348"/>
      <c r="K91" s="349"/>
      <c r="L91" s="348"/>
      <c r="M91" s="347"/>
      <c r="N91" s="347"/>
      <c r="O91" s="313"/>
      <c r="P91" s="313"/>
      <c r="Q91" s="313"/>
      <c r="R91" s="313"/>
      <c r="S91" s="313"/>
      <c r="T91" s="348"/>
      <c r="U91" s="349"/>
      <c r="V91" s="349"/>
      <c r="W91" s="348"/>
      <c r="X91" s="348"/>
      <c r="Y91" s="349"/>
      <c r="Z91" s="313"/>
      <c r="AA91" s="313"/>
      <c r="AB91" s="654"/>
      <c r="AC91" s="373"/>
      <c r="AD91" s="373"/>
      <c r="AE91" s="654"/>
      <c r="AF91" s="654"/>
      <c r="AG91" s="373"/>
      <c r="AH91" s="315"/>
      <c r="AI91" s="315"/>
      <c r="AJ91" s="348"/>
      <c r="AK91" s="349"/>
      <c r="AL91" s="349"/>
      <c r="AM91" s="348"/>
      <c r="AN91" s="349"/>
      <c r="AO91" s="349"/>
      <c r="AP91" s="313"/>
      <c r="AQ91" s="313"/>
      <c r="AR91" s="654"/>
      <c r="AS91" s="373"/>
      <c r="AT91" s="373"/>
      <c r="AU91" s="654"/>
      <c r="AV91" s="373"/>
      <c r="AW91" s="373"/>
      <c r="AX91" s="315"/>
      <c r="AY91" s="315"/>
      <c r="AZ91" s="348"/>
      <c r="BA91" s="349"/>
      <c r="BB91" s="349"/>
      <c r="BC91" s="348"/>
      <c r="BD91" s="349"/>
      <c r="BE91" s="349"/>
      <c r="BF91" s="313"/>
      <c r="BG91" s="313"/>
      <c r="BH91" s="654"/>
      <c r="BI91" s="373"/>
      <c r="BJ91" s="373"/>
      <c r="BK91" s="654"/>
      <c r="BL91" s="373"/>
      <c r="BM91" s="373"/>
      <c r="BN91" s="315"/>
      <c r="BO91" s="315"/>
      <c r="BP91" s="313"/>
      <c r="BQ91" s="349"/>
      <c r="BR91" s="349"/>
      <c r="BS91" s="348"/>
      <c r="BT91" s="349"/>
      <c r="BU91" s="349"/>
      <c r="BV91" s="313"/>
      <c r="BW91" s="313"/>
      <c r="BX91" s="315"/>
      <c r="BY91" s="373"/>
      <c r="BZ91" s="373"/>
      <c r="CA91" s="654"/>
      <c r="CB91" s="373"/>
      <c r="CC91" s="373"/>
      <c r="CD91" s="315"/>
      <c r="CE91" s="315"/>
      <c r="CF91" s="313"/>
      <c r="CG91" s="349"/>
      <c r="CH91" s="349"/>
      <c r="CI91" s="313"/>
      <c r="CJ91" s="349"/>
      <c r="CK91" s="349"/>
      <c r="CL91" s="313"/>
      <c r="CM91" s="313"/>
      <c r="CN91" s="315"/>
      <c r="CO91" s="373"/>
      <c r="CP91" s="373"/>
      <c r="CQ91" s="315"/>
      <c r="CR91" s="373"/>
      <c r="CS91" s="373"/>
      <c r="CT91" s="342"/>
      <c r="CU91" s="315"/>
      <c r="CV91" s="353"/>
      <c r="CW91" s="313"/>
      <c r="CX91" s="512"/>
      <c r="CY91" s="516"/>
      <c r="CZ91" s="517"/>
      <c r="DA91" s="516"/>
      <c r="DB91" s="517"/>
      <c r="DC91" s="516"/>
      <c r="DD91" s="517"/>
      <c r="DE91" s="516"/>
      <c r="DF91" s="517"/>
      <c r="DG91" s="516"/>
      <c r="DH91" s="517"/>
      <c r="DI91" s="516"/>
      <c r="DJ91" s="517"/>
      <c r="DK91" s="516"/>
      <c r="DL91" s="517"/>
      <c r="DM91" s="512"/>
      <c r="DN91" s="313"/>
      <c r="DO91" s="313"/>
      <c r="DP91" s="313"/>
      <c r="DQ91" s="313"/>
      <c r="DR91" s="313"/>
      <c r="DS91" s="313"/>
      <c r="DT91" s="313"/>
      <c r="DU91" s="313"/>
      <c r="DV91" s="313"/>
      <c r="DW91" s="313"/>
    </row>
    <row r="92" spans="1:127" s="2" customFormat="1">
      <c r="A92" s="347"/>
      <c r="B92" s="347"/>
      <c r="C92" s="268"/>
      <c r="D92" s="346"/>
      <c r="E92" s="347"/>
      <c r="F92" s="349"/>
      <c r="G92" s="349"/>
      <c r="H92" s="348"/>
      <c r="I92" s="347"/>
      <c r="J92" s="348"/>
      <c r="K92" s="349"/>
      <c r="L92" s="348"/>
      <c r="M92" s="347"/>
      <c r="N92" s="347"/>
      <c r="O92" s="313"/>
      <c r="P92" s="313"/>
      <c r="Q92" s="313"/>
      <c r="R92" s="313"/>
      <c r="S92" s="313"/>
      <c r="T92" s="348"/>
      <c r="U92" s="349"/>
      <c r="V92" s="349"/>
      <c r="W92" s="348"/>
      <c r="X92" s="348"/>
      <c r="Y92" s="349"/>
      <c r="Z92" s="313"/>
      <c r="AA92" s="313"/>
      <c r="AB92" s="654"/>
      <c r="AC92" s="373"/>
      <c r="AD92" s="373"/>
      <c r="AE92" s="654"/>
      <c r="AF92" s="654"/>
      <c r="AG92" s="373"/>
      <c r="AH92" s="315"/>
      <c r="AI92" s="315"/>
      <c r="AJ92" s="348"/>
      <c r="AK92" s="349"/>
      <c r="AL92" s="349"/>
      <c r="AM92" s="348"/>
      <c r="AN92" s="349"/>
      <c r="AO92" s="349"/>
      <c r="AP92" s="313"/>
      <c r="AQ92" s="313"/>
      <c r="AR92" s="654"/>
      <c r="AS92" s="373"/>
      <c r="AT92" s="373"/>
      <c r="AU92" s="654"/>
      <c r="AV92" s="373"/>
      <c r="AW92" s="373"/>
      <c r="AX92" s="315"/>
      <c r="AY92" s="315"/>
      <c r="AZ92" s="348"/>
      <c r="BA92" s="349"/>
      <c r="BB92" s="349"/>
      <c r="BC92" s="348"/>
      <c r="BD92" s="349"/>
      <c r="BE92" s="349"/>
      <c r="BF92" s="313"/>
      <c r="BG92" s="313"/>
      <c r="BH92" s="654"/>
      <c r="BI92" s="373"/>
      <c r="BJ92" s="373"/>
      <c r="BK92" s="654"/>
      <c r="BL92" s="373"/>
      <c r="BM92" s="373"/>
      <c r="BN92" s="315"/>
      <c r="BO92" s="315"/>
      <c r="BP92" s="313"/>
      <c r="BQ92" s="349"/>
      <c r="BR92" s="349"/>
      <c r="BS92" s="348"/>
      <c r="BT92" s="349"/>
      <c r="BU92" s="349"/>
      <c r="BV92" s="313"/>
      <c r="BW92" s="313"/>
      <c r="BX92" s="315"/>
      <c r="BY92" s="373"/>
      <c r="BZ92" s="373"/>
      <c r="CA92" s="654"/>
      <c r="CB92" s="373"/>
      <c r="CC92" s="373"/>
      <c r="CD92" s="315"/>
      <c r="CE92" s="315"/>
      <c r="CF92" s="313"/>
      <c r="CG92" s="349"/>
      <c r="CH92" s="349"/>
      <c r="CI92" s="313"/>
      <c r="CJ92" s="349"/>
      <c r="CK92" s="349"/>
      <c r="CL92" s="313"/>
      <c r="CM92" s="313"/>
      <c r="CN92" s="315"/>
      <c r="CO92" s="373"/>
      <c r="CP92" s="373"/>
      <c r="CQ92" s="315"/>
      <c r="CR92" s="373"/>
      <c r="CS92" s="373"/>
      <c r="CT92" s="342"/>
      <c r="CU92" s="315"/>
      <c r="CV92" s="353"/>
      <c r="CW92" s="313"/>
      <c r="CX92" s="512"/>
      <c r="CY92" s="516"/>
      <c r="CZ92" s="517"/>
      <c r="DA92" s="516"/>
      <c r="DB92" s="517"/>
      <c r="DC92" s="516"/>
      <c r="DD92" s="517"/>
      <c r="DE92" s="516"/>
      <c r="DF92" s="517"/>
      <c r="DG92" s="516"/>
      <c r="DH92" s="517"/>
      <c r="DI92" s="516"/>
      <c r="DJ92" s="517"/>
      <c r="DK92" s="516"/>
      <c r="DL92" s="517"/>
      <c r="DM92" s="512"/>
      <c r="DN92" s="313"/>
      <c r="DO92" s="313"/>
      <c r="DP92" s="313"/>
      <c r="DQ92" s="313"/>
      <c r="DR92" s="313"/>
      <c r="DS92" s="313"/>
      <c r="DT92" s="313"/>
      <c r="DU92" s="313"/>
      <c r="DV92" s="313"/>
      <c r="DW92" s="313"/>
    </row>
    <row r="93" spans="1:127" s="2" customFormat="1">
      <c r="A93" s="347"/>
      <c r="B93" s="347"/>
      <c r="C93" s="268"/>
      <c r="D93" s="346"/>
      <c r="E93" s="347"/>
      <c r="F93" s="349"/>
      <c r="G93" s="349"/>
      <c r="H93" s="348"/>
      <c r="I93" s="347"/>
      <c r="J93" s="348"/>
      <c r="K93" s="349"/>
      <c r="L93" s="348"/>
      <c r="M93" s="347"/>
      <c r="N93" s="347"/>
      <c r="O93" s="313"/>
      <c r="P93" s="313"/>
      <c r="Q93" s="313"/>
      <c r="R93" s="313"/>
      <c r="S93" s="313"/>
      <c r="T93" s="348"/>
      <c r="U93" s="349"/>
      <c r="V93" s="349"/>
      <c r="W93" s="348"/>
      <c r="X93" s="348"/>
      <c r="Y93" s="349"/>
      <c r="Z93" s="313"/>
      <c r="AA93" s="313"/>
      <c r="AB93" s="654"/>
      <c r="AC93" s="373"/>
      <c r="AD93" s="373"/>
      <c r="AE93" s="654"/>
      <c r="AF93" s="654"/>
      <c r="AG93" s="373"/>
      <c r="AH93" s="315"/>
      <c r="AI93" s="315"/>
      <c r="AJ93" s="348"/>
      <c r="AK93" s="349"/>
      <c r="AL93" s="349"/>
      <c r="AM93" s="348"/>
      <c r="AN93" s="349"/>
      <c r="AO93" s="349"/>
      <c r="AP93" s="313"/>
      <c r="AQ93" s="313"/>
      <c r="AR93" s="654"/>
      <c r="AS93" s="373"/>
      <c r="AT93" s="373"/>
      <c r="AU93" s="654"/>
      <c r="AV93" s="373"/>
      <c r="AW93" s="373"/>
      <c r="AX93" s="315"/>
      <c r="AY93" s="315"/>
      <c r="AZ93" s="348"/>
      <c r="BA93" s="349"/>
      <c r="BB93" s="349"/>
      <c r="BC93" s="348"/>
      <c r="BD93" s="349"/>
      <c r="BE93" s="349"/>
      <c r="BF93" s="313"/>
      <c r="BG93" s="313"/>
      <c r="BH93" s="654"/>
      <c r="BI93" s="373"/>
      <c r="BJ93" s="373"/>
      <c r="BK93" s="654"/>
      <c r="BL93" s="373"/>
      <c r="BM93" s="373"/>
      <c r="BN93" s="315"/>
      <c r="BO93" s="315"/>
      <c r="BP93" s="313"/>
      <c r="BQ93" s="349"/>
      <c r="BR93" s="349"/>
      <c r="BS93" s="348"/>
      <c r="BT93" s="349"/>
      <c r="BU93" s="349"/>
      <c r="BV93" s="313"/>
      <c r="BW93" s="313"/>
      <c r="BX93" s="315"/>
      <c r="BY93" s="373"/>
      <c r="BZ93" s="373"/>
      <c r="CA93" s="654"/>
      <c r="CB93" s="373"/>
      <c r="CC93" s="373"/>
      <c r="CD93" s="315"/>
      <c r="CE93" s="315"/>
      <c r="CF93" s="313"/>
      <c r="CG93" s="349"/>
      <c r="CH93" s="349"/>
      <c r="CI93" s="313"/>
      <c r="CJ93" s="349"/>
      <c r="CK93" s="349"/>
      <c r="CL93" s="313"/>
      <c r="CM93" s="313"/>
      <c r="CN93" s="315"/>
      <c r="CO93" s="373"/>
      <c r="CP93" s="373"/>
      <c r="CQ93" s="315"/>
      <c r="CR93" s="373"/>
      <c r="CS93" s="373"/>
      <c r="CT93" s="315"/>
      <c r="CU93" s="315"/>
      <c r="CV93" s="353"/>
      <c r="CW93" s="313"/>
      <c r="CX93" s="512"/>
      <c r="CY93" s="516"/>
      <c r="CZ93" s="517"/>
      <c r="DA93" s="516"/>
      <c r="DB93" s="517"/>
      <c r="DC93" s="516"/>
      <c r="DD93" s="517"/>
      <c r="DE93" s="516"/>
      <c r="DF93" s="517"/>
      <c r="DG93" s="516"/>
      <c r="DH93" s="517"/>
      <c r="DI93" s="516"/>
      <c r="DJ93" s="517"/>
      <c r="DK93" s="516"/>
      <c r="DL93" s="517"/>
      <c r="DM93" s="512"/>
      <c r="DN93" s="313"/>
      <c r="DO93" s="313"/>
      <c r="DP93" s="313"/>
      <c r="DQ93" s="313"/>
      <c r="DR93" s="313"/>
      <c r="DS93" s="313"/>
      <c r="DT93" s="313"/>
      <c r="DU93" s="313"/>
      <c r="DV93" s="313"/>
      <c r="DW93" s="313"/>
    </row>
    <row r="94" spans="1:127" s="2" customFormat="1">
      <c r="A94" s="347"/>
      <c r="B94" s="347"/>
      <c r="C94" s="268"/>
      <c r="D94" s="346"/>
      <c r="E94" s="347"/>
      <c r="F94" s="349"/>
      <c r="G94" s="349"/>
      <c r="H94" s="348"/>
      <c r="I94" s="347"/>
      <c r="J94" s="348"/>
      <c r="K94" s="349"/>
      <c r="L94" s="348"/>
      <c r="M94" s="347"/>
      <c r="N94" s="347"/>
      <c r="O94" s="313"/>
      <c r="P94" s="313"/>
      <c r="Q94" s="313"/>
      <c r="R94" s="313"/>
      <c r="S94" s="313"/>
      <c r="T94" s="348"/>
      <c r="U94" s="349"/>
      <c r="V94" s="349"/>
      <c r="W94" s="348"/>
      <c r="X94" s="348"/>
      <c r="Y94" s="349"/>
      <c r="Z94" s="313"/>
      <c r="AA94" s="313"/>
      <c r="AB94" s="654"/>
      <c r="AC94" s="373"/>
      <c r="AD94" s="373"/>
      <c r="AE94" s="654"/>
      <c r="AF94" s="654"/>
      <c r="AG94" s="373"/>
      <c r="AH94" s="315"/>
      <c r="AI94" s="315"/>
      <c r="AJ94" s="348"/>
      <c r="AK94" s="349"/>
      <c r="AL94" s="349"/>
      <c r="AM94" s="348"/>
      <c r="AN94" s="349"/>
      <c r="AO94" s="349"/>
      <c r="AP94" s="313"/>
      <c r="AQ94" s="313"/>
      <c r="AR94" s="654"/>
      <c r="AS94" s="373"/>
      <c r="AT94" s="373"/>
      <c r="AU94" s="654"/>
      <c r="AV94" s="373"/>
      <c r="AW94" s="373"/>
      <c r="AX94" s="315"/>
      <c r="AY94" s="315"/>
      <c r="AZ94" s="348"/>
      <c r="BA94" s="349"/>
      <c r="BB94" s="349"/>
      <c r="BC94" s="348"/>
      <c r="BD94" s="349"/>
      <c r="BE94" s="349"/>
      <c r="BF94" s="313"/>
      <c r="BG94" s="313"/>
      <c r="BH94" s="654"/>
      <c r="BI94" s="373"/>
      <c r="BJ94" s="373"/>
      <c r="BK94" s="654"/>
      <c r="BL94" s="373"/>
      <c r="BM94" s="373"/>
      <c r="BN94" s="315"/>
      <c r="BO94" s="315"/>
      <c r="BP94" s="313"/>
      <c r="BQ94" s="349"/>
      <c r="BR94" s="349"/>
      <c r="BS94" s="348"/>
      <c r="BT94" s="349"/>
      <c r="BU94" s="349"/>
      <c r="BV94" s="313"/>
      <c r="BW94" s="313"/>
      <c r="BX94" s="315"/>
      <c r="BY94" s="373"/>
      <c r="BZ94" s="373"/>
      <c r="CA94" s="654"/>
      <c r="CB94" s="373"/>
      <c r="CC94" s="373"/>
      <c r="CD94" s="315"/>
      <c r="CE94" s="315"/>
      <c r="CF94" s="313"/>
      <c r="CG94" s="349"/>
      <c r="CH94" s="349"/>
      <c r="CI94" s="313"/>
      <c r="CJ94" s="349"/>
      <c r="CK94" s="349"/>
      <c r="CL94" s="313"/>
      <c r="CM94" s="313"/>
      <c r="CN94" s="315"/>
      <c r="CO94" s="373"/>
      <c r="CP94" s="373"/>
      <c r="CQ94" s="315"/>
      <c r="CR94" s="373"/>
      <c r="CS94" s="373"/>
      <c r="CT94" s="315"/>
      <c r="CU94" s="315"/>
      <c r="CV94" s="353"/>
      <c r="CW94" s="313"/>
      <c r="CX94" s="512"/>
      <c r="CY94" s="516"/>
      <c r="CZ94" s="517"/>
      <c r="DA94" s="516"/>
      <c r="DB94" s="517"/>
      <c r="DC94" s="516"/>
      <c r="DD94" s="517"/>
      <c r="DE94" s="516"/>
      <c r="DF94" s="517"/>
      <c r="DG94" s="516"/>
      <c r="DH94" s="517"/>
      <c r="DI94" s="516"/>
      <c r="DJ94" s="517"/>
      <c r="DK94" s="516"/>
      <c r="DL94" s="517"/>
      <c r="DM94" s="512"/>
      <c r="DN94" s="313"/>
      <c r="DO94" s="313"/>
      <c r="DP94" s="313"/>
      <c r="DQ94" s="313"/>
      <c r="DR94" s="313"/>
      <c r="DS94" s="313"/>
      <c r="DT94" s="313"/>
      <c r="DU94" s="313"/>
      <c r="DV94" s="313"/>
      <c r="DW94" s="313"/>
    </row>
    <row r="95" spans="1:127" s="2" customFormat="1">
      <c r="A95" s="347"/>
      <c r="B95" s="347"/>
      <c r="C95" s="268"/>
      <c r="D95" s="346"/>
      <c r="E95" s="347"/>
      <c r="F95" s="349"/>
      <c r="G95" s="349"/>
      <c r="H95" s="348"/>
      <c r="I95" s="347"/>
      <c r="J95" s="348"/>
      <c r="K95" s="349"/>
      <c r="L95" s="348"/>
      <c r="M95" s="347"/>
      <c r="N95" s="347"/>
      <c r="O95" s="313"/>
      <c r="P95" s="313"/>
      <c r="Q95" s="313"/>
      <c r="R95" s="313"/>
      <c r="S95" s="313"/>
      <c r="T95" s="348"/>
      <c r="U95" s="349"/>
      <c r="V95" s="349"/>
      <c r="W95" s="348"/>
      <c r="X95" s="348"/>
      <c r="Y95" s="349"/>
      <c r="Z95" s="313"/>
      <c r="AA95" s="313"/>
      <c r="AB95" s="654"/>
      <c r="AC95" s="373"/>
      <c r="AD95" s="373"/>
      <c r="AE95" s="654"/>
      <c r="AF95" s="654"/>
      <c r="AG95" s="373"/>
      <c r="AH95" s="315"/>
      <c r="AI95" s="315"/>
      <c r="AJ95" s="348"/>
      <c r="AK95" s="349"/>
      <c r="AL95" s="349"/>
      <c r="AM95" s="348"/>
      <c r="AN95" s="349"/>
      <c r="AO95" s="349"/>
      <c r="AP95" s="313"/>
      <c r="AQ95" s="313"/>
      <c r="AR95" s="654"/>
      <c r="AS95" s="373"/>
      <c r="AT95" s="373"/>
      <c r="AU95" s="654"/>
      <c r="AV95" s="373"/>
      <c r="AW95" s="373"/>
      <c r="AX95" s="315"/>
      <c r="AY95" s="315"/>
      <c r="AZ95" s="348"/>
      <c r="BA95" s="349"/>
      <c r="BB95" s="349"/>
      <c r="BC95" s="348"/>
      <c r="BD95" s="349"/>
      <c r="BE95" s="349"/>
      <c r="BF95" s="313"/>
      <c r="BG95" s="313"/>
      <c r="BH95" s="654"/>
      <c r="BI95" s="373"/>
      <c r="BJ95" s="373"/>
      <c r="BK95" s="654"/>
      <c r="BL95" s="373"/>
      <c r="BM95" s="373"/>
      <c r="BN95" s="315"/>
      <c r="BO95" s="315"/>
      <c r="BP95" s="313"/>
      <c r="BQ95" s="349"/>
      <c r="BR95" s="349"/>
      <c r="BS95" s="348"/>
      <c r="BT95" s="349"/>
      <c r="BU95" s="349"/>
      <c r="BV95" s="313"/>
      <c r="BW95" s="313"/>
      <c r="BX95" s="315"/>
      <c r="BY95" s="373"/>
      <c r="BZ95" s="373"/>
      <c r="CA95" s="654"/>
      <c r="CB95" s="373"/>
      <c r="CC95" s="373"/>
      <c r="CD95" s="315"/>
      <c r="CE95" s="315"/>
      <c r="CF95" s="313"/>
      <c r="CG95" s="349"/>
      <c r="CH95" s="349"/>
      <c r="CI95" s="313"/>
      <c r="CJ95" s="349"/>
      <c r="CK95" s="349"/>
      <c r="CL95" s="313"/>
      <c r="CM95" s="313"/>
      <c r="CN95" s="315"/>
      <c r="CO95" s="373"/>
      <c r="CP95" s="373"/>
      <c r="CQ95" s="315"/>
      <c r="CR95" s="373"/>
      <c r="CS95" s="373"/>
      <c r="CT95" s="315"/>
      <c r="CU95" s="315"/>
      <c r="CV95" s="353"/>
      <c r="CW95" s="313"/>
      <c r="CX95" s="512"/>
      <c r="CY95" s="516"/>
      <c r="CZ95" s="517"/>
      <c r="DA95" s="516"/>
      <c r="DB95" s="517"/>
      <c r="DC95" s="516"/>
      <c r="DD95" s="517"/>
      <c r="DE95" s="516"/>
      <c r="DF95" s="517"/>
      <c r="DG95" s="516"/>
      <c r="DH95" s="517"/>
      <c r="DI95" s="516"/>
      <c r="DJ95" s="517"/>
      <c r="DK95" s="516"/>
      <c r="DL95" s="517"/>
      <c r="DM95" s="512"/>
      <c r="DN95" s="313"/>
      <c r="DO95" s="313"/>
      <c r="DP95" s="313"/>
      <c r="DQ95" s="313"/>
      <c r="DR95" s="313"/>
      <c r="DS95" s="313"/>
      <c r="DT95" s="313"/>
      <c r="DU95" s="313"/>
      <c r="DV95" s="313"/>
      <c r="DW95" s="313"/>
    </row>
    <row r="96" spans="1:127" s="2" customFormat="1">
      <c r="A96" s="347"/>
      <c r="B96" s="347"/>
      <c r="C96" s="268"/>
      <c r="D96" s="346"/>
      <c r="E96" s="347"/>
      <c r="F96" s="349"/>
      <c r="G96" s="349"/>
      <c r="H96" s="348"/>
      <c r="I96" s="347"/>
      <c r="J96" s="348"/>
      <c r="K96" s="349"/>
      <c r="L96" s="348"/>
      <c r="M96" s="347"/>
      <c r="N96" s="347"/>
      <c r="O96" s="313"/>
      <c r="P96" s="313"/>
      <c r="Q96" s="313"/>
      <c r="R96" s="313"/>
      <c r="S96" s="313"/>
      <c r="T96" s="348"/>
      <c r="U96" s="349"/>
      <c r="V96" s="349"/>
      <c r="W96" s="348"/>
      <c r="X96" s="348"/>
      <c r="Y96" s="349"/>
      <c r="Z96" s="313"/>
      <c r="AA96" s="313"/>
      <c r="AB96" s="654"/>
      <c r="AC96" s="373"/>
      <c r="AD96" s="373"/>
      <c r="AE96" s="654"/>
      <c r="AF96" s="654"/>
      <c r="AG96" s="373"/>
      <c r="AH96" s="315"/>
      <c r="AI96" s="315"/>
      <c r="AJ96" s="348"/>
      <c r="AK96" s="349"/>
      <c r="AL96" s="349"/>
      <c r="AM96" s="348"/>
      <c r="AN96" s="349"/>
      <c r="AO96" s="349"/>
      <c r="AP96" s="313"/>
      <c r="AQ96" s="313"/>
      <c r="AR96" s="654"/>
      <c r="AS96" s="373"/>
      <c r="AT96" s="373"/>
      <c r="AU96" s="654"/>
      <c r="AV96" s="373"/>
      <c r="AW96" s="373"/>
      <c r="AX96" s="315"/>
      <c r="AY96" s="315"/>
      <c r="AZ96" s="348"/>
      <c r="BA96" s="349"/>
      <c r="BB96" s="349"/>
      <c r="BC96" s="348"/>
      <c r="BD96" s="349"/>
      <c r="BE96" s="349"/>
      <c r="BF96" s="313"/>
      <c r="BG96" s="313"/>
      <c r="BH96" s="654"/>
      <c r="BI96" s="373"/>
      <c r="BJ96" s="373"/>
      <c r="BK96" s="654"/>
      <c r="BL96" s="373"/>
      <c r="BM96" s="373"/>
      <c r="BN96" s="315"/>
      <c r="BO96" s="315"/>
      <c r="BP96" s="313"/>
      <c r="BQ96" s="349"/>
      <c r="BR96" s="349"/>
      <c r="BS96" s="348"/>
      <c r="BT96" s="349"/>
      <c r="BU96" s="349"/>
      <c r="BV96" s="313"/>
      <c r="BW96" s="313"/>
      <c r="BX96" s="315"/>
      <c r="BY96" s="373"/>
      <c r="BZ96" s="373"/>
      <c r="CA96" s="654"/>
      <c r="CB96" s="373"/>
      <c r="CC96" s="373"/>
      <c r="CD96" s="315"/>
      <c r="CE96" s="315"/>
      <c r="CF96" s="313"/>
      <c r="CG96" s="349"/>
      <c r="CH96" s="349"/>
      <c r="CI96" s="313"/>
      <c r="CJ96" s="349"/>
      <c r="CK96" s="349"/>
      <c r="CL96" s="313"/>
      <c r="CM96" s="313"/>
      <c r="CN96" s="315"/>
      <c r="CO96" s="373"/>
      <c r="CP96" s="373"/>
      <c r="CQ96" s="315"/>
      <c r="CR96" s="373"/>
      <c r="CS96" s="373"/>
      <c r="CT96" s="315"/>
      <c r="CU96" s="315"/>
      <c r="CV96" s="353"/>
      <c r="CW96" s="313"/>
      <c r="CX96" s="512"/>
      <c r="CY96" s="516"/>
      <c r="CZ96" s="517"/>
      <c r="DA96" s="516"/>
      <c r="DB96" s="517"/>
      <c r="DC96" s="516"/>
      <c r="DD96" s="517"/>
      <c r="DE96" s="516"/>
      <c r="DF96" s="517"/>
      <c r="DG96" s="516"/>
      <c r="DH96" s="517"/>
      <c r="DI96" s="516"/>
      <c r="DJ96" s="517"/>
      <c r="DK96" s="516"/>
      <c r="DL96" s="517"/>
      <c r="DM96" s="512"/>
      <c r="DN96" s="313"/>
      <c r="DO96" s="313"/>
      <c r="DP96" s="313"/>
      <c r="DQ96" s="313"/>
      <c r="DR96" s="313"/>
      <c r="DS96" s="313"/>
      <c r="DT96" s="313"/>
      <c r="DU96" s="313"/>
      <c r="DV96" s="313"/>
      <c r="DW96" s="313"/>
    </row>
    <row r="97" spans="1:127" s="2" customFormat="1">
      <c r="A97" s="347"/>
      <c r="B97" s="347"/>
      <c r="C97" s="268"/>
      <c r="D97" s="346"/>
      <c r="E97" s="347"/>
      <c r="F97" s="349"/>
      <c r="G97" s="349"/>
      <c r="H97" s="348"/>
      <c r="I97" s="347"/>
      <c r="J97" s="348"/>
      <c r="K97" s="349"/>
      <c r="L97" s="348"/>
      <c r="M97" s="347"/>
      <c r="N97" s="347"/>
      <c r="O97" s="313"/>
      <c r="P97" s="313"/>
      <c r="Q97" s="313"/>
      <c r="R97" s="313"/>
      <c r="S97" s="313"/>
      <c r="T97" s="348"/>
      <c r="U97" s="349"/>
      <c r="V97" s="349"/>
      <c r="W97" s="348"/>
      <c r="X97" s="348"/>
      <c r="Y97" s="349"/>
      <c r="Z97" s="313"/>
      <c r="AA97" s="313"/>
      <c r="AB97" s="654"/>
      <c r="AC97" s="373"/>
      <c r="AD97" s="373"/>
      <c r="AE97" s="654"/>
      <c r="AF97" s="654"/>
      <c r="AG97" s="373"/>
      <c r="AH97" s="315"/>
      <c r="AI97" s="315"/>
      <c r="AJ97" s="348"/>
      <c r="AK97" s="349"/>
      <c r="AL97" s="349"/>
      <c r="AM97" s="348"/>
      <c r="AN97" s="349"/>
      <c r="AO97" s="349"/>
      <c r="AP97" s="313"/>
      <c r="AQ97" s="313"/>
      <c r="AR97" s="654"/>
      <c r="AS97" s="373"/>
      <c r="AT97" s="373"/>
      <c r="AU97" s="654"/>
      <c r="AV97" s="373"/>
      <c r="AW97" s="373"/>
      <c r="AX97" s="315"/>
      <c r="AY97" s="315"/>
      <c r="AZ97" s="348"/>
      <c r="BA97" s="349"/>
      <c r="BB97" s="349"/>
      <c r="BC97" s="348"/>
      <c r="BD97" s="349"/>
      <c r="BE97" s="349"/>
      <c r="BF97" s="313"/>
      <c r="BG97" s="313"/>
      <c r="BH97" s="654"/>
      <c r="BI97" s="373"/>
      <c r="BJ97" s="373"/>
      <c r="BK97" s="654"/>
      <c r="BL97" s="373"/>
      <c r="BM97" s="373"/>
      <c r="BN97" s="315"/>
      <c r="BO97" s="315"/>
      <c r="BP97" s="313"/>
      <c r="BQ97" s="349"/>
      <c r="BR97" s="349"/>
      <c r="BS97" s="348"/>
      <c r="BT97" s="349"/>
      <c r="BU97" s="349"/>
      <c r="BV97" s="313"/>
      <c r="BW97" s="313"/>
      <c r="BX97" s="315"/>
      <c r="BY97" s="373"/>
      <c r="BZ97" s="373"/>
      <c r="CA97" s="654"/>
      <c r="CB97" s="373"/>
      <c r="CC97" s="373"/>
      <c r="CD97" s="315"/>
      <c r="CE97" s="315"/>
      <c r="CF97" s="313"/>
      <c r="CG97" s="349"/>
      <c r="CH97" s="349"/>
      <c r="CI97" s="313"/>
      <c r="CJ97" s="349"/>
      <c r="CK97" s="349"/>
      <c r="CL97" s="313"/>
      <c r="CM97" s="313"/>
      <c r="CN97" s="315"/>
      <c r="CO97" s="373"/>
      <c r="CP97" s="373"/>
      <c r="CQ97" s="315"/>
      <c r="CR97" s="373"/>
      <c r="CS97" s="373"/>
      <c r="CT97" s="315"/>
      <c r="CU97" s="315"/>
      <c r="CV97" s="353"/>
      <c r="CW97" s="313"/>
      <c r="CX97" s="512"/>
      <c r="CY97" s="516"/>
      <c r="CZ97" s="517"/>
      <c r="DA97" s="516"/>
      <c r="DB97" s="517"/>
      <c r="DC97" s="516"/>
      <c r="DD97" s="517"/>
      <c r="DE97" s="516"/>
      <c r="DF97" s="517"/>
      <c r="DG97" s="516"/>
      <c r="DH97" s="517"/>
      <c r="DI97" s="516"/>
      <c r="DJ97" s="517"/>
      <c r="DK97" s="516"/>
      <c r="DL97" s="517"/>
      <c r="DM97" s="512"/>
      <c r="DN97" s="313"/>
      <c r="DO97" s="313"/>
      <c r="DP97" s="313"/>
      <c r="DQ97" s="313"/>
      <c r="DR97" s="313"/>
      <c r="DS97" s="313"/>
      <c r="DT97" s="313"/>
      <c r="DU97" s="313"/>
      <c r="DV97" s="313"/>
      <c r="DW97" s="313"/>
    </row>
    <row r="98" spans="1:127" s="2" customFormat="1">
      <c r="A98" s="347"/>
      <c r="B98" s="347"/>
      <c r="C98" s="268"/>
      <c r="D98" s="346"/>
      <c r="E98" s="347"/>
      <c r="F98" s="349"/>
      <c r="G98" s="349"/>
      <c r="H98" s="348"/>
      <c r="I98" s="347"/>
      <c r="J98" s="348"/>
      <c r="K98" s="349"/>
      <c r="L98" s="348"/>
      <c r="M98" s="347"/>
      <c r="N98" s="347"/>
      <c r="O98" s="313"/>
      <c r="P98" s="313"/>
      <c r="Q98" s="313"/>
      <c r="R98" s="313"/>
      <c r="S98" s="313"/>
      <c r="T98" s="348"/>
      <c r="U98" s="349"/>
      <c r="V98" s="349"/>
      <c r="W98" s="348"/>
      <c r="X98" s="348"/>
      <c r="Y98" s="349"/>
      <c r="Z98" s="313"/>
      <c r="AA98" s="313"/>
      <c r="AB98" s="654"/>
      <c r="AC98" s="373"/>
      <c r="AD98" s="373"/>
      <c r="AE98" s="654"/>
      <c r="AF98" s="654"/>
      <c r="AG98" s="373"/>
      <c r="AH98" s="315"/>
      <c r="AI98" s="315"/>
      <c r="AJ98" s="348"/>
      <c r="AK98" s="349"/>
      <c r="AL98" s="349"/>
      <c r="AM98" s="348"/>
      <c r="AN98" s="349"/>
      <c r="AO98" s="349"/>
      <c r="AP98" s="313"/>
      <c r="AQ98" s="313"/>
      <c r="AR98" s="654"/>
      <c r="AS98" s="373"/>
      <c r="AT98" s="373"/>
      <c r="AU98" s="654"/>
      <c r="AV98" s="373"/>
      <c r="AW98" s="373"/>
      <c r="AX98" s="315"/>
      <c r="AY98" s="315"/>
      <c r="AZ98" s="348"/>
      <c r="BA98" s="349"/>
      <c r="BB98" s="349"/>
      <c r="BC98" s="348"/>
      <c r="BD98" s="349"/>
      <c r="BE98" s="349"/>
      <c r="BF98" s="313"/>
      <c r="BG98" s="313"/>
      <c r="BH98" s="654"/>
      <c r="BI98" s="373"/>
      <c r="BJ98" s="373"/>
      <c r="BK98" s="654"/>
      <c r="BL98" s="373"/>
      <c r="BM98" s="373"/>
      <c r="BN98" s="315"/>
      <c r="BO98" s="315"/>
      <c r="BP98" s="313"/>
      <c r="BQ98" s="349"/>
      <c r="BR98" s="349"/>
      <c r="BS98" s="348"/>
      <c r="BT98" s="349"/>
      <c r="BU98" s="349"/>
      <c r="BV98" s="313"/>
      <c r="BW98" s="313"/>
      <c r="BX98" s="315"/>
      <c r="BY98" s="373"/>
      <c r="BZ98" s="373"/>
      <c r="CA98" s="654"/>
      <c r="CB98" s="373"/>
      <c r="CC98" s="373"/>
      <c r="CD98" s="315"/>
      <c r="CE98" s="315"/>
      <c r="CF98" s="313"/>
      <c r="CG98" s="349"/>
      <c r="CH98" s="349"/>
      <c r="CI98" s="313"/>
      <c r="CJ98" s="349"/>
      <c r="CK98" s="349"/>
      <c r="CL98" s="313"/>
      <c r="CM98" s="313"/>
      <c r="CN98" s="315"/>
      <c r="CO98" s="373"/>
      <c r="CP98" s="373"/>
      <c r="CQ98" s="315"/>
      <c r="CR98" s="373"/>
      <c r="CS98" s="373"/>
      <c r="CT98" s="315"/>
      <c r="CU98" s="315"/>
      <c r="CV98" s="353"/>
      <c r="CW98" s="313"/>
      <c r="CX98" s="512"/>
      <c r="CY98" s="516"/>
      <c r="CZ98" s="517"/>
      <c r="DA98" s="516"/>
      <c r="DB98" s="517"/>
      <c r="DC98" s="516"/>
      <c r="DD98" s="517"/>
      <c r="DE98" s="516"/>
      <c r="DF98" s="517"/>
      <c r="DG98" s="516"/>
      <c r="DH98" s="517"/>
      <c r="DI98" s="516"/>
      <c r="DJ98" s="517"/>
      <c r="DK98" s="516"/>
      <c r="DL98" s="517"/>
      <c r="DM98" s="512"/>
      <c r="DN98" s="313"/>
      <c r="DO98" s="313"/>
      <c r="DP98" s="313"/>
      <c r="DQ98" s="313"/>
      <c r="DR98" s="313"/>
      <c r="DS98" s="313"/>
      <c r="DT98" s="313"/>
      <c r="DU98" s="313"/>
      <c r="DV98" s="313"/>
      <c r="DW98" s="313"/>
    </row>
    <row r="99" spans="1:127" s="2" customFormat="1">
      <c r="A99" s="347"/>
      <c r="B99" s="347"/>
      <c r="C99" s="268"/>
      <c r="D99" s="346"/>
      <c r="E99" s="347"/>
      <c r="F99" s="349"/>
      <c r="G99" s="349"/>
      <c r="H99" s="348"/>
      <c r="I99" s="347"/>
      <c r="J99" s="348"/>
      <c r="K99" s="349"/>
      <c r="L99" s="348"/>
      <c r="M99" s="347"/>
      <c r="N99" s="347"/>
      <c r="O99" s="313"/>
      <c r="P99" s="313"/>
      <c r="Q99" s="313"/>
      <c r="R99" s="313"/>
      <c r="S99" s="313"/>
      <c r="T99" s="348"/>
      <c r="U99" s="349"/>
      <c r="V99" s="349"/>
      <c r="W99" s="348"/>
      <c r="X99" s="348"/>
      <c r="Y99" s="349"/>
      <c r="Z99" s="313"/>
      <c r="AA99" s="313"/>
      <c r="AB99" s="654"/>
      <c r="AC99" s="373"/>
      <c r="AD99" s="373"/>
      <c r="AE99" s="654"/>
      <c r="AF99" s="654"/>
      <c r="AG99" s="373"/>
      <c r="AH99" s="315"/>
      <c r="AI99" s="315"/>
      <c r="AJ99" s="348"/>
      <c r="AK99" s="349"/>
      <c r="AL99" s="349"/>
      <c r="AM99" s="348"/>
      <c r="AN99" s="349"/>
      <c r="AO99" s="349"/>
      <c r="AP99" s="313"/>
      <c r="AQ99" s="313"/>
      <c r="AR99" s="654"/>
      <c r="AS99" s="373"/>
      <c r="AT99" s="373"/>
      <c r="AU99" s="654"/>
      <c r="AV99" s="373"/>
      <c r="AW99" s="373"/>
      <c r="AX99" s="315"/>
      <c r="AY99" s="315"/>
      <c r="AZ99" s="348"/>
      <c r="BA99" s="349"/>
      <c r="BB99" s="349"/>
      <c r="BC99" s="348"/>
      <c r="BD99" s="349"/>
      <c r="BE99" s="349"/>
      <c r="BF99" s="313"/>
      <c r="BG99" s="313"/>
      <c r="BH99" s="654"/>
      <c r="BI99" s="373"/>
      <c r="BJ99" s="373"/>
      <c r="BK99" s="654"/>
      <c r="BL99" s="373"/>
      <c r="BM99" s="373"/>
      <c r="BN99" s="315"/>
      <c r="BO99" s="315"/>
      <c r="BP99" s="313"/>
      <c r="BQ99" s="349"/>
      <c r="BR99" s="349"/>
      <c r="BS99" s="348"/>
      <c r="BT99" s="349"/>
      <c r="BU99" s="349"/>
      <c r="BV99" s="313"/>
      <c r="BW99" s="313"/>
      <c r="BX99" s="315"/>
      <c r="BY99" s="373"/>
      <c r="BZ99" s="373"/>
      <c r="CA99" s="654"/>
      <c r="CB99" s="373"/>
      <c r="CC99" s="373"/>
      <c r="CD99" s="315"/>
      <c r="CE99" s="315"/>
      <c r="CF99" s="313"/>
      <c r="CG99" s="349"/>
      <c r="CH99" s="349"/>
      <c r="CI99" s="313"/>
      <c r="CJ99" s="349"/>
      <c r="CK99" s="349"/>
      <c r="CL99" s="313"/>
      <c r="CM99" s="313"/>
      <c r="CN99" s="315"/>
      <c r="CO99" s="373"/>
      <c r="CP99" s="373"/>
      <c r="CQ99" s="315"/>
      <c r="CR99" s="373"/>
      <c r="CS99" s="373"/>
      <c r="CT99" s="315"/>
      <c r="CU99" s="315"/>
      <c r="CV99" s="353"/>
      <c r="CW99" s="313"/>
      <c r="CX99" s="512"/>
      <c r="CY99" s="516"/>
      <c r="CZ99" s="517"/>
      <c r="DA99" s="516"/>
      <c r="DB99" s="517"/>
      <c r="DC99" s="516"/>
      <c r="DD99" s="517"/>
      <c r="DE99" s="516"/>
      <c r="DF99" s="517"/>
      <c r="DG99" s="516"/>
      <c r="DH99" s="517"/>
      <c r="DI99" s="516"/>
      <c r="DJ99" s="517"/>
      <c r="DK99" s="516"/>
      <c r="DL99" s="517"/>
      <c r="DM99" s="512"/>
      <c r="DN99" s="313"/>
      <c r="DO99" s="313"/>
      <c r="DP99" s="313"/>
      <c r="DQ99" s="313"/>
      <c r="DR99" s="313"/>
      <c r="DS99" s="313"/>
      <c r="DT99" s="313"/>
      <c r="DU99" s="313"/>
      <c r="DV99" s="313"/>
      <c r="DW99" s="313"/>
    </row>
    <row r="100" spans="1:127" s="2" customFormat="1">
      <c r="A100" s="347"/>
      <c r="B100" s="347"/>
      <c r="C100" s="268"/>
      <c r="D100" s="346"/>
      <c r="E100" s="347"/>
      <c r="F100" s="349"/>
      <c r="G100" s="349"/>
      <c r="H100" s="348"/>
      <c r="I100" s="347"/>
      <c r="J100" s="348"/>
      <c r="K100" s="349"/>
      <c r="L100" s="348"/>
      <c r="M100" s="347"/>
      <c r="N100" s="347"/>
      <c r="O100" s="313"/>
      <c r="P100" s="313"/>
      <c r="Q100" s="313"/>
      <c r="R100" s="313"/>
      <c r="S100" s="313"/>
      <c r="T100" s="348"/>
      <c r="U100" s="349"/>
      <c r="V100" s="349"/>
      <c r="W100" s="348"/>
      <c r="X100" s="348"/>
      <c r="Y100" s="349"/>
      <c r="Z100" s="313"/>
      <c r="AA100" s="313"/>
      <c r="AB100" s="654"/>
      <c r="AC100" s="373"/>
      <c r="AD100" s="373"/>
      <c r="AE100" s="654"/>
      <c r="AF100" s="654"/>
      <c r="AG100" s="373"/>
      <c r="AH100" s="315"/>
      <c r="AI100" s="315"/>
      <c r="AJ100" s="348"/>
      <c r="AK100" s="349"/>
      <c r="AL100" s="349"/>
      <c r="AM100" s="348"/>
      <c r="AN100" s="349"/>
      <c r="AO100" s="349"/>
      <c r="AP100" s="313"/>
      <c r="AQ100" s="313"/>
      <c r="AR100" s="654"/>
      <c r="AS100" s="373"/>
      <c r="AT100" s="373"/>
      <c r="AU100" s="654"/>
      <c r="AV100" s="373"/>
      <c r="AW100" s="373"/>
      <c r="AX100" s="315"/>
      <c r="AY100" s="315"/>
      <c r="AZ100" s="348"/>
      <c r="BA100" s="349"/>
      <c r="BB100" s="349"/>
      <c r="BC100" s="348"/>
      <c r="BD100" s="349"/>
      <c r="BE100" s="349"/>
      <c r="BF100" s="313"/>
      <c r="BG100" s="313"/>
      <c r="BH100" s="654"/>
      <c r="BI100" s="373"/>
      <c r="BJ100" s="373"/>
      <c r="BK100" s="654"/>
      <c r="BL100" s="373"/>
      <c r="BM100" s="373"/>
      <c r="BN100" s="315"/>
      <c r="BO100" s="315"/>
      <c r="BP100" s="313"/>
      <c r="BQ100" s="349"/>
      <c r="BR100" s="349"/>
      <c r="BS100" s="348"/>
      <c r="BT100" s="349"/>
      <c r="BU100" s="349"/>
      <c r="BV100" s="313"/>
      <c r="BW100" s="313"/>
      <c r="BX100" s="315"/>
      <c r="BY100" s="373"/>
      <c r="BZ100" s="373"/>
      <c r="CA100" s="654"/>
      <c r="CB100" s="373"/>
      <c r="CC100" s="373"/>
      <c r="CD100" s="315"/>
      <c r="CE100" s="315"/>
      <c r="CF100" s="313"/>
      <c r="CG100" s="349"/>
      <c r="CH100" s="349"/>
      <c r="CI100" s="313"/>
      <c r="CJ100" s="349"/>
      <c r="CK100" s="349"/>
      <c r="CL100" s="313"/>
      <c r="CM100" s="313"/>
      <c r="CN100" s="315"/>
      <c r="CO100" s="373"/>
      <c r="CP100" s="373"/>
      <c r="CQ100" s="315"/>
      <c r="CR100" s="373"/>
      <c r="CS100" s="373"/>
      <c r="CT100" s="315"/>
      <c r="CU100" s="315"/>
      <c r="CV100" s="353"/>
      <c r="CW100" s="313"/>
      <c r="CX100" s="512"/>
      <c r="CY100" s="516"/>
      <c r="CZ100" s="517"/>
      <c r="DA100" s="516"/>
      <c r="DB100" s="517"/>
      <c r="DC100" s="516"/>
      <c r="DD100" s="517"/>
      <c r="DE100" s="516"/>
      <c r="DF100" s="517"/>
      <c r="DG100" s="516"/>
      <c r="DH100" s="517"/>
      <c r="DI100" s="516"/>
      <c r="DJ100" s="517"/>
      <c r="DK100" s="516"/>
      <c r="DL100" s="517"/>
      <c r="DM100" s="512"/>
      <c r="DN100" s="313"/>
      <c r="DO100" s="313"/>
      <c r="DP100" s="313"/>
      <c r="DQ100" s="313"/>
      <c r="DR100" s="313"/>
      <c r="DS100" s="313"/>
      <c r="DT100" s="313"/>
      <c r="DU100" s="313"/>
      <c r="DV100" s="313"/>
      <c r="DW100" s="313"/>
    </row>
    <row r="101" spans="1:127" s="2" customFormat="1">
      <c r="A101" s="347"/>
      <c r="B101" s="347"/>
      <c r="C101" s="268"/>
      <c r="D101" s="346"/>
      <c r="E101" s="347"/>
      <c r="F101" s="349"/>
      <c r="G101" s="349"/>
      <c r="H101" s="348"/>
      <c r="I101" s="347"/>
      <c r="J101" s="348"/>
      <c r="K101" s="349"/>
      <c r="L101" s="348"/>
      <c r="M101" s="347"/>
      <c r="N101" s="347"/>
      <c r="O101" s="313"/>
      <c r="P101" s="313"/>
      <c r="Q101" s="313"/>
      <c r="R101" s="313"/>
      <c r="S101" s="313"/>
      <c r="T101" s="348"/>
      <c r="U101" s="349"/>
      <c r="V101" s="349"/>
      <c r="W101" s="348"/>
      <c r="X101" s="348"/>
      <c r="Y101" s="349"/>
      <c r="Z101" s="313"/>
      <c r="AA101" s="313"/>
      <c r="AB101" s="654"/>
      <c r="AC101" s="373"/>
      <c r="AD101" s="373"/>
      <c r="AE101" s="654"/>
      <c r="AF101" s="654"/>
      <c r="AG101" s="373"/>
      <c r="AH101" s="315"/>
      <c r="AI101" s="315"/>
      <c r="AJ101" s="348"/>
      <c r="AK101" s="349"/>
      <c r="AL101" s="349"/>
      <c r="AM101" s="348"/>
      <c r="AN101" s="349"/>
      <c r="AO101" s="349"/>
      <c r="AP101" s="313"/>
      <c r="AQ101" s="313"/>
      <c r="AR101" s="654"/>
      <c r="AS101" s="373"/>
      <c r="AT101" s="373"/>
      <c r="AU101" s="654"/>
      <c r="AV101" s="373"/>
      <c r="AW101" s="373"/>
      <c r="AX101" s="315"/>
      <c r="AY101" s="315"/>
      <c r="AZ101" s="348"/>
      <c r="BA101" s="349"/>
      <c r="BB101" s="349"/>
      <c r="BC101" s="348"/>
      <c r="BD101" s="349"/>
      <c r="BE101" s="349"/>
      <c r="BF101" s="313"/>
      <c r="BG101" s="313"/>
      <c r="BH101" s="654"/>
      <c r="BI101" s="373"/>
      <c r="BJ101" s="373"/>
      <c r="BK101" s="654"/>
      <c r="BL101" s="373"/>
      <c r="BM101" s="373"/>
      <c r="BN101" s="315"/>
      <c r="BO101" s="315"/>
      <c r="BP101" s="313"/>
      <c r="BQ101" s="349"/>
      <c r="BR101" s="349"/>
      <c r="BS101" s="348"/>
      <c r="BT101" s="349"/>
      <c r="BU101" s="349"/>
      <c r="BV101" s="313"/>
      <c r="BW101" s="313"/>
      <c r="BX101" s="315"/>
      <c r="BY101" s="373"/>
      <c r="BZ101" s="373"/>
      <c r="CA101" s="654"/>
      <c r="CB101" s="373"/>
      <c r="CC101" s="373"/>
      <c r="CD101" s="315"/>
      <c r="CE101" s="315"/>
      <c r="CF101" s="313"/>
      <c r="CG101" s="349"/>
      <c r="CH101" s="349"/>
      <c r="CI101" s="313"/>
      <c r="CJ101" s="349"/>
      <c r="CK101" s="349"/>
      <c r="CL101" s="313"/>
      <c r="CM101" s="313"/>
      <c r="CN101" s="315"/>
      <c r="CO101" s="373"/>
      <c r="CP101" s="373"/>
      <c r="CQ101" s="315"/>
      <c r="CR101" s="373"/>
      <c r="CS101" s="373"/>
      <c r="CT101" s="315"/>
      <c r="CU101" s="315"/>
      <c r="CV101" s="353"/>
      <c r="CW101" s="313"/>
      <c r="CX101" s="512"/>
      <c r="CY101" s="516"/>
      <c r="CZ101" s="517"/>
      <c r="DA101" s="516"/>
      <c r="DB101" s="517"/>
      <c r="DC101" s="516"/>
      <c r="DD101" s="517"/>
      <c r="DE101" s="516"/>
      <c r="DF101" s="517"/>
      <c r="DG101" s="516"/>
      <c r="DH101" s="517"/>
      <c r="DI101" s="516"/>
      <c r="DJ101" s="517"/>
      <c r="DK101" s="516"/>
      <c r="DL101" s="517"/>
      <c r="DM101" s="512"/>
      <c r="DN101" s="313"/>
      <c r="DO101" s="313"/>
      <c r="DP101" s="313"/>
      <c r="DQ101" s="313"/>
      <c r="DR101" s="313"/>
      <c r="DS101" s="313"/>
      <c r="DT101" s="313"/>
      <c r="DU101" s="313"/>
      <c r="DV101" s="313"/>
      <c r="DW101" s="313"/>
    </row>
    <row r="102" spans="1:127" s="2" customFormat="1">
      <c r="A102" s="347"/>
      <c r="B102" s="347"/>
      <c r="C102" s="268"/>
      <c r="D102" s="346"/>
      <c r="E102" s="347"/>
      <c r="F102" s="349"/>
      <c r="G102" s="349"/>
      <c r="H102" s="348"/>
      <c r="I102" s="347"/>
      <c r="J102" s="348"/>
      <c r="K102" s="349"/>
      <c r="L102" s="348"/>
      <c r="M102" s="347"/>
      <c r="N102" s="347"/>
      <c r="O102" s="313"/>
      <c r="P102" s="313"/>
      <c r="Q102" s="313"/>
      <c r="R102" s="313"/>
      <c r="S102" s="313"/>
      <c r="T102" s="348"/>
      <c r="U102" s="349"/>
      <c r="V102" s="349"/>
      <c r="W102" s="348"/>
      <c r="X102" s="348"/>
      <c r="Y102" s="349"/>
      <c r="Z102" s="313"/>
      <c r="AA102" s="313"/>
      <c r="AB102" s="654"/>
      <c r="AC102" s="373"/>
      <c r="AD102" s="373"/>
      <c r="AE102" s="654"/>
      <c r="AF102" s="654"/>
      <c r="AG102" s="373"/>
      <c r="AH102" s="315"/>
      <c r="AI102" s="315"/>
      <c r="AJ102" s="348"/>
      <c r="AK102" s="349"/>
      <c r="AL102" s="349"/>
      <c r="AM102" s="348"/>
      <c r="AN102" s="349"/>
      <c r="AO102" s="349"/>
      <c r="AP102" s="313"/>
      <c r="AQ102" s="313"/>
      <c r="AR102" s="654"/>
      <c r="AS102" s="373"/>
      <c r="AT102" s="373"/>
      <c r="AU102" s="654"/>
      <c r="AV102" s="373"/>
      <c r="AW102" s="373"/>
      <c r="AX102" s="315"/>
      <c r="AY102" s="315"/>
      <c r="AZ102" s="348"/>
      <c r="BA102" s="349"/>
      <c r="BB102" s="349"/>
      <c r="BC102" s="348"/>
      <c r="BD102" s="349"/>
      <c r="BE102" s="349"/>
      <c r="BF102" s="313"/>
      <c r="BG102" s="313"/>
      <c r="BH102" s="654"/>
      <c r="BI102" s="373"/>
      <c r="BJ102" s="373"/>
      <c r="BK102" s="654"/>
      <c r="BL102" s="373"/>
      <c r="BM102" s="373"/>
      <c r="BN102" s="315"/>
      <c r="BO102" s="315"/>
      <c r="BP102" s="313"/>
      <c r="BQ102" s="349"/>
      <c r="BR102" s="349"/>
      <c r="BS102" s="348"/>
      <c r="BT102" s="349"/>
      <c r="BU102" s="349"/>
      <c r="BV102" s="313"/>
      <c r="BW102" s="313"/>
      <c r="BX102" s="315"/>
      <c r="BY102" s="373"/>
      <c r="BZ102" s="373"/>
      <c r="CA102" s="654"/>
      <c r="CB102" s="373"/>
      <c r="CC102" s="373"/>
      <c r="CD102" s="315"/>
      <c r="CE102" s="315"/>
      <c r="CF102" s="313"/>
      <c r="CG102" s="349"/>
      <c r="CH102" s="349"/>
      <c r="CI102" s="313"/>
      <c r="CJ102" s="349"/>
      <c r="CK102" s="349"/>
      <c r="CL102" s="313"/>
      <c r="CM102" s="313"/>
      <c r="CN102" s="315"/>
      <c r="CO102" s="373"/>
      <c r="CP102" s="373"/>
      <c r="CQ102" s="315"/>
      <c r="CR102" s="373"/>
      <c r="CS102" s="373"/>
      <c r="CT102" s="315"/>
      <c r="CU102" s="315"/>
      <c r="CV102" s="353"/>
      <c r="CW102" s="313"/>
      <c r="CX102" s="512"/>
      <c r="CY102" s="516"/>
      <c r="CZ102" s="517"/>
      <c r="DA102" s="516"/>
      <c r="DB102" s="517"/>
      <c r="DC102" s="516"/>
      <c r="DD102" s="517"/>
      <c r="DE102" s="516"/>
      <c r="DF102" s="517"/>
      <c r="DG102" s="516"/>
      <c r="DH102" s="517"/>
      <c r="DI102" s="516"/>
      <c r="DJ102" s="517"/>
      <c r="DK102" s="516"/>
      <c r="DL102" s="517"/>
      <c r="DM102" s="512"/>
      <c r="DN102" s="313"/>
      <c r="DO102" s="313"/>
      <c r="DP102" s="313"/>
      <c r="DQ102" s="313"/>
      <c r="DR102" s="313"/>
      <c r="DS102" s="313"/>
      <c r="DT102" s="313"/>
      <c r="DU102" s="313"/>
      <c r="DV102" s="313"/>
      <c r="DW102" s="313"/>
    </row>
    <row r="103" spans="1:127" s="2" customFormat="1">
      <c r="A103" s="347"/>
      <c r="B103" s="347"/>
      <c r="C103" s="268"/>
      <c r="D103" s="346"/>
      <c r="E103" s="347"/>
      <c r="F103" s="349"/>
      <c r="G103" s="349"/>
      <c r="H103" s="348"/>
      <c r="I103" s="347"/>
      <c r="J103" s="348"/>
      <c r="K103" s="349"/>
      <c r="L103" s="348"/>
      <c r="M103" s="347"/>
      <c r="N103" s="347"/>
      <c r="O103" s="313"/>
      <c r="P103" s="313"/>
      <c r="Q103" s="313"/>
      <c r="R103" s="313"/>
      <c r="S103" s="313"/>
      <c r="T103" s="348"/>
      <c r="U103" s="349"/>
      <c r="V103" s="349"/>
      <c r="W103" s="348"/>
      <c r="X103" s="348"/>
      <c r="Y103" s="349"/>
      <c r="Z103" s="313"/>
      <c r="AA103" s="313"/>
      <c r="AB103" s="654"/>
      <c r="AC103" s="373"/>
      <c r="AD103" s="373"/>
      <c r="AE103" s="654"/>
      <c r="AF103" s="654"/>
      <c r="AG103" s="373"/>
      <c r="AH103" s="315"/>
      <c r="AI103" s="315"/>
      <c r="AJ103" s="348"/>
      <c r="AK103" s="349"/>
      <c r="AL103" s="349"/>
      <c r="AM103" s="348"/>
      <c r="AN103" s="349"/>
      <c r="AO103" s="349"/>
      <c r="AP103" s="313"/>
      <c r="AQ103" s="313"/>
      <c r="AR103" s="654"/>
      <c r="AS103" s="373"/>
      <c r="AT103" s="373"/>
      <c r="AU103" s="654"/>
      <c r="AV103" s="373"/>
      <c r="AW103" s="373"/>
      <c r="AX103" s="315"/>
      <c r="AY103" s="315"/>
      <c r="AZ103" s="348"/>
      <c r="BA103" s="349"/>
      <c r="BB103" s="349"/>
      <c r="BC103" s="348"/>
      <c r="BD103" s="349"/>
      <c r="BE103" s="349"/>
      <c r="BF103" s="313"/>
      <c r="BG103" s="313"/>
      <c r="BH103" s="654"/>
      <c r="BI103" s="373"/>
      <c r="BJ103" s="373"/>
      <c r="BK103" s="654"/>
      <c r="BL103" s="373"/>
      <c r="BM103" s="373"/>
      <c r="BN103" s="315"/>
      <c r="BO103" s="315"/>
      <c r="BP103" s="313"/>
      <c r="BQ103" s="349"/>
      <c r="BR103" s="349"/>
      <c r="BS103" s="348"/>
      <c r="BT103" s="349"/>
      <c r="BU103" s="349"/>
      <c r="BV103" s="313"/>
      <c r="BW103" s="313"/>
      <c r="BX103" s="315"/>
      <c r="BY103" s="373"/>
      <c r="BZ103" s="373"/>
      <c r="CA103" s="654"/>
      <c r="CB103" s="373"/>
      <c r="CC103" s="373"/>
      <c r="CD103" s="315"/>
      <c r="CE103" s="315"/>
      <c r="CF103" s="313"/>
      <c r="CG103" s="349"/>
      <c r="CH103" s="349"/>
      <c r="CI103" s="313"/>
      <c r="CJ103" s="349"/>
      <c r="CK103" s="349"/>
      <c r="CL103" s="313"/>
      <c r="CM103" s="313"/>
      <c r="CN103" s="315"/>
      <c r="CO103" s="373"/>
      <c r="CP103" s="373"/>
      <c r="CQ103" s="315"/>
      <c r="CR103" s="373"/>
      <c r="CS103" s="373"/>
      <c r="CT103" s="315"/>
      <c r="CU103" s="315"/>
      <c r="CV103" s="353"/>
      <c r="CW103" s="313"/>
      <c r="CX103" s="512"/>
      <c r="CY103" s="516"/>
      <c r="CZ103" s="517"/>
      <c r="DA103" s="516"/>
      <c r="DB103" s="517"/>
      <c r="DC103" s="516"/>
      <c r="DD103" s="517"/>
      <c r="DE103" s="516"/>
      <c r="DF103" s="517"/>
      <c r="DG103" s="516"/>
      <c r="DH103" s="517"/>
      <c r="DI103" s="516"/>
      <c r="DJ103" s="517"/>
      <c r="DK103" s="516"/>
      <c r="DL103" s="517"/>
      <c r="DM103" s="512"/>
      <c r="DN103" s="313"/>
      <c r="DO103" s="313"/>
      <c r="DP103" s="313"/>
      <c r="DQ103" s="313"/>
      <c r="DR103" s="313"/>
      <c r="DS103" s="313"/>
      <c r="DT103" s="313"/>
      <c r="DU103" s="313"/>
      <c r="DV103" s="313"/>
      <c r="DW103" s="313"/>
    </row>
    <row r="104" spans="1:127" s="2" customFormat="1">
      <c r="A104" s="347"/>
      <c r="B104" s="347"/>
      <c r="C104" s="268"/>
      <c r="D104" s="346"/>
      <c r="E104" s="347"/>
      <c r="F104" s="349"/>
      <c r="G104" s="349"/>
      <c r="H104" s="348"/>
      <c r="I104" s="347"/>
      <c r="J104" s="348"/>
      <c r="K104" s="349"/>
      <c r="L104" s="348"/>
      <c r="M104" s="347"/>
      <c r="N104" s="347"/>
      <c r="O104" s="313"/>
      <c r="P104" s="313"/>
      <c r="Q104" s="313"/>
      <c r="R104" s="313"/>
      <c r="S104" s="313"/>
      <c r="T104" s="348"/>
      <c r="U104" s="349"/>
      <c r="V104" s="349"/>
      <c r="W104" s="348"/>
      <c r="X104" s="348"/>
      <c r="Y104" s="349"/>
      <c r="Z104" s="313"/>
      <c r="AA104" s="313"/>
      <c r="AB104" s="654"/>
      <c r="AC104" s="373"/>
      <c r="AD104" s="373"/>
      <c r="AE104" s="654"/>
      <c r="AF104" s="654"/>
      <c r="AG104" s="373"/>
      <c r="AH104" s="315"/>
      <c r="AI104" s="315"/>
      <c r="AJ104" s="348"/>
      <c r="AK104" s="349"/>
      <c r="AL104" s="349"/>
      <c r="AM104" s="348"/>
      <c r="AN104" s="349"/>
      <c r="AO104" s="349"/>
      <c r="AP104" s="313"/>
      <c r="AQ104" s="313"/>
      <c r="AR104" s="654"/>
      <c r="AS104" s="373"/>
      <c r="AT104" s="373"/>
      <c r="AU104" s="654"/>
      <c r="AV104" s="373"/>
      <c r="AW104" s="373"/>
      <c r="AX104" s="315"/>
      <c r="AY104" s="315"/>
      <c r="AZ104" s="348"/>
      <c r="BA104" s="349"/>
      <c r="BB104" s="349"/>
      <c r="BC104" s="348"/>
      <c r="BD104" s="349"/>
      <c r="BE104" s="349"/>
      <c r="BF104" s="313"/>
      <c r="BG104" s="313"/>
      <c r="BH104" s="654"/>
      <c r="BI104" s="373"/>
      <c r="BJ104" s="373"/>
      <c r="BK104" s="654"/>
      <c r="BL104" s="373"/>
      <c r="BM104" s="373"/>
      <c r="BN104" s="315"/>
      <c r="BO104" s="315"/>
      <c r="BP104" s="313"/>
      <c r="BQ104" s="349"/>
      <c r="BR104" s="349"/>
      <c r="BS104" s="348"/>
      <c r="BT104" s="349"/>
      <c r="BU104" s="349"/>
      <c r="BV104" s="313"/>
      <c r="BW104" s="313"/>
      <c r="BX104" s="315"/>
      <c r="BY104" s="373"/>
      <c r="BZ104" s="373"/>
      <c r="CA104" s="654"/>
      <c r="CB104" s="373"/>
      <c r="CC104" s="373"/>
      <c r="CD104" s="315"/>
      <c r="CE104" s="315"/>
      <c r="CF104" s="313"/>
      <c r="CG104" s="349"/>
      <c r="CH104" s="349"/>
      <c r="CI104" s="313"/>
      <c r="CJ104" s="349"/>
      <c r="CK104" s="349"/>
      <c r="CL104" s="313"/>
      <c r="CM104" s="313"/>
      <c r="CN104" s="315"/>
      <c r="CO104" s="373"/>
      <c r="CP104" s="373"/>
      <c r="CQ104" s="315"/>
      <c r="CR104" s="373"/>
      <c r="CS104" s="373"/>
      <c r="CT104" s="315"/>
      <c r="CU104" s="315"/>
      <c r="CV104" s="353"/>
      <c r="CW104" s="313"/>
      <c r="CX104" s="512"/>
      <c r="CY104" s="516"/>
      <c r="CZ104" s="517"/>
      <c r="DA104" s="516"/>
      <c r="DB104" s="517"/>
      <c r="DC104" s="516"/>
      <c r="DD104" s="517"/>
      <c r="DE104" s="516"/>
      <c r="DF104" s="517"/>
      <c r="DG104" s="516"/>
      <c r="DH104" s="517"/>
      <c r="DI104" s="516"/>
      <c r="DJ104" s="517"/>
      <c r="DK104" s="516"/>
      <c r="DL104" s="517"/>
      <c r="DM104" s="512"/>
      <c r="DN104" s="313"/>
      <c r="DO104" s="313"/>
      <c r="DP104" s="313"/>
      <c r="DQ104" s="313"/>
      <c r="DR104" s="313"/>
      <c r="DS104" s="313"/>
      <c r="DT104" s="313"/>
      <c r="DU104" s="313"/>
      <c r="DV104" s="313"/>
      <c r="DW104" s="313"/>
    </row>
    <row r="105" spans="1:127" s="2" customFormat="1">
      <c r="A105" s="347"/>
      <c r="B105" s="347"/>
      <c r="C105" s="268"/>
      <c r="D105" s="346"/>
      <c r="E105" s="347"/>
      <c r="F105" s="349"/>
      <c r="G105" s="349"/>
      <c r="H105" s="348"/>
      <c r="I105" s="347"/>
      <c r="J105" s="348"/>
      <c r="K105" s="349"/>
      <c r="L105" s="348"/>
      <c r="M105" s="347"/>
      <c r="N105" s="347"/>
      <c r="O105" s="313"/>
      <c r="P105" s="313"/>
      <c r="Q105" s="313"/>
      <c r="R105" s="313"/>
      <c r="S105" s="313"/>
      <c r="T105" s="348"/>
      <c r="U105" s="349"/>
      <c r="V105" s="349"/>
      <c r="W105" s="348"/>
      <c r="X105" s="348"/>
      <c r="Y105" s="349"/>
      <c r="Z105" s="313"/>
      <c r="AA105" s="313"/>
      <c r="AB105" s="654"/>
      <c r="AC105" s="373"/>
      <c r="AD105" s="373"/>
      <c r="AE105" s="654"/>
      <c r="AF105" s="654"/>
      <c r="AG105" s="373"/>
      <c r="AH105" s="315"/>
      <c r="AI105" s="315"/>
      <c r="AJ105" s="348"/>
      <c r="AK105" s="349"/>
      <c r="AL105" s="349"/>
      <c r="AM105" s="348"/>
      <c r="AN105" s="349"/>
      <c r="AO105" s="349"/>
      <c r="AP105" s="313"/>
      <c r="AQ105" s="313"/>
      <c r="AR105" s="654"/>
      <c r="AS105" s="373"/>
      <c r="AT105" s="373"/>
      <c r="AU105" s="654"/>
      <c r="AV105" s="373"/>
      <c r="AW105" s="373"/>
      <c r="AX105" s="315"/>
      <c r="AY105" s="315"/>
      <c r="AZ105" s="348"/>
      <c r="BA105" s="349"/>
      <c r="BB105" s="349"/>
      <c r="BC105" s="348"/>
      <c r="BD105" s="349"/>
      <c r="BE105" s="349"/>
      <c r="BF105" s="313"/>
      <c r="BG105" s="313"/>
      <c r="BH105" s="654"/>
      <c r="BI105" s="373"/>
      <c r="BJ105" s="373"/>
      <c r="BK105" s="654"/>
      <c r="BL105" s="373"/>
      <c r="BM105" s="373"/>
      <c r="BN105" s="315"/>
      <c r="BO105" s="315"/>
      <c r="BP105" s="313"/>
      <c r="BQ105" s="349"/>
      <c r="BR105" s="349"/>
      <c r="BS105" s="348"/>
      <c r="BT105" s="349"/>
      <c r="BU105" s="349"/>
      <c r="BV105" s="313"/>
      <c r="BW105" s="313"/>
      <c r="BX105" s="315"/>
      <c r="BY105" s="373"/>
      <c r="BZ105" s="373"/>
      <c r="CA105" s="654"/>
      <c r="CB105" s="373"/>
      <c r="CC105" s="373"/>
      <c r="CD105" s="315"/>
      <c r="CE105" s="315"/>
      <c r="CF105" s="313"/>
      <c r="CG105" s="349"/>
      <c r="CH105" s="349"/>
      <c r="CI105" s="313"/>
      <c r="CJ105" s="349"/>
      <c r="CK105" s="349"/>
      <c r="CL105" s="313"/>
      <c r="CM105" s="313"/>
      <c r="CN105" s="315"/>
      <c r="CO105" s="373"/>
      <c r="CP105" s="373"/>
      <c r="CQ105" s="315"/>
      <c r="CR105" s="373"/>
      <c r="CS105" s="373"/>
      <c r="CT105" s="315"/>
      <c r="CU105" s="315"/>
      <c r="CV105" s="353"/>
      <c r="CW105" s="313"/>
      <c r="CX105" s="512"/>
      <c r="CY105" s="516"/>
      <c r="CZ105" s="517"/>
      <c r="DA105" s="516"/>
      <c r="DB105" s="517"/>
      <c r="DC105" s="516"/>
      <c r="DD105" s="517"/>
      <c r="DE105" s="516"/>
      <c r="DF105" s="517"/>
      <c r="DG105" s="516"/>
      <c r="DH105" s="517"/>
      <c r="DI105" s="516"/>
      <c r="DJ105" s="517"/>
      <c r="DK105" s="516"/>
      <c r="DL105" s="517"/>
      <c r="DM105" s="512"/>
      <c r="DN105" s="313"/>
      <c r="DO105" s="313"/>
      <c r="DP105" s="313"/>
      <c r="DQ105" s="313"/>
      <c r="DR105" s="313"/>
      <c r="DS105" s="313"/>
      <c r="DT105" s="313"/>
      <c r="DU105" s="313"/>
      <c r="DV105" s="313"/>
      <c r="DW105" s="313"/>
    </row>
    <row r="106" spans="1:127" s="2" customFormat="1">
      <c r="A106" s="347"/>
      <c r="B106" s="347"/>
      <c r="C106" s="268"/>
      <c r="D106" s="346"/>
      <c r="E106" s="347"/>
      <c r="F106" s="349"/>
      <c r="G106" s="349"/>
      <c r="H106" s="348"/>
      <c r="I106" s="347"/>
      <c r="J106" s="348"/>
      <c r="K106" s="349"/>
      <c r="L106" s="348"/>
      <c r="M106" s="347"/>
      <c r="N106" s="347"/>
      <c r="O106" s="313"/>
      <c r="P106" s="313"/>
      <c r="Q106" s="313"/>
      <c r="R106" s="313"/>
      <c r="S106" s="313"/>
      <c r="T106" s="348"/>
      <c r="U106" s="349"/>
      <c r="V106" s="349"/>
      <c r="W106" s="348"/>
      <c r="X106" s="348"/>
      <c r="Y106" s="349"/>
      <c r="Z106" s="313"/>
      <c r="AA106" s="313"/>
      <c r="AB106" s="654"/>
      <c r="AC106" s="373"/>
      <c r="AD106" s="373"/>
      <c r="AE106" s="654"/>
      <c r="AF106" s="654"/>
      <c r="AG106" s="373"/>
      <c r="AH106" s="315"/>
      <c r="AI106" s="315"/>
      <c r="AJ106" s="348"/>
      <c r="AK106" s="349"/>
      <c r="AL106" s="349"/>
      <c r="AM106" s="348"/>
      <c r="AN106" s="349"/>
      <c r="AO106" s="349"/>
      <c r="AP106" s="313"/>
      <c r="AQ106" s="313"/>
      <c r="AR106" s="654"/>
      <c r="AS106" s="373"/>
      <c r="AT106" s="373"/>
      <c r="AU106" s="654"/>
      <c r="AV106" s="373"/>
      <c r="AW106" s="373"/>
      <c r="AX106" s="315"/>
      <c r="AY106" s="315"/>
      <c r="AZ106" s="348"/>
      <c r="BA106" s="349"/>
      <c r="BB106" s="349"/>
      <c r="BC106" s="348"/>
      <c r="BD106" s="349"/>
      <c r="BE106" s="349"/>
      <c r="BF106" s="313"/>
      <c r="BG106" s="313"/>
      <c r="BH106" s="654"/>
      <c r="BI106" s="373"/>
      <c r="BJ106" s="373"/>
      <c r="BK106" s="654"/>
      <c r="BL106" s="373"/>
      <c r="BM106" s="373"/>
      <c r="BN106" s="315"/>
      <c r="BO106" s="315"/>
      <c r="BP106" s="313"/>
      <c r="BQ106" s="349"/>
      <c r="BR106" s="349"/>
      <c r="BS106" s="348"/>
      <c r="BT106" s="349"/>
      <c r="BU106" s="349"/>
      <c r="BV106" s="313"/>
      <c r="BW106" s="313"/>
      <c r="BX106" s="315"/>
      <c r="BY106" s="373"/>
      <c r="BZ106" s="373"/>
      <c r="CA106" s="654"/>
      <c r="CB106" s="373"/>
      <c r="CC106" s="373"/>
      <c r="CD106" s="315"/>
      <c r="CE106" s="315"/>
      <c r="CF106" s="313"/>
      <c r="CG106" s="349"/>
      <c r="CH106" s="349"/>
      <c r="CI106" s="313"/>
      <c r="CJ106" s="349"/>
      <c r="CK106" s="349"/>
      <c r="CL106" s="313"/>
      <c r="CM106" s="313"/>
      <c r="CN106" s="315"/>
      <c r="CO106" s="373"/>
      <c r="CP106" s="373"/>
      <c r="CQ106" s="315"/>
      <c r="CR106" s="373"/>
      <c r="CS106" s="373"/>
      <c r="CT106" s="315"/>
      <c r="CU106" s="315"/>
      <c r="CV106" s="353"/>
      <c r="CW106" s="313"/>
      <c r="CX106" s="512"/>
      <c r="CY106" s="516"/>
      <c r="CZ106" s="517"/>
      <c r="DA106" s="516"/>
      <c r="DB106" s="517"/>
      <c r="DC106" s="516"/>
      <c r="DD106" s="517"/>
      <c r="DE106" s="516"/>
      <c r="DF106" s="517"/>
      <c r="DG106" s="516"/>
      <c r="DH106" s="517"/>
      <c r="DI106" s="516"/>
      <c r="DJ106" s="517"/>
      <c r="DK106" s="516"/>
      <c r="DL106" s="517"/>
      <c r="DM106" s="512"/>
      <c r="DN106" s="313"/>
      <c r="DO106" s="313"/>
      <c r="DP106" s="313"/>
      <c r="DQ106" s="313"/>
      <c r="DR106" s="313"/>
      <c r="DS106" s="313"/>
      <c r="DT106" s="313"/>
      <c r="DU106" s="313"/>
      <c r="DV106" s="313"/>
      <c r="DW106" s="313"/>
    </row>
    <row r="107" spans="1:127" s="2" customFormat="1">
      <c r="A107" s="347"/>
      <c r="B107" s="347"/>
      <c r="C107" s="268"/>
      <c r="D107" s="346"/>
      <c r="E107" s="347"/>
      <c r="F107" s="349"/>
      <c r="G107" s="349"/>
      <c r="H107" s="348"/>
      <c r="I107" s="347"/>
      <c r="J107" s="348"/>
      <c r="K107" s="349"/>
      <c r="L107" s="348"/>
      <c r="M107" s="347"/>
      <c r="N107" s="347"/>
      <c r="O107" s="313"/>
      <c r="P107" s="313"/>
      <c r="Q107" s="313"/>
      <c r="R107" s="313"/>
      <c r="S107" s="313"/>
      <c r="T107" s="348"/>
      <c r="U107" s="349"/>
      <c r="V107" s="349"/>
      <c r="W107" s="348"/>
      <c r="X107" s="348"/>
      <c r="Y107" s="349"/>
      <c r="Z107" s="313"/>
      <c r="AA107" s="313"/>
      <c r="AB107" s="654"/>
      <c r="AC107" s="373"/>
      <c r="AD107" s="373"/>
      <c r="AE107" s="654"/>
      <c r="AF107" s="654"/>
      <c r="AG107" s="373"/>
      <c r="AH107" s="315"/>
      <c r="AI107" s="315"/>
      <c r="AJ107" s="348"/>
      <c r="AK107" s="349"/>
      <c r="AL107" s="349"/>
      <c r="AM107" s="348"/>
      <c r="AN107" s="349"/>
      <c r="AO107" s="349"/>
      <c r="AP107" s="313"/>
      <c r="AQ107" s="313"/>
      <c r="AR107" s="654"/>
      <c r="AS107" s="373"/>
      <c r="AT107" s="373"/>
      <c r="AU107" s="654"/>
      <c r="AV107" s="373"/>
      <c r="AW107" s="373"/>
      <c r="AX107" s="315"/>
      <c r="AY107" s="315"/>
      <c r="AZ107" s="348"/>
      <c r="BA107" s="349"/>
      <c r="BB107" s="349"/>
      <c r="BC107" s="348"/>
      <c r="BD107" s="349"/>
      <c r="BE107" s="349"/>
      <c r="BF107" s="313"/>
      <c r="BG107" s="313"/>
      <c r="BH107" s="654"/>
      <c r="BI107" s="373"/>
      <c r="BJ107" s="373"/>
      <c r="BK107" s="654"/>
      <c r="BL107" s="373"/>
      <c r="BM107" s="373"/>
      <c r="BN107" s="315"/>
      <c r="BO107" s="315"/>
      <c r="BP107" s="313"/>
      <c r="BQ107" s="349"/>
      <c r="BR107" s="349"/>
      <c r="BS107" s="348"/>
      <c r="BT107" s="349"/>
      <c r="BU107" s="349"/>
      <c r="BV107" s="313"/>
      <c r="BW107" s="313"/>
      <c r="BX107" s="315"/>
      <c r="BY107" s="373"/>
      <c r="BZ107" s="373"/>
      <c r="CA107" s="654"/>
      <c r="CB107" s="373"/>
      <c r="CC107" s="373"/>
      <c r="CD107" s="315"/>
      <c r="CE107" s="315"/>
      <c r="CF107" s="313"/>
      <c r="CG107" s="349"/>
      <c r="CH107" s="349"/>
      <c r="CI107" s="313"/>
      <c r="CJ107" s="349"/>
      <c r="CK107" s="349"/>
      <c r="CL107" s="313"/>
      <c r="CM107" s="313"/>
      <c r="CN107" s="315"/>
      <c r="CO107" s="373"/>
      <c r="CP107" s="373"/>
      <c r="CQ107" s="315"/>
      <c r="CR107" s="373"/>
      <c r="CS107" s="373"/>
      <c r="CT107" s="315"/>
      <c r="CU107" s="315"/>
      <c r="CV107" s="353"/>
      <c r="CW107" s="313"/>
      <c r="CX107" s="512"/>
      <c r="CY107" s="516"/>
      <c r="CZ107" s="517"/>
      <c r="DA107" s="516"/>
      <c r="DB107" s="517"/>
      <c r="DC107" s="516"/>
      <c r="DD107" s="517"/>
      <c r="DE107" s="516"/>
      <c r="DF107" s="517"/>
      <c r="DG107" s="516"/>
      <c r="DH107" s="517"/>
      <c r="DI107" s="516"/>
      <c r="DJ107" s="517"/>
      <c r="DK107" s="516"/>
      <c r="DL107" s="517"/>
      <c r="DM107" s="512"/>
      <c r="DN107" s="313"/>
      <c r="DO107" s="313"/>
      <c r="DP107" s="313"/>
      <c r="DQ107" s="313"/>
      <c r="DR107" s="313"/>
      <c r="DS107" s="313"/>
      <c r="DT107" s="313"/>
      <c r="DU107" s="313"/>
      <c r="DV107" s="313"/>
      <c r="DW107" s="313"/>
    </row>
    <row r="108" spans="1:127" s="2" customFormat="1">
      <c r="A108" s="347"/>
      <c r="B108" s="347"/>
      <c r="C108" s="268"/>
      <c r="D108" s="346"/>
      <c r="E108" s="347"/>
      <c r="F108" s="349"/>
      <c r="G108" s="349"/>
      <c r="H108" s="348"/>
      <c r="I108" s="347"/>
      <c r="J108" s="348"/>
      <c r="K108" s="349"/>
      <c r="L108" s="348"/>
      <c r="M108" s="347"/>
      <c r="N108" s="347"/>
      <c r="O108" s="313"/>
      <c r="P108" s="313"/>
      <c r="Q108" s="313"/>
      <c r="R108" s="313"/>
      <c r="S108" s="313"/>
      <c r="T108" s="348"/>
      <c r="U108" s="349"/>
      <c r="V108" s="349"/>
      <c r="W108" s="348"/>
      <c r="X108" s="348"/>
      <c r="Y108" s="349"/>
      <c r="Z108" s="313"/>
      <c r="AA108" s="313"/>
      <c r="AB108" s="654"/>
      <c r="AC108" s="373"/>
      <c r="AD108" s="373"/>
      <c r="AE108" s="654"/>
      <c r="AF108" s="654"/>
      <c r="AG108" s="373"/>
      <c r="AH108" s="315"/>
      <c r="AI108" s="315"/>
      <c r="AJ108" s="348"/>
      <c r="AK108" s="349"/>
      <c r="AL108" s="349"/>
      <c r="AM108" s="348"/>
      <c r="AN108" s="349"/>
      <c r="AO108" s="349"/>
      <c r="AP108" s="313"/>
      <c r="AQ108" s="313"/>
      <c r="AR108" s="654"/>
      <c r="AS108" s="373"/>
      <c r="AT108" s="373"/>
      <c r="AU108" s="654"/>
      <c r="AV108" s="373"/>
      <c r="AW108" s="373"/>
      <c r="AX108" s="315"/>
      <c r="AY108" s="315"/>
      <c r="AZ108" s="348"/>
      <c r="BA108" s="349"/>
      <c r="BB108" s="349"/>
      <c r="BC108" s="348"/>
      <c r="BD108" s="349"/>
      <c r="BE108" s="349"/>
      <c r="BF108" s="313"/>
      <c r="BG108" s="313"/>
      <c r="BH108" s="654"/>
      <c r="BI108" s="373"/>
      <c r="BJ108" s="373"/>
      <c r="BK108" s="654"/>
      <c r="BL108" s="373"/>
      <c r="BM108" s="373"/>
      <c r="BN108" s="315"/>
      <c r="BO108" s="315"/>
      <c r="BP108" s="313"/>
      <c r="BQ108" s="349"/>
      <c r="BR108" s="349"/>
      <c r="BS108" s="348"/>
      <c r="BT108" s="349"/>
      <c r="BU108" s="349"/>
      <c r="BV108" s="313"/>
      <c r="BW108" s="313"/>
      <c r="BX108" s="315"/>
      <c r="BY108" s="373"/>
      <c r="BZ108" s="373"/>
      <c r="CA108" s="654"/>
      <c r="CB108" s="373"/>
      <c r="CC108" s="373"/>
      <c r="CD108" s="315"/>
      <c r="CE108" s="315"/>
      <c r="CF108" s="313"/>
      <c r="CG108" s="349"/>
      <c r="CH108" s="349"/>
      <c r="CI108" s="313"/>
      <c r="CJ108" s="349"/>
      <c r="CK108" s="349"/>
      <c r="CL108" s="313"/>
      <c r="CM108" s="313"/>
      <c r="CN108" s="315"/>
      <c r="CO108" s="373"/>
      <c r="CP108" s="373"/>
      <c r="CQ108" s="315"/>
      <c r="CR108" s="373"/>
      <c r="CS108" s="373"/>
      <c r="CT108" s="315"/>
      <c r="CU108" s="315"/>
      <c r="CV108" s="353"/>
      <c r="CW108" s="313"/>
      <c r="CX108" s="512"/>
      <c r="CY108" s="516"/>
      <c r="CZ108" s="517"/>
      <c r="DA108" s="516"/>
      <c r="DB108" s="517"/>
      <c r="DC108" s="516"/>
      <c r="DD108" s="517"/>
      <c r="DE108" s="516"/>
      <c r="DF108" s="517"/>
      <c r="DG108" s="516"/>
      <c r="DH108" s="517"/>
      <c r="DI108" s="516"/>
      <c r="DJ108" s="517"/>
      <c r="DK108" s="516"/>
      <c r="DL108" s="517"/>
      <c r="DM108" s="512"/>
      <c r="DN108" s="313"/>
      <c r="DO108" s="313"/>
      <c r="DP108" s="313"/>
      <c r="DQ108" s="313"/>
      <c r="DR108" s="313"/>
      <c r="DS108" s="313"/>
      <c r="DT108" s="313"/>
      <c r="DU108" s="313"/>
      <c r="DV108" s="313"/>
      <c r="DW108" s="313"/>
    </row>
    <row r="109" spans="1:127" s="2" customFormat="1">
      <c r="A109" s="347"/>
      <c r="B109" s="347"/>
      <c r="C109" s="268"/>
      <c r="D109" s="346"/>
      <c r="E109" s="347"/>
      <c r="F109" s="349"/>
      <c r="G109" s="349"/>
      <c r="H109" s="348"/>
      <c r="I109" s="347"/>
      <c r="J109" s="348"/>
      <c r="K109" s="349"/>
      <c r="L109" s="348"/>
      <c r="M109" s="347"/>
      <c r="N109" s="347"/>
      <c r="O109" s="313"/>
      <c r="P109" s="313"/>
      <c r="Q109" s="313"/>
      <c r="R109" s="313"/>
      <c r="S109" s="313"/>
      <c r="T109" s="348"/>
      <c r="U109" s="349"/>
      <c r="V109" s="349"/>
      <c r="W109" s="348"/>
      <c r="X109" s="348"/>
      <c r="Y109" s="349"/>
      <c r="Z109" s="313"/>
      <c r="AA109" s="313"/>
      <c r="AB109" s="654"/>
      <c r="AC109" s="373"/>
      <c r="AD109" s="373"/>
      <c r="AE109" s="654"/>
      <c r="AF109" s="654"/>
      <c r="AG109" s="373"/>
      <c r="AH109" s="315"/>
      <c r="AI109" s="315"/>
      <c r="AJ109" s="348"/>
      <c r="AK109" s="349"/>
      <c r="AL109" s="349"/>
      <c r="AM109" s="348"/>
      <c r="AN109" s="349"/>
      <c r="AO109" s="349"/>
      <c r="AP109" s="313"/>
      <c r="AQ109" s="313"/>
      <c r="AR109" s="654"/>
      <c r="AS109" s="373"/>
      <c r="AT109" s="373"/>
      <c r="AU109" s="654"/>
      <c r="AV109" s="373"/>
      <c r="AW109" s="373"/>
      <c r="AX109" s="315"/>
      <c r="AY109" s="315"/>
      <c r="AZ109" s="348"/>
      <c r="BA109" s="349"/>
      <c r="BB109" s="349"/>
      <c r="BC109" s="348"/>
      <c r="BD109" s="349"/>
      <c r="BE109" s="349"/>
      <c r="BF109" s="313"/>
      <c r="BG109" s="313"/>
      <c r="BH109" s="654"/>
      <c r="BI109" s="373"/>
      <c r="BJ109" s="373"/>
      <c r="BK109" s="654"/>
      <c r="BL109" s="373"/>
      <c r="BM109" s="373"/>
      <c r="BN109" s="315"/>
      <c r="BO109" s="315"/>
      <c r="BP109" s="313"/>
      <c r="BQ109" s="349"/>
      <c r="BR109" s="349"/>
      <c r="BS109" s="348"/>
      <c r="BT109" s="349"/>
      <c r="BU109" s="349"/>
      <c r="BV109" s="313"/>
      <c r="BW109" s="313"/>
      <c r="BX109" s="315"/>
      <c r="BY109" s="373"/>
      <c r="BZ109" s="373"/>
      <c r="CA109" s="654"/>
      <c r="CB109" s="373"/>
      <c r="CC109" s="373"/>
      <c r="CD109" s="315"/>
      <c r="CE109" s="315"/>
      <c r="CF109" s="313"/>
      <c r="CG109" s="349"/>
      <c r="CH109" s="349"/>
      <c r="CI109" s="313"/>
      <c r="CJ109" s="349"/>
      <c r="CK109" s="349"/>
      <c r="CL109" s="313"/>
      <c r="CM109" s="313"/>
      <c r="CN109" s="315"/>
      <c r="CO109" s="373"/>
      <c r="CP109" s="373"/>
      <c r="CQ109" s="315"/>
      <c r="CR109" s="373"/>
      <c r="CS109" s="373"/>
      <c r="CT109" s="315"/>
      <c r="CU109" s="315"/>
      <c r="CV109" s="353"/>
      <c r="CW109" s="313"/>
      <c r="CX109" s="512"/>
      <c r="CY109" s="516"/>
      <c r="CZ109" s="517"/>
      <c r="DA109" s="516"/>
      <c r="DB109" s="517"/>
      <c r="DC109" s="516"/>
      <c r="DD109" s="517"/>
      <c r="DE109" s="516"/>
      <c r="DF109" s="517"/>
      <c r="DG109" s="516"/>
      <c r="DH109" s="517"/>
      <c r="DI109" s="516"/>
      <c r="DJ109" s="517"/>
      <c r="DK109" s="516"/>
      <c r="DL109" s="517"/>
      <c r="DM109" s="512"/>
      <c r="DN109" s="313"/>
      <c r="DO109" s="313"/>
      <c r="DP109" s="313"/>
      <c r="DQ109" s="313"/>
      <c r="DR109" s="313"/>
      <c r="DS109" s="313"/>
      <c r="DT109" s="313"/>
      <c r="DU109" s="313"/>
      <c r="DV109" s="313"/>
      <c r="DW109" s="313"/>
    </row>
    <row r="110" spans="1:127" s="2" customFormat="1">
      <c r="A110" s="347"/>
      <c r="B110" s="347"/>
      <c r="C110" s="268"/>
      <c r="D110" s="346"/>
      <c r="E110" s="347"/>
      <c r="F110" s="349"/>
      <c r="G110" s="349"/>
      <c r="H110" s="348"/>
      <c r="I110" s="347"/>
      <c r="J110" s="348"/>
      <c r="K110" s="349"/>
      <c r="L110" s="348"/>
      <c r="M110" s="347"/>
      <c r="N110" s="347"/>
      <c r="O110" s="313"/>
      <c r="P110" s="313"/>
      <c r="Q110" s="313"/>
      <c r="R110" s="313"/>
      <c r="S110" s="313"/>
      <c r="T110" s="348"/>
      <c r="U110" s="349"/>
      <c r="V110" s="349"/>
      <c r="W110" s="348"/>
      <c r="X110" s="348"/>
      <c r="Y110" s="349"/>
      <c r="Z110" s="313"/>
      <c r="AA110" s="313"/>
      <c r="AB110" s="654"/>
      <c r="AC110" s="373"/>
      <c r="AD110" s="373"/>
      <c r="AE110" s="654"/>
      <c r="AF110" s="654"/>
      <c r="AG110" s="373"/>
      <c r="AH110" s="315"/>
      <c r="AI110" s="315"/>
      <c r="AJ110" s="348"/>
      <c r="AK110" s="349"/>
      <c r="AL110" s="349"/>
      <c r="AM110" s="348"/>
      <c r="AN110" s="349"/>
      <c r="AO110" s="349"/>
      <c r="AP110" s="313"/>
      <c r="AQ110" s="313"/>
      <c r="AR110" s="654"/>
      <c r="AS110" s="373"/>
      <c r="AT110" s="373"/>
      <c r="AU110" s="654"/>
      <c r="AV110" s="373"/>
      <c r="AW110" s="373"/>
      <c r="AX110" s="315"/>
      <c r="AY110" s="315"/>
      <c r="AZ110" s="348"/>
      <c r="BA110" s="349"/>
      <c r="BB110" s="349"/>
      <c r="BC110" s="348"/>
      <c r="BD110" s="349"/>
      <c r="BE110" s="349"/>
      <c r="BF110" s="313"/>
      <c r="BG110" s="313"/>
      <c r="BH110" s="654"/>
      <c r="BI110" s="373"/>
      <c r="BJ110" s="373"/>
      <c r="BK110" s="654"/>
      <c r="BL110" s="373"/>
      <c r="BM110" s="373"/>
      <c r="BN110" s="315"/>
      <c r="BO110" s="315"/>
      <c r="BP110" s="313"/>
      <c r="BQ110" s="349"/>
      <c r="BR110" s="349"/>
      <c r="BS110" s="348"/>
      <c r="BT110" s="349"/>
      <c r="BU110" s="349"/>
      <c r="BV110" s="313"/>
      <c r="BW110" s="313"/>
      <c r="BX110" s="315"/>
      <c r="BY110" s="373"/>
      <c r="BZ110" s="373"/>
      <c r="CA110" s="654"/>
      <c r="CB110" s="373"/>
      <c r="CC110" s="373"/>
      <c r="CD110" s="315"/>
      <c r="CE110" s="315"/>
      <c r="CF110" s="313"/>
      <c r="CG110" s="349"/>
      <c r="CH110" s="349"/>
      <c r="CI110" s="313"/>
      <c r="CJ110" s="349"/>
      <c r="CK110" s="349"/>
      <c r="CL110" s="313"/>
      <c r="CM110" s="313"/>
      <c r="CN110" s="315"/>
      <c r="CO110" s="373"/>
      <c r="CP110" s="373"/>
      <c r="CQ110" s="315"/>
      <c r="CR110" s="373"/>
      <c r="CS110" s="373"/>
      <c r="CT110" s="315"/>
      <c r="CU110" s="315"/>
      <c r="CV110" s="353"/>
      <c r="CW110" s="313"/>
      <c r="CX110" s="512"/>
      <c r="CY110" s="516"/>
      <c r="CZ110" s="517"/>
      <c r="DA110" s="516"/>
      <c r="DB110" s="517"/>
      <c r="DC110" s="516"/>
      <c r="DD110" s="517"/>
      <c r="DE110" s="516"/>
      <c r="DF110" s="517"/>
      <c r="DG110" s="516"/>
      <c r="DH110" s="517"/>
      <c r="DI110" s="516"/>
      <c r="DJ110" s="517"/>
      <c r="DK110" s="516"/>
      <c r="DL110" s="517"/>
      <c r="DM110" s="512"/>
      <c r="DN110" s="313"/>
      <c r="DO110" s="313"/>
      <c r="DP110" s="313"/>
      <c r="DQ110" s="313"/>
      <c r="DR110" s="313"/>
      <c r="DS110" s="313"/>
      <c r="DT110" s="313"/>
      <c r="DU110" s="313"/>
      <c r="DV110" s="313"/>
      <c r="DW110" s="313"/>
    </row>
    <row r="111" spans="1:127" s="2" customFormat="1">
      <c r="A111" s="347"/>
      <c r="B111" s="347"/>
      <c r="C111" s="268"/>
      <c r="D111" s="346"/>
      <c r="E111" s="347"/>
      <c r="F111" s="349"/>
      <c r="G111" s="349"/>
      <c r="H111" s="348"/>
      <c r="I111" s="347"/>
      <c r="J111" s="348"/>
      <c r="K111" s="349"/>
      <c r="L111" s="348"/>
      <c r="M111" s="347"/>
      <c r="N111" s="347"/>
      <c r="O111" s="313"/>
      <c r="P111" s="313"/>
      <c r="Q111" s="313"/>
      <c r="R111" s="313"/>
      <c r="S111" s="313"/>
      <c r="T111" s="348"/>
      <c r="U111" s="349"/>
      <c r="V111" s="349"/>
      <c r="W111" s="348"/>
      <c r="X111" s="348"/>
      <c r="Y111" s="349"/>
      <c r="Z111" s="313"/>
      <c r="AA111" s="313"/>
      <c r="AB111" s="654"/>
      <c r="AC111" s="373"/>
      <c r="AD111" s="373"/>
      <c r="AE111" s="654"/>
      <c r="AF111" s="654"/>
      <c r="AG111" s="373"/>
      <c r="AH111" s="315"/>
      <c r="AI111" s="315"/>
      <c r="AJ111" s="348"/>
      <c r="AK111" s="349"/>
      <c r="AL111" s="349"/>
      <c r="AM111" s="348"/>
      <c r="AN111" s="349"/>
      <c r="AO111" s="349"/>
      <c r="AP111" s="313"/>
      <c r="AQ111" s="313"/>
      <c r="AR111" s="654"/>
      <c r="AS111" s="373"/>
      <c r="AT111" s="373"/>
      <c r="AU111" s="654"/>
      <c r="AV111" s="373"/>
      <c r="AW111" s="373"/>
      <c r="AX111" s="315"/>
      <c r="AY111" s="315"/>
      <c r="AZ111" s="348"/>
      <c r="BA111" s="349"/>
      <c r="BB111" s="349"/>
      <c r="BC111" s="348"/>
      <c r="BD111" s="349"/>
      <c r="BE111" s="349"/>
      <c r="BF111" s="313"/>
      <c r="BG111" s="313"/>
      <c r="BH111" s="654"/>
      <c r="BI111" s="373"/>
      <c r="BJ111" s="373"/>
      <c r="BK111" s="654"/>
      <c r="BL111" s="373"/>
      <c r="BM111" s="373"/>
      <c r="BN111" s="315"/>
      <c r="BO111" s="315"/>
      <c r="BP111" s="313"/>
      <c r="BQ111" s="349"/>
      <c r="BR111" s="349"/>
      <c r="BS111" s="348"/>
      <c r="BT111" s="349"/>
      <c r="BU111" s="349"/>
      <c r="BV111" s="313"/>
      <c r="BW111" s="313"/>
      <c r="BX111" s="315"/>
      <c r="BY111" s="373"/>
      <c r="BZ111" s="373"/>
      <c r="CA111" s="654"/>
      <c r="CB111" s="373"/>
      <c r="CC111" s="373"/>
      <c r="CD111" s="315"/>
      <c r="CE111" s="315"/>
      <c r="CF111" s="313"/>
      <c r="CG111" s="349"/>
      <c r="CH111" s="349"/>
      <c r="CI111" s="313"/>
      <c r="CJ111" s="349"/>
      <c r="CK111" s="349"/>
      <c r="CL111" s="313"/>
      <c r="CM111" s="313"/>
      <c r="CN111" s="315"/>
      <c r="CO111" s="373"/>
      <c r="CP111" s="373"/>
      <c r="CQ111" s="315"/>
      <c r="CR111" s="373"/>
      <c r="CS111" s="373"/>
      <c r="CT111" s="315"/>
      <c r="CU111" s="315"/>
      <c r="CV111" s="353"/>
      <c r="CW111" s="313"/>
      <c r="CX111" s="512"/>
      <c r="CY111" s="516"/>
      <c r="CZ111" s="517"/>
      <c r="DA111" s="516"/>
      <c r="DB111" s="517"/>
      <c r="DC111" s="516"/>
      <c r="DD111" s="517"/>
      <c r="DE111" s="516"/>
      <c r="DF111" s="517"/>
      <c r="DG111" s="516"/>
      <c r="DH111" s="517"/>
      <c r="DI111" s="516"/>
      <c r="DJ111" s="517"/>
      <c r="DK111" s="516"/>
      <c r="DL111" s="517"/>
      <c r="DM111" s="512"/>
      <c r="DN111" s="313"/>
      <c r="DO111" s="313"/>
      <c r="DP111" s="313"/>
      <c r="DQ111" s="313"/>
      <c r="DR111" s="313"/>
      <c r="DS111" s="313"/>
      <c r="DT111" s="313"/>
      <c r="DU111" s="313"/>
      <c r="DV111" s="313"/>
      <c r="DW111" s="313"/>
    </row>
    <row r="112" spans="1:127" s="2" customFormat="1">
      <c r="A112" s="347"/>
      <c r="B112" s="347"/>
      <c r="C112" s="268"/>
      <c r="D112" s="346"/>
      <c r="E112" s="347"/>
      <c r="F112" s="349"/>
      <c r="G112" s="349"/>
      <c r="H112" s="348"/>
      <c r="I112" s="347"/>
      <c r="J112" s="348"/>
      <c r="K112" s="349"/>
      <c r="L112" s="348"/>
      <c r="M112" s="347"/>
      <c r="N112" s="347"/>
      <c r="O112" s="313"/>
      <c r="P112" s="313"/>
      <c r="Q112" s="313"/>
      <c r="R112" s="313"/>
      <c r="S112" s="313"/>
      <c r="T112" s="348"/>
      <c r="U112" s="349"/>
      <c r="V112" s="349"/>
      <c r="W112" s="348"/>
      <c r="X112" s="348"/>
      <c r="Y112" s="349"/>
      <c r="Z112" s="313"/>
      <c r="AA112" s="313"/>
      <c r="AB112" s="654"/>
      <c r="AC112" s="373"/>
      <c r="AD112" s="373"/>
      <c r="AE112" s="654"/>
      <c r="AF112" s="654"/>
      <c r="AG112" s="373"/>
      <c r="AH112" s="315"/>
      <c r="AI112" s="315"/>
      <c r="AJ112" s="348"/>
      <c r="AK112" s="349"/>
      <c r="AL112" s="349"/>
      <c r="AM112" s="348"/>
      <c r="AN112" s="349"/>
      <c r="AO112" s="349"/>
      <c r="AP112" s="313"/>
      <c r="AQ112" s="313"/>
      <c r="AR112" s="654"/>
      <c r="AS112" s="373"/>
      <c r="AT112" s="373"/>
      <c r="AU112" s="654"/>
      <c r="AV112" s="373"/>
      <c r="AW112" s="373"/>
      <c r="AX112" s="315"/>
      <c r="AY112" s="315"/>
      <c r="AZ112" s="348"/>
      <c r="BA112" s="349"/>
      <c r="BB112" s="349"/>
      <c r="BC112" s="348"/>
      <c r="BD112" s="349"/>
      <c r="BE112" s="349"/>
      <c r="BF112" s="313"/>
      <c r="BG112" s="313"/>
      <c r="BH112" s="654"/>
      <c r="BI112" s="373"/>
      <c r="BJ112" s="373"/>
      <c r="BK112" s="654"/>
      <c r="BL112" s="373"/>
      <c r="BM112" s="373"/>
      <c r="BN112" s="315"/>
      <c r="BO112" s="315"/>
      <c r="BP112" s="313"/>
      <c r="BQ112" s="349"/>
      <c r="BR112" s="349"/>
      <c r="BS112" s="348"/>
      <c r="BT112" s="349"/>
      <c r="BU112" s="349"/>
      <c r="BV112" s="313"/>
      <c r="BW112" s="313"/>
      <c r="BX112" s="315"/>
      <c r="BY112" s="373"/>
      <c r="BZ112" s="373"/>
      <c r="CA112" s="654"/>
      <c r="CB112" s="373"/>
      <c r="CC112" s="373"/>
      <c r="CD112" s="315"/>
      <c r="CE112" s="315"/>
      <c r="CF112" s="313"/>
      <c r="CG112" s="349"/>
      <c r="CH112" s="349"/>
      <c r="CI112" s="313"/>
      <c r="CJ112" s="349"/>
      <c r="CK112" s="349"/>
      <c r="CL112" s="313"/>
      <c r="CM112" s="313"/>
      <c r="CN112" s="315"/>
      <c r="CO112" s="373"/>
      <c r="CP112" s="373"/>
      <c r="CQ112" s="315"/>
      <c r="CR112" s="373"/>
      <c r="CS112" s="373"/>
      <c r="CT112" s="315"/>
      <c r="CU112" s="315"/>
      <c r="CV112" s="353"/>
      <c r="CW112" s="313"/>
      <c r="CX112" s="512"/>
      <c r="CY112" s="516"/>
      <c r="CZ112" s="517"/>
      <c r="DA112" s="516"/>
      <c r="DB112" s="517"/>
      <c r="DC112" s="516"/>
      <c r="DD112" s="517"/>
      <c r="DE112" s="516"/>
      <c r="DF112" s="517"/>
      <c r="DG112" s="516"/>
      <c r="DH112" s="517"/>
      <c r="DI112" s="516"/>
      <c r="DJ112" s="517"/>
      <c r="DK112" s="516"/>
      <c r="DL112" s="517"/>
      <c r="DM112" s="512"/>
      <c r="DN112" s="313"/>
      <c r="DO112" s="313"/>
      <c r="DP112" s="313"/>
      <c r="DQ112" s="313"/>
      <c r="DR112" s="313"/>
      <c r="DS112" s="313"/>
      <c r="DT112" s="313"/>
      <c r="DU112" s="313"/>
      <c r="DV112" s="313"/>
      <c r="DW112" s="313"/>
    </row>
    <row r="113" spans="1:127" s="2" customFormat="1">
      <c r="A113" s="347"/>
      <c r="B113" s="347"/>
      <c r="C113" s="268"/>
      <c r="D113" s="346"/>
      <c r="E113" s="347"/>
      <c r="F113" s="349"/>
      <c r="G113" s="349"/>
      <c r="H113" s="348"/>
      <c r="I113" s="347"/>
      <c r="J113" s="348"/>
      <c r="K113" s="349"/>
      <c r="L113" s="348"/>
      <c r="M113" s="347"/>
      <c r="N113" s="347"/>
      <c r="O113" s="313"/>
      <c r="P113" s="313"/>
      <c r="Q113" s="313"/>
      <c r="R113" s="313"/>
      <c r="S113" s="313"/>
      <c r="T113" s="348"/>
      <c r="U113" s="349"/>
      <c r="V113" s="349"/>
      <c r="W113" s="348"/>
      <c r="X113" s="348"/>
      <c r="Y113" s="349"/>
      <c r="Z113" s="313"/>
      <c r="AA113" s="313"/>
      <c r="AB113" s="654"/>
      <c r="AC113" s="373"/>
      <c r="AD113" s="373"/>
      <c r="AE113" s="654"/>
      <c r="AF113" s="654"/>
      <c r="AG113" s="373"/>
      <c r="AH113" s="315"/>
      <c r="AI113" s="315"/>
      <c r="AJ113" s="348"/>
      <c r="AK113" s="349"/>
      <c r="AL113" s="349"/>
      <c r="AM113" s="348"/>
      <c r="AN113" s="349"/>
      <c r="AO113" s="349"/>
      <c r="AP113" s="313"/>
      <c r="AQ113" s="313"/>
      <c r="AR113" s="654"/>
      <c r="AS113" s="373"/>
      <c r="AT113" s="373"/>
      <c r="AU113" s="654"/>
      <c r="AV113" s="373"/>
      <c r="AW113" s="373"/>
      <c r="AX113" s="315"/>
      <c r="AY113" s="315"/>
      <c r="AZ113" s="348"/>
      <c r="BA113" s="349"/>
      <c r="BB113" s="349"/>
      <c r="BC113" s="348"/>
      <c r="BD113" s="349"/>
      <c r="BE113" s="349"/>
      <c r="BF113" s="313"/>
      <c r="BG113" s="313"/>
      <c r="BH113" s="654"/>
      <c r="BI113" s="373"/>
      <c r="BJ113" s="373"/>
      <c r="BK113" s="654"/>
      <c r="BL113" s="373"/>
      <c r="BM113" s="373"/>
      <c r="BN113" s="315"/>
      <c r="BO113" s="315"/>
      <c r="BP113" s="313"/>
      <c r="BQ113" s="349"/>
      <c r="BR113" s="349"/>
      <c r="BS113" s="348"/>
      <c r="BT113" s="349"/>
      <c r="BU113" s="349"/>
      <c r="BV113" s="313"/>
      <c r="BW113" s="313"/>
      <c r="BX113" s="315"/>
      <c r="BY113" s="373"/>
      <c r="BZ113" s="373"/>
      <c r="CA113" s="654"/>
      <c r="CB113" s="373"/>
      <c r="CC113" s="373"/>
      <c r="CD113" s="315"/>
      <c r="CE113" s="315"/>
      <c r="CF113" s="313"/>
      <c r="CG113" s="349"/>
      <c r="CH113" s="349"/>
      <c r="CI113" s="313"/>
      <c r="CJ113" s="349"/>
      <c r="CK113" s="349"/>
      <c r="CL113" s="313"/>
      <c r="CM113" s="313"/>
      <c r="CN113" s="315"/>
      <c r="CO113" s="373"/>
      <c r="CP113" s="373"/>
      <c r="CQ113" s="315"/>
      <c r="CR113" s="373"/>
      <c r="CS113" s="373"/>
      <c r="CT113" s="315"/>
      <c r="CU113" s="315"/>
      <c r="CV113" s="353"/>
      <c r="CW113" s="313"/>
      <c r="CX113" s="512"/>
      <c r="CY113" s="516"/>
      <c r="CZ113" s="517"/>
      <c r="DA113" s="516"/>
      <c r="DB113" s="517"/>
      <c r="DC113" s="516"/>
      <c r="DD113" s="517"/>
      <c r="DE113" s="516"/>
      <c r="DF113" s="517"/>
      <c r="DG113" s="516"/>
      <c r="DH113" s="517"/>
      <c r="DI113" s="516"/>
      <c r="DJ113" s="517"/>
      <c r="DK113" s="516"/>
      <c r="DL113" s="517"/>
      <c r="DM113" s="512"/>
      <c r="DN113" s="313"/>
      <c r="DO113" s="313"/>
      <c r="DP113" s="313"/>
      <c r="DQ113" s="313"/>
      <c r="DR113" s="313"/>
      <c r="DS113" s="313"/>
      <c r="DT113" s="313"/>
      <c r="DU113" s="313"/>
      <c r="DV113" s="313"/>
      <c r="DW113" s="313"/>
    </row>
    <row r="114" spans="1:127" s="2" customFormat="1">
      <c r="A114" s="347"/>
      <c r="B114" s="347"/>
      <c r="C114" s="268"/>
      <c r="D114" s="346"/>
      <c r="E114" s="347"/>
      <c r="F114" s="349"/>
      <c r="G114" s="349"/>
      <c r="H114" s="348"/>
      <c r="I114" s="347"/>
      <c r="J114" s="348"/>
      <c r="K114" s="349"/>
      <c r="L114" s="348"/>
      <c r="M114" s="347"/>
      <c r="N114" s="347"/>
      <c r="O114" s="313"/>
      <c r="P114" s="313"/>
      <c r="Q114" s="313"/>
      <c r="R114" s="313"/>
      <c r="S114" s="313"/>
      <c r="T114" s="348"/>
      <c r="U114" s="349"/>
      <c r="V114" s="349"/>
      <c r="W114" s="348"/>
      <c r="X114" s="348"/>
      <c r="Y114" s="349"/>
      <c r="Z114" s="313"/>
      <c r="AA114" s="313"/>
      <c r="AB114" s="654"/>
      <c r="AC114" s="373"/>
      <c r="AD114" s="373"/>
      <c r="AE114" s="654"/>
      <c r="AF114" s="654"/>
      <c r="AG114" s="373"/>
      <c r="AH114" s="315"/>
      <c r="AI114" s="315"/>
      <c r="AJ114" s="348"/>
      <c r="AK114" s="349"/>
      <c r="AL114" s="349"/>
      <c r="AM114" s="348"/>
      <c r="AN114" s="349"/>
      <c r="AO114" s="349"/>
      <c r="AP114" s="313"/>
      <c r="AQ114" s="313"/>
      <c r="AR114" s="654"/>
      <c r="AS114" s="373"/>
      <c r="AT114" s="373"/>
      <c r="AU114" s="654"/>
      <c r="AV114" s="373"/>
      <c r="AW114" s="373"/>
      <c r="AX114" s="315"/>
      <c r="AY114" s="315"/>
      <c r="AZ114" s="348"/>
      <c r="BA114" s="349"/>
      <c r="BB114" s="349"/>
      <c r="BC114" s="348"/>
      <c r="BD114" s="349"/>
      <c r="BE114" s="349"/>
      <c r="BF114" s="313"/>
      <c r="BG114" s="313"/>
      <c r="BH114" s="654"/>
      <c r="BI114" s="373"/>
      <c r="BJ114" s="373"/>
      <c r="BK114" s="654"/>
      <c r="BL114" s="373"/>
      <c r="BM114" s="373"/>
      <c r="BN114" s="315"/>
      <c r="BO114" s="315"/>
      <c r="BP114" s="313"/>
      <c r="BQ114" s="349"/>
      <c r="BR114" s="349"/>
      <c r="BS114" s="348"/>
      <c r="BT114" s="349"/>
      <c r="BU114" s="349"/>
      <c r="BV114" s="313"/>
      <c r="BW114" s="313"/>
      <c r="BX114" s="315"/>
      <c r="BY114" s="373"/>
      <c r="BZ114" s="373"/>
      <c r="CA114" s="654"/>
      <c r="CB114" s="373"/>
      <c r="CC114" s="373"/>
      <c r="CD114" s="315"/>
      <c r="CE114" s="315"/>
      <c r="CF114" s="313"/>
      <c r="CG114" s="349"/>
      <c r="CH114" s="349"/>
      <c r="CI114" s="313"/>
      <c r="CJ114" s="349"/>
      <c r="CK114" s="349"/>
      <c r="CL114" s="313"/>
      <c r="CM114" s="313"/>
      <c r="CN114" s="315"/>
      <c r="CO114" s="373"/>
      <c r="CP114" s="373"/>
      <c r="CQ114" s="315"/>
      <c r="CR114" s="373"/>
      <c r="CS114" s="373"/>
      <c r="CT114" s="315"/>
      <c r="CU114" s="315"/>
      <c r="CV114" s="353"/>
      <c r="CW114" s="313"/>
      <c r="CX114" s="512"/>
      <c r="CY114" s="516"/>
      <c r="CZ114" s="517"/>
      <c r="DA114" s="516"/>
      <c r="DB114" s="517"/>
      <c r="DC114" s="516"/>
      <c r="DD114" s="517"/>
      <c r="DE114" s="516"/>
      <c r="DF114" s="517"/>
      <c r="DG114" s="516"/>
      <c r="DH114" s="517"/>
      <c r="DI114" s="516"/>
      <c r="DJ114" s="517"/>
      <c r="DK114" s="516"/>
      <c r="DL114" s="517"/>
      <c r="DM114" s="512"/>
      <c r="DN114" s="313"/>
      <c r="DO114" s="313"/>
      <c r="DP114" s="313"/>
      <c r="DQ114" s="313"/>
      <c r="DR114" s="313"/>
      <c r="DS114" s="313"/>
      <c r="DT114" s="313"/>
      <c r="DU114" s="313"/>
      <c r="DV114" s="313"/>
      <c r="DW114" s="313"/>
    </row>
    <row r="115" spans="1:127" s="2" customFormat="1">
      <c r="A115" s="347"/>
      <c r="B115" s="347"/>
      <c r="C115" s="268"/>
      <c r="D115" s="346"/>
      <c r="E115" s="347"/>
      <c r="F115" s="349"/>
      <c r="G115" s="349"/>
      <c r="H115" s="348"/>
      <c r="I115" s="347"/>
      <c r="J115" s="348"/>
      <c r="K115" s="349"/>
      <c r="L115" s="348"/>
      <c r="M115" s="347"/>
      <c r="N115" s="347"/>
      <c r="O115" s="313"/>
      <c r="P115" s="313"/>
      <c r="Q115" s="313"/>
      <c r="R115" s="313"/>
      <c r="S115" s="313"/>
      <c r="T115" s="348"/>
      <c r="U115" s="349"/>
      <c r="V115" s="349"/>
      <c r="W115" s="348"/>
      <c r="X115" s="348"/>
      <c r="Y115" s="349"/>
      <c r="Z115" s="313"/>
      <c r="AA115" s="313"/>
      <c r="AB115" s="654"/>
      <c r="AC115" s="373"/>
      <c r="AD115" s="373"/>
      <c r="AE115" s="654"/>
      <c r="AF115" s="654"/>
      <c r="AG115" s="373"/>
      <c r="AH115" s="315"/>
      <c r="AI115" s="315"/>
      <c r="AJ115" s="348"/>
      <c r="AK115" s="349"/>
      <c r="AL115" s="349"/>
      <c r="AM115" s="348"/>
      <c r="AN115" s="349"/>
      <c r="AO115" s="349"/>
      <c r="AP115" s="313"/>
      <c r="AQ115" s="313"/>
      <c r="AR115" s="654"/>
      <c r="AS115" s="373"/>
      <c r="AT115" s="373"/>
      <c r="AU115" s="654"/>
      <c r="AV115" s="373"/>
      <c r="AW115" s="373"/>
      <c r="AX115" s="315"/>
      <c r="AY115" s="315"/>
      <c r="AZ115" s="348"/>
      <c r="BA115" s="349"/>
      <c r="BB115" s="349"/>
      <c r="BC115" s="348"/>
      <c r="BD115" s="349"/>
      <c r="BE115" s="349"/>
      <c r="BF115" s="313"/>
      <c r="BG115" s="313"/>
      <c r="BH115" s="654"/>
      <c r="BI115" s="373"/>
      <c r="BJ115" s="373"/>
      <c r="BK115" s="654"/>
      <c r="BL115" s="373"/>
      <c r="BM115" s="373"/>
      <c r="BN115" s="315"/>
      <c r="BO115" s="315"/>
      <c r="BP115" s="313"/>
      <c r="BQ115" s="349"/>
      <c r="BR115" s="349"/>
      <c r="BS115" s="348"/>
      <c r="BT115" s="349"/>
      <c r="BU115" s="349"/>
      <c r="BV115" s="313"/>
      <c r="BW115" s="313"/>
      <c r="BX115" s="315"/>
      <c r="BY115" s="373"/>
      <c r="BZ115" s="373"/>
      <c r="CA115" s="654"/>
      <c r="CB115" s="373"/>
      <c r="CC115" s="373"/>
      <c r="CD115" s="315"/>
      <c r="CE115" s="315"/>
      <c r="CF115" s="313"/>
      <c r="CG115" s="349"/>
      <c r="CH115" s="349"/>
      <c r="CI115" s="313"/>
      <c r="CJ115" s="349"/>
      <c r="CK115" s="349"/>
      <c r="CL115" s="313"/>
      <c r="CM115" s="313"/>
      <c r="CN115" s="315"/>
      <c r="CO115" s="373"/>
      <c r="CP115" s="373"/>
      <c r="CQ115" s="315"/>
      <c r="CR115" s="373"/>
      <c r="CS115" s="373"/>
      <c r="CT115" s="315"/>
      <c r="CU115" s="315"/>
      <c r="CV115" s="353"/>
      <c r="CW115" s="313"/>
      <c r="CX115" s="512"/>
      <c r="CY115" s="516"/>
      <c r="CZ115" s="517"/>
      <c r="DA115" s="516"/>
      <c r="DB115" s="517"/>
      <c r="DC115" s="516"/>
      <c r="DD115" s="517"/>
      <c r="DE115" s="516"/>
      <c r="DF115" s="517"/>
      <c r="DG115" s="516"/>
      <c r="DH115" s="517"/>
      <c r="DI115" s="516"/>
      <c r="DJ115" s="517"/>
      <c r="DK115" s="516"/>
      <c r="DL115" s="517"/>
      <c r="DM115" s="512"/>
      <c r="DN115" s="313"/>
      <c r="DO115" s="313"/>
      <c r="DP115" s="313"/>
      <c r="DQ115" s="313"/>
      <c r="DR115" s="313"/>
      <c r="DS115" s="313"/>
      <c r="DT115" s="313"/>
      <c r="DU115" s="313"/>
      <c r="DV115" s="313"/>
      <c r="DW115" s="313"/>
    </row>
    <row r="116" spans="1:127" s="2" customFormat="1">
      <c r="A116" s="347"/>
      <c r="B116" s="347"/>
      <c r="C116" s="268"/>
      <c r="D116" s="346"/>
      <c r="E116" s="347"/>
      <c r="F116" s="349"/>
      <c r="G116" s="349"/>
      <c r="H116" s="348"/>
      <c r="I116" s="347"/>
      <c r="J116" s="348"/>
      <c r="K116" s="349"/>
      <c r="L116" s="348"/>
      <c r="M116" s="347"/>
      <c r="N116" s="347"/>
      <c r="O116" s="313"/>
      <c r="P116" s="313"/>
      <c r="Q116" s="313"/>
      <c r="R116" s="313"/>
      <c r="S116" s="313"/>
      <c r="T116" s="348"/>
      <c r="U116" s="349"/>
      <c r="V116" s="349"/>
      <c r="W116" s="348"/>
      <c r="X116" s="348"/>
      <c r="Y116" s="349"/>
      <c r="Z116" s="313"/>
      <c r="AA116" s="313"/>
      <c r="AB116" s="654"/>
      <c r="AC116" s="373"/>
      <c r="AD116" s="373"/>
      <c r="AE116" s="654"/>
      <c r="AF116" s="654"/>
      <c r="AG116" s="373"/>
      <c r="AH116" s="315"/>
      <c r="AI116" s="315"/>
      <c r="AJ116" s="348"/>
      <c r="AK116" s="349"/>
      <c r="AL116" s="349"/>
      <c r="AM116" s="348"/>
      <c r="AN116" s="349"/>
      <c r="AO116" s="349"/>
      <c r="AP116" s="313"/>
      <c r="AQ116" s="313"/>
      <c r="AR116" s="654"/>
      <c r="AS116" s="373"/>
      <c r="AT116" s="373"/>
      <c r="AU116" s="654"/>
      <c r="AV116" s="373"/>
      <c r="AW116" s="373"/>
      <c r="AX116" s="315"/>
      <c r="AY116" s="315"/>
      <c r="AZ116" s="348"/>
      <c r="BA116" s="349"/>
      <c r="BB116" s="349"/>
      <c r="BC116" s="348"/>
      <c r="BD116" s="349"/>
      <c r="BE116" s="349"/>
      <c r="BF116" s="313"/>
      <c r="BG116" s="313"/>
      <c r="BH116" s="654"/>
      <c r="BI116" s="373"/>
      <c r="BJ116" s="373"/>
      <c r="BK116" s="654"/>
      <c r="BL116" s="373"/>
      <c r="BM116" s="373"/>
      <c r="BN116" s="315"/>
      <c r="BO116" s="315"/>
      <c r="BP116" s="313"/>
      <c r="BQ116" s="349"/>
      <c r="BR116" s="349"/>
      <c r="BS116" s="348"/>
      <c r="BT116" s="349"/>
      <c r="BU116" s="349"/>
      <c r="BV116" s="313"/>
      <c r="BW116" s="313"/>
      <c r="BX116" s="315"/>
      <c r="BY116" s="373"/>
      <c r="BZ116" s="373"/>
      <c r="CA116" s="654"/>
      <c r="CB116" s="373"/>
      <c r="CC116" s="373"/>
      <c r="CD116" s="315"/>
      <c r="CE116" s="315"/>
      <c r="CF116" s="313"/>
      <c r="CG116" s="349"/>
      <c r="CH116" s="349"/>
      <c r="CI116" s="313"/>
      <c r="CJ116" s="349"/>
      <c r="CK116" s="349"/>
      <c r="CL116" s="313"/>
      <c r="CM116" s="313"/>
      <c r="CN116" s="315"/>
      <c r="CO116" s="373"/>
      <c r="CP116" s="373"/>
      <c r="CQ116" s="315"/>
      <c r="CR116" s="373"/>
      <c r="CS116" s="373"/>
      <c r="CT116" s="315"/>
      <c r="CU116" s="315"/>
      <c r="CV116" s="353"/>
      <c r="CW116" s="313"/>
      <c r="CX116" s="512"/>
      <c r="CY116" s="516"/>
      <c r="CZ116" s="517"/>
      <c r="DA116" s="516"/>
      <c r="DB116" s="517"/>
      <c r="DC116" s="516"/>
      <c r="DD116" s="517"/>
      <c r="DE116" s="516"/>
      <c r="DF116" s="517"/>
      <c r="DG116" s="516"/>
      <c r="DH116" s="517"/>
      <c r="DI116" s="516"/>
      <c r="DJ116" s="517"/>
      <c r="DK116" s="516"/>
      <c r="DL116" s="517"/>
      <c r="DM116" s="512"/>
      <c r="DN116" s="313"/>
      <c r="DO116" s="313"/>
      <c r="DP116" s="313"/>
      <c r="DQ116" s="313"/>
      <c r="DR116" s="313"/>
      <c r="DS116" s="313"/>
      <c r="DT116" s="313"/>
      <c r="DU116" s="313"/>
      <c r="DV116" s="313"/>
      <c r="DW116" s="313"/>
    </row>
    <row r="117" spans="1:127" s="2" customFormat="1">
      <c r="A117" s="347"/>
      <c r="B117" s="347"/>
      <c r="C117" s="268"/>
      <c r="D117" s="346"/>
      <c r="E117" s="347"/>
      <c r="F117" s="349"/>
      <c r="G117" s="349"/>
      <c r="H117" s="348"/>
      <c r="I117" s="347"/>
      <c r="J117" s="348"/>
      <c r="K117" s="349"/>
      <c r="L117" s="348"/>
      <c r="M117" s="347"/>
      <c r="N117" s="347"/>
      <c r="O117" s="313"/>
      <c r="P117" s="313"/>
      <c r="Q117" s="313"/>
      <c r="R117" s="313"/>
      <c r="S117" s="313"/>
      <c r="T117" s="348"/>
      <c r="U117" s="349"/>
      <c r="V117" s="349"/>
      <c r="W117" s="348"/>
      <c r="X117" s="348"/>
      <c r="Y117" s="349"/>
      <c r="Z117" s="313"/>
      <c r="AA117" s="313"/>
      <c r="AB117" s="654"/>
      <c r="AC117" s="373"/>
      <c r="AD117" s="373"/>
      <c r="AE117" s="654"/>
      <c r="AF117" s="654"/>
      <c r="AG117" s="373"/>
      <c r="AH117" s="315"/>
      <c r="AI117" s="315"/>
      <c r="AJ117" s="348"/>
      <c r="AK117" s="349"/>
      <c r="AL117" s="349"/>
      <c r="AM117" s="348"/>
      <c r="AN117" s="349"/>
      <c r="AO117" s="349"/>
      <c r="AP117" s="313"/>
      <c r="AQ117" s="313"/>
      <c r="AR117" s="654"/>
      <c r="AS117" s="373"/>
      <c r="AT117" s="373"/>
      <c r="AU117" s="654"/>
      <c r="AV117" s="373"/>
      <c r="AW117" s="373"/>
      <c r="AX117" s="315"/>
      <c r="AY117" s="315"/>
      <c r="AZ117" s="348"/>
      <c r="BA117" s="349"/>
      <c r="BB117" s="349"/>
      <c r="BC117" s="348"/>
      <c r="BD117" s="349"/>
      <c r="BE117" s="349"/>
      <c r="BF117" s="313"/>
      <c r="BG117" s="313"/>
      <c r="BH117" s="654"/>
      <c r="BI117" s="373"/>
      <c r="BJ117" s="373"/>
      <c r="BK117" s="654"/>
      <c r="BL117" s="373"/>
      <c r="BM117" s="373"/>
      <c r="BN117" s="315"/>
      <c r="BO117" s="315"/>
      <c r="BP117" s="313"/>
      <c r="BQ117" s="349"/>
      <c r="BR117" s="349"/>
      <c r="BS117" s="348"/>
      <c r="BT117" s="349"/>
      <c r="BU117" s="349"/>
      <c r="BV117" s="313"/>
      <c r="BW117" s="313"/>
      <c r="BX117" s="315"/>
      <c r="BY117" s="373"/>
      <c r="BZ117" s="373"/>
      <c r="CA117" s="654"/>
      <c r="CB117" s="373"/>
      <c r="CC117" s="373"/>
      <c r="CD117" s="315"/>
      <c r="CE117" s="315"/>
      <c r="CF117" s="313"/>
      <c r="CG117" s="349"/>
      <c r="CH117" s="349"/>
      <c r="CI117" s="313"/>
      <c r="CJ117" s="349"/>
      <c r="CK117" s="349"/>
      <c r="CL117" s="313"/>
      <c r="CM117" s="313"/>
      <c r="CN117" s="315"/>
      <c r="CO117" s="373"/>
      <c r="CP117" s="373"/>
      <c r="CQ117" s="315"/>
      <c r="CR117" s="373"/>
      <c r="CS117" s="373"/>
      <c r="CT117" s="315"/>
      <c r="CU117" s="315"/>
      <c r="CV117" s="353"/>
      <c r="CW117" s="313"/>
      <c r="CX117" s="512"/>
      <c r="CY117" s="516"/>
      <c r="CZ117" s="517"/>
      <c r="DA117" s="516"/>
      <c r="DB117" s="517"/>
      <c r="DC117" s="516"/>
      <c r="DD117" s="517"/>
      <c r="DE117" s="516"/>
      <c r="DF117" s="517"/>
      <c r="DG117" s="516"/>
      <c r="DH117" s="517"/>
      <c r="DI117" s="516"/>
      <c r="DJ117" s="517"/>
      <c r="DK117" s="516"/>
      <c r="DL117" s="517"/>
      <c r="DM117" s="512"/>
      <c r="DN117" s="313"/>
      <c r="DO117" s="313"/>
      <c r="DP117" s="313"/>
      <c r="DQ117" s="313"/>
      <c r="DR117" s="313"/>
      <c r="DS117" s="313"/>
      <c r="DT117" s="313"/>
      <c r="DU117" s="313"/>
      <c r="DV117" s="313"/>
      <c r="DW117" s="313"/>
    </row>
    <row r="118" spans="1:127" s="2" customFormat="1">
      <c r="A118" s="347"/>
      <c r="B118" s="347"/>
      <c r="C118" s="268"/>
      <c r="D118" s="346"/>
      <c r="E118" s="347"/>
      <c r="F118" s="349"/>
      <c r="G118" s="349"/>
      <c r="H118" s="348"/>
      <c r="I118" s="347"/>
      <c r="J118" s="348"/>
      <c r="K118" s="349"/>
      <c r="L118" s="348"/>
      <c r="M118" s="347"/>
      <c r="N118" s="347"/>
      <c r="O118" s="313"/>
      <c r="P118" s="313"/>
      <c r="Q118" s="313"/>
      <c r="R118" s="313"/>
      <c r="S118" s="313"/>
      <c r="T118" s="348"/>
      <c r="U118" s="349"/>
      <c r="V118" s="349"/>
      <c r="W118" s="348"/>
      <c r="X118" s="348"/>
      <c r="Y118" s="349"/>
      <c r="Z118" s="313"/>
      <c r="AA118" s="313"/>
      <c r="AB118" s="654"/>
      <c r="AC118" s="373"/>
      <c r="AD118" s="373"/>
      <c r="AE118" s="654"/>
      <c r="AF118" s="654"/>
      <c r="AG118" s="373"/>
      <c r="AH118" s="315"/>
      <c r="AI118" s="315"/>
      <c r="AJ118" s="348"/>
      <c r="AK118" s="349"/>
      <c r="AL118" s="349"/>
      <c r="AM118" s="348"/>
      <c r="AN118" s="349"/>
      <c r="AO118" s="349"/>
      <c r="AP118" s="313"/>
      <c r="AQ118" s="313"/>
      <c r="AR118" s="654"/>
      <c r="AS118" s="373"/>
      <c r="AT118" s="373"/>
      <c r="AU118" s="654"/>
      <c r="AV118" s="373"/>
      <c r="AW118" s="373"/>
      <c r="AX118" s="315"/>
      <c r="AY118" s="315"/>
      <c r="AZ118" s="348"/>
      <c r="BA118" s="349"/>
      <c r="BB118" s="349"/>
      <c r="BC118" s="348"/>
      <c r="BD118" s="349"/>
      <c r="BE118" s="349"/>
      <c r="BF118" s="313"/>
      <c r="BG118" s="313"/>
      <c r="BH118" s="654"/>
      <c r="BI118" s="373"/>
      <c r="BJ118" s="373"/>
      <c r="BK118" s="654"/>
      <c r="BL118" s="373"/>
      <c r="BM118" s="373"/>
      <c r="BN118" s="315"/>
      <c r="BO118" s="315"/>
      <c r="BP118" s="313"/>
      <c r="BQ118" s="349"/>
      <c r="BR118" s="349"/>
      <c r="BS118" s="348"/>
      <c r="BT118" s="349"/>
      <c r="BU118" s="349"/>
      <c r="BV118" s="313"/>
      <c r="BW118" s="313"/>
      <c r="BX118" s="315"/>
      <c r="BY118" s="373"/>
      <c r="BZ118" s="373"/>
      <c r="CA118" s="654"/>
      <c r="CB118" s="373"/>
      <c r="CC118" s="373"/>
      <c r="CD118" s="315"/>
      <c r="CE118" s="315"/>
      <c r="CF118" s="313"/>
      <c r="CG118" s="349"/>
      <c r="CH118" s="349"/>
      <c r="CI118" s="313"/>
      <c r="CJ118" s="349"/>
      <c r="CK118" s="349"/>
      <c r="CL118" s="313"/>
      <c r="CM118" s="313"/>
      <c r="CN118" s="315"/>
      <c r="CO118" s="373"/>
      <c r="CP118" s="373"/>
      <c r="CQ118" s="315"/>
      <c r="CR118" s="373"/>
      <c r="CS118" s="373"/>
      <c r="CT118" s="315"/>
      <c r="CU118" s="315"/>
      <c r="CV118" s="353"/>
      <c r="CW118" s="313"/>
      <c r="CX118" s="512"/>
      <c r="CY118" s="516"/>
      <c r="CZ118" s="517"/>
      <c r="DA118" s="516"/>
      <c r="DB118" s="517"/>
      <c r="DC118" s="516"/>
      <c r="DD118" s="517"/>
      <c r="DE118" s="516"/>
      <c r="DF118" s="517"/>
      <c r="DG118" s="516"/>
      <c r="DH118" s="517"/>
      <c r="DI118" s="516"/>
      <c r="DJ118" s="517"/>
      <c r="DK118" s="516"/>
      <c r="DL118" s="517"/>
      <c r="DM118" s="512"/>
      <c r="DN118" s="313"/>
      <c r="DO118" s="313"/>
      <c r="DP118" s="313"/>
      <c r="DQ118" s="313"/>
      <c r="DR118" s="313"/>
      <c r="DS118" s="313"/>
      <c r="DT118" s="313"/>
      <c r="DU118" s="313"/>
      <c r="DV118" s="313"/>
      <c r="DW118" s="313"/>
    </row>
    <row r="119" spans="1:127" s="2" customFormat="1">
      <c r="A119" s="347"/>
      <c r="B119" s="347"/>
      <c r="C119" s="268"/>
      <c r="D119" s="346"/>
      <c r="E119" s="347"/>
      <c r="F119" s="349"/>
      <c r="G119" s="349"/>
      <c r="H119" s="348"/>
      <c r="I119" s="347"/>
      <c r="J119" s="348"/>
      <c r="K119" s="349"/>
      <c r="L119" s="348"/>
      <c r="M119" s="347"/>
      <c r="N119" s="347"/>
      <c r="O119" s="313"/>
      <c r="P119" s="313"/>
      <c r="Q119" s="313"/>
      <c r="R119" s="313"/>
      <c r="S119" s="313"/>
      <c r="T119" s="348"/>
      <c r="U119" s="349"/>
      <c r="V119" s="349"/>
      <c r="W119" s="348"/>
      <c r="X119" s="348"/>
      <c r="Y119" s="349"/>
      <c r="Z119" s="313"/>
      <c r="AA119" s="313"/>
      <c r="AB119" s="654"/>
      <c r="AC119" s="373"/>
      <c r="AD119" s="373"/>
      <c r="AE119" s="654"/>
      <c r="AF119" s="654"/>
      <c r="AG119" s="373"/>
      <c r="AH119" s="315"/>
      <c r="AI119" s="315"/>
      <c r="AJ119" s="348"/>
      <c r="AK119" s="349"/>
      <c r="AL119" s="349"/>
      <c r="AM119" s="348"/>
      <c r="AN119" s="349"/>
      <c r="AO119" s="349"/>
      <c r="AP119" s="313"/>
      <c r="AQ119" s="313"/>
      <c r="AR119" s="654"/>
      <c r="AS119" s="373"/>
      <c r="AT119" s="373"/>
      <c r="AU119" s="654"/>
      <c r="AV119" s="373"/>
      <c r="AW119" s="373"/>
      <c r="AX119" s="315"/>
      <c r="AY119" s="315"/>
      <c r="AZ119" s="348"/>
      <c r="BA119" s="349"/>
      <c r="BB119" s="349"/>
      <c r="BC119" s="348"/>
      <c r="BD119" s="349"/>
      <c r="BE119" s="349"/>
      <c r="BF119" s="313"/>
      <c r="BG119" s="313"/>
      <c r="BH119" s="654"/>
      <c r="BI119" s="373"/>
      <c r="BJ119" s="373"/>
      <c r="BK119" s="654"/>
      <c r="BL119" s="373"/>
      <c r="BM119" s="373"/>
      <c r="BN119" s="315"/>
      <c r="BO119" s="315"/>
      <c r="BP119" s="313"/>
      <c r="BQ119" s="349"/>
      <c r="BR119" s="349"/>
      <c r="BS119" s="348"/>
      <c r="BT119" s="349"/>
      <c r="BU119" s="349"/>
      <c r="BV119" s="313"/>
      <c r="BW119" s="313"/>
      <c r="BX119" s="315"/>
      <c r="BY119" s="373"/>
      <c r="BZ119" s="373"/>
      <c r="CA119" s="654"/>
      <c r="CB119" s="373"/>
      <c r="CC119" s="373"/>
      <c r="CD119" s="315"/>
      <c r="CE119" s="315"/>
      <c r="CF119" s="313"/>
      <c r="CG119" s="349"/>
      <c r="CH119" s="349"/>
      <c r="CI119" s="313"/>
      <c r="CJ119" s="349"/>
      <c r="CK119" s="349"/>
      <c r="CL119" s="313"/>
      <c r="CM119" s="313"/>
      <c r="CN119" s="315"/>
      <c r="CO119" s="373"/>
      <c r="CP119" s="373"/>
      <c r="CQ119" s="315"/>
      <c r="CR119" s="373"/>
      <c r="CS119" s="373"/>
      <c r="CT119" s="315"/>
      <c r="CU119" s="315"/>
      <c r="CV119" s="353"/>
      <c r="CW119" s="313"/>
      <c r="CX119" s="512"/>
      <c r="CY119" s="516"/>
      <c r="CZ119" s="517"/>
      <c r="DA119" s="516"/>
      <c r="DB119" s="517"/>
      <c r="DC119" s="516"/>
      <c r="DD119" s="517"/>
      <c r="DE119" s="516"/>
      <c r="DF119" s="517"/>
      <c r="DG119" s="516"/>
      <c r="DH119" s="517"/>
      <c r="DI119" s="516"/>
      <c r="DJ119" s="517"/>
      <c r="DK119" s="516"/>
      <c r="DL119" s="517"/>
      <c r="DM119" s="512"/>
      <c r="DN119" s="313"/>
      <c r="DO119" s="313"/>
      <c r="DP119" s="313"/>
      <c r="DQ119" s="313"/>
      <c r="DR119" s="313"/>
      <c r="DS119" s="313"/>
      <c r="DT119" s="313"/>
      <c r="DU119" s="313"/>
      <c r="DV119" s="313"/>
      <c r="DW119" s="313"/>
    </row>
    <row r="120" spans="1:127" s="2" customFormat="1">
      <c r="A120" s="347"/>
      <c r="B120" s="347"/>
      <c r="C120" s="268"/>
      <c r="D120" s="346"/>
      <c r="E120" s="347"/>
      <c r="F120" s="349"/>
      <c r="G120" s="349"/>
      <c r="H120" s="348"/>
      <c r="I120" s="347"/>
      <c r="J120" s="348"/>
      <c r="K120" s="349"/>
      <c r="L120" s="348"/>
      <c r="M120" s="347"/>
      <c r="N120" s="347"/>
      <c r="O120" s="313"/>
      <c r="P120" s="313"/>
      <c r="Q120" s="313"/>
      <c r="R120" s="313"/>
      <c r="S120" s="313"/>
      <c r="T120" s="348"/>
      <c r="U120" s="349"/>
      <c r="V120" s="349"/>
      <c r="W120" s="348"/>
      <c r="X120" s="348"/>
      <c r="Y120" s="349"/>
      <c r="Z120" s="313"/>
      <c r="AA120" s="313"/>
      <c r="AB120" s="654"/>
      <c r="AC120" s="373"/>
      <c r="AD120" s="373"/>
      <c r="AE120" s="654"/>
      <c r="AF120" s="654"/>
      <c r="AG120" s="373"/>
      <c r="AH120" s="315"/>
      <c r="AI120" s="315"/>
      <c r="AJ120" s="348"/>
      <c r="AK120" s="349"/>
      <c r="AL120" s="349"/>
      <c r="AM120" s="348"/>
      <c r="AN120" s="349"/>
      <c r="AO120" s="349"/>
      <c r="AP120" s="313"/>
      <c r="AQ120" s="313"/>
      <c r="AR120" s="654"/>
      <c r="AS120" s="373"/>
      <c r="AT120" s="373"/>
      <c r="AU120" s="654"/>
      <c r="AV120" s="373"/>
      <c r="AW120" s="373"/>
      <c r="AX120" s="315"/>
      <c r="AY120" s="315"/>
      <c r="AZ120" s="348"/>
      <c r="BA120" s="349"/>
      <c r="BB120" s="349"/>
      <c r="BC120" s="348"/>
      <c r="BD120" s="349"/>
      <c r="BE120" s="349"/>
      <c r="BF120" s="313"/>
      <c r="BG120" s="313"/>
      <c r="BH120" s="654"/>
      <c r="BI120" s="373"/>
      <c r="BJ120" s="373"/>
      <c r="BK120" s="654"/>
      <c r="BL120" s="373"/>
      <c r="BM120" s="373"/>
      <c r="BN120" s="315"/>
      <c r="BO120" s="315"/>
      <c r="BP120" s="313"/>
      <c r="BQ120" s="349"/>
      <c r="BR120" s="349"/>
      <c r="BS120" s="348"/>
      <c r="BT120" s="349"/>
      <c r="BU120" s="349"/>
      <c r="BV120" s="313"/>
      <c r="BW120" s="313"/>
      <c r="BX120" s="315"/>
      <c r="BY120" s="373"/>
      <c r="BZ120" s="373"/>
      <c r="CA120" s="654"/>
      <c r="CB120" s="373"/>
      <c r="CC120" s="373"/>
      <c r="CD120" s="315"/>
      <c r="CE120" s="315"/>
      <c r="CF120" s="313"/>
      <c r="CG120" s="349"/>
      <c r="CH120" s="349"/>
      <c r="CI120" s="313"/>
      <c r="CJ120" s="349"/>
      <c r="CK120" s="349"/>
      <c r="CL120" s="313"/>
      <c r="CM120" s="313"/>
      <c r="CN120" s="315"/>
      <c r="CO120" s="373"/>
      <c r="CP120" s="373"/>
      <c r="CQ120" s="315"/>
      <c r="CR120" s="373"/>
      <c r="CS120" s="373"/>
      <c r="CT120" s="315"/>
      <c r="CU120" s="315"/>
      <c r="CV120" s="353"/>
      <c r="CW120" s="313"/>
      <c r="CX120" s="512"/>
      <c r="CY120" s="516"/>
      <c r="CZ120" s="517"/>
      <c r="DA120" s="516"/>
      <c r="DB120" s="517"/>
      <c r="DC120" s="516"/>
      <c r="DD120" s="517"/>
      <c r="DE120" s="516"/>
      <c r="DF120" s="517"/>
      <c r="DG120" s="516"/>
      <c r="DH120" s="517"/>
      <c r="DI120" s="516"/>
      <c r="DJ120" s="517"/>
      <c r="DK120" s="516"/>
      <c r="DL120" s="517"/>
      <c r="DM120" s="512"/>
      <c r="DN120" s="313"/>
      <c r="DO120" s="313"/>
      <c r="DP120" s="313"/>
      <c r="DQ120" s="313"/>
      <c r="DR120" s="313"/>
      <c r="DS120" s="313"/>
      <c r="DT120" s="313"/>
      <c r="DU120" s="313"/>
      <c r="DV120" s="313"/>
      <c r="DW120" s="313"/>
    </row>
    <row r="121" spans="1:127" s="2" customFormat="1">
      <c r="A121" s="347"/>
      <c r="B121" s="347"/>
      <c r="C121" s="268"/>
      <c r="D121" s="346"/>
      <c r="E121" s="347"/>
      <c r="F121" s="349"/>
      <c r="G121" s="349"/>
      <c r="H121" s="348"/>
      <c r="I121" s="347"/>
      <c r="J121" s="348"/>
      <c r="K121" s="349"/>
      <c r="L121" s="348"/>
      <c r="M121" s="347"/>
      <c r="N121" s="347"/>
      <c r="O121" s="313"/>
      <c r="P121" s="313"/>
      <c r="Q121" s="313"/>
      <c r="R121" s="313"/>
      <c r="S121" s="313"/>
      <c r="T121" s="348"/>
      <c r="U121" s="349"/>
      <c r="V121" s="349"/>
      <c r="W121" s="348"/>
      <c r="X121" s="348"/>
      <c r="Y121" s="349"/>
      <c r="Z121" s="313"/>
      <c r="AA121" s="313"/>
      <c r="AB121" s="654"/>
      <c r="AC121" s="373"/>
      <c r="AD121" s="373"/>
      <c r="AE121" s="654"/>
      <c r="AF121" s="654"/>
      <c r="AG121" s="373"/>
      <c r="AH121" s="315"/>
      <c r="AI121" s="315"/>
      <c r="AJ121" s="348"/>
      <c r="AK121" s="349"/>
      <c r="AL121" s="349"/>
      <c r="AM121" s="348"/>
      <c r="AN121" s="349"/>
      <c r="AO121" s="349"/>
      <c r="AP121" s="313"/>
      <c r="AQ121" s="313"/>
      <c r="AR121" s="654"/>
      <c r="AS121" s="373"/>
      <c r="AT121" s="373"/>
      <c r="AU121" s="654"/>
      <c r="AV121" s="373"/>
      <c r="AW121" s="373"/>
      <c r="AX121" s="315"/>
      <c r="AY121" s="315"/>
      <c r="AZ121" s="348"/>
      <c r="BA121" s="349"/>
      <c r="BB121" s="349"/>
      <c r="BC121" s="348"/>
      <c r="BD121" s="349"/>
      <c r="BE121" s="349"/>
      <c r="BF121" s="313"/>
      <c r="BG121" s="313"/>
      <c r="BH121" s="654"/>
      <c r="BI121" s="373"/>
      <c r="BJ121" s="373"/>
      <c r="BK121" s="654"/>
      <c r="BL121" s="373"/>
      <c r="BM121" s="373"/>
      <c r="BN121" s="315"/>
      <c r="BO121" s="315"/>
      <c r="BP121" s="313"/>
      <c r="BQ121" s="349"/>
      <c r="BR121" s="349"/>
      <c r="BS121" s="348"/>
      <c r="BT121" s="349"/>
      <c r="BU121" s="349"/>
      <c r="BV121" s="313"/>
      <c r="BW121" s="313"/>
      <c r="BX121" s="315"/>
      <c r="BY121" s="373"/>
      <c r="BZ121" s="373"/>
      <c r="CA121" s="654"/>
      <c r="CB121" s="373"/>
      <c r="CC121" s="373"/>
      <c r="CD121" s="315"/>
      <c r="CE121" s="315"/>
      <c r="CF121" s="313"/>
      <c r="CG121" s="349"/>
      <c r="CH121" s="349"/>
      <c r="CI121" s="313"/>
      <c r="CJ121" s="349"/>
      <c r="CK121" s="349"/>
      <c r="CL121" s="313"/>
      <c r="CM121" s="313"/>
      <c r="CN121" s="315"/>
      <c r="CO121" s="373"/>
      <c r="CP121" s="373"/>
      <c r="CQ121" s="315"/>
      <c r="CR121" s="373"/>
      <c r="CS121" s="373"/>
      <c r="CT121" s="315"/>
      <c r="CU121" s="315"/>
      <c r="CV121" s="353"/>
      <c r="CW121" s="313"/>
      <c r="CX121" s="512"/>
      <c r="CY121" s="516"/>
      <c r="CZ121" s="517"/>
      <c r="DA121" s="516"/>
      <c r="DB121" s="517"/>
      <c r="DC121" s="516"/>
      <c r="DD121" s="517"/>
      <c r="DE121" s="516"/>
      <c r="DF121" s="517"/>
      <c r="DG121" s="516"/>
      <c r="DH121" s="517"/>
      <c r="DI121" s="516"/>
      <c r="DJ121" s="517"/>
      <c r="DK121" s="516"/>
      <c r="DL121" s="517"/>
      <c r="DM121" s="512"/>
      <c r="DN121" s="313"/>
      <c r="DO121" s="313"/>
      <c r="DP121" s="313"/>
      <c r="DQ121" s="313"/>
      <c r="DR121" s="313"/>
      <c r="DS121" s="313"/>
      <c r="DT121" s="313"/>
      <c r="DU121" s="313"/>
      <c r="DV121" s="313"/>
      <c r="DW121" s="313"/>
    </row>
    <row r="122" spans="1:127" s="2" customFormat="1">
      <c r="A122" s="347"/>
      <c r="B122" s="347"/>
      <c r="C122" s="268"/>
      <c r="D122" s="346"/>
      <c r="E122" s="347"/>
      <c r="F122" s="349"/>
      <c r="G122" s="349"/>
      <c r="H122" s="348"/>
      <c r="I122" s="347"/>
      <c r="J122" s="348"/>
      <c r="K122" s="349"/>
      <c r="L122" s="348"/>
      <c r="M122" s="347"/>
      <c r="N122" s="347"/>
      <c r="O122" s="313"/>
      <c r="P122" s="313"/>
      <c r="Q122" s="313"/>
      <c r="R122" s="313"/>
      <c r="S122" s="313"/>
      <c r="T122" s="348"/>
      <c r="U122" s="349"/>
      <c r="V122" s="349"/>
      <c r="W122" s="348"/>
      <c r="X122" s="348"/>
      <c r="Y122" s="349"/>
      <c r="Z122" s="313"/>
      <c r="AA122" s="313"/>
      <c r="AB122" s="654"/>
      <c r="AC122" s="373"/>
      <c r="AD122" s="373"/>
      <c r="AE122" s="654"/>
      <c r="AF122" s="654"/>
      <c r="AG122" s="373"/>
      <c r="AH122" s="315"/>
      <c r="AI122" s="315"/>
      <c r="AJ122" s="348"/>
      <c r="AK122" s="349"/>
      <c r="AL122" s="349"/>
      <c r="AM122" s="348"/>
      <c r="AN122" s="349"/>
      <c r="AO122" s="349"/>
      <c r="AP122" s="313"/>
      <c r="AQ122" s="313"/>
      <c r="AR122" s="654"/>
      <c r="AS122" s="373"/>
      <c r="AT122" s="373"/>
      <c r="AU122" s="654"/>
      <c r="AV122" s="373"/>
      <c r="AW122" s="373"/>
      <c r="AX122" s="315"/>
      <c r="AY122" s="315"/>
      <c r="AZ122" s="348"/>
      <c r="BA122" s="349"/>
      <c r="BB122" s="349"/>
      <c r="BC122" s="348"/>
      <c r="BD122" s="349"/>
      <c r="BE122" s="349"/>
      <c r="BF122" s="313"/>
      <c r="BG122" s="313"/>
      <c r="BH122" s="654"/>
      <c r="BI122" s="373"/>
      <c r="BJ122" s="373"/>
      <c r="BK122" s="654"/>
      <c r="BL122" s="373"/>
      <c r="BM122" s="373"/>
      <c r="BN122" s="315"/>
      <c r="BO122" s="315"/>
      <c r="BP122" s="313"/>
      <c r="BQ122" s="349"/>
      <c r="BR122" s="349"/>
      <c r="BS122" s="348"/>
      <c r="BT122" s="349"/>
      <c r="BU122" s="349"/>
      <c r="BV122" s="313"/>
      <c r="BW122" s="313"/>
      <c r="BX122" s="315"/>
      <c r="BY122" s="373"/>
      <c r="BZ122" s="373"/>
      <c r="CA122" s="654"/>
      <c r="CB122" s="373"/>
      <c r="CC122" s="373"/>
      <c r="CD122" s="315"/>
      <c r="CE122" s="315"/>
      <c r="CF122" s="313"/>
      <c r="CG122" s="349"/>
      <c r="CH122" s="349"/>
      <c r="CI122" s="313"/>
      <c r="CJ122" s="349"/>
      <c r="CK122" s="349"/>
      <c r="CL122" s="313"/>
      <c r="CM122" s="313"/>
      <c r="CN122" s="315"/>
      <c r="CO122" s="373"/>
      <c r="CP122" s="373"/>
      <c r="CQ122" s="315"/>
      <c r="CR122" s="373"/>
      <c r="CS122" s="373"/>
      <c r="CT122" s="315"/>
      <c r="CU122" s="315"/>
      <c r="CV122" s="353"/>
      <c r="CW122" s="313"/>
      <c r="CX122" s="512"/>
      <c r="CY122" s="516"/>
      <c r="CZ122" s="517"/>
      <c r="DA122" s="516"/>
      <c r="DB122" s="517"/>
      <c r="DC122" s="516"/>
      <c r="DD122" s="517"/>
      <c r="DE122" s="516"/>
      <c r="DF122" s="517"/>
      <c r="DG122" s="516"/>
      <c r="DH122" s="517"/>
      <c r="DI122" s="516"/>
      <c r="DJ122" s="517"/>
      <c r="DK122" s="516"/>
      <c r="DL122" s="517"/>
      <c r="DM122" s="512"/>
      <c r="DN122" s="313"/>
      <c r="DO122" s="313"/>
      <c r="DP122" s="313"/>
      <c r="DQ122" s="313"/>
      <c r="DR122" s="313"/>
      <c r="DS122" s="313"/>
      <c r="DT122" s="313"/>
      <c r="DU122" s="313"/>
      <c r="DV122" s="313"/>
      <c r="DW122" s="313"/>
    </row>
    <row r="123" spans="1:127" s="2" customFormat="1">
      <c r="A123" s="347"/>
      <c r="B123" s="347"/>
      <c r="C123" s="268"/>
      <c r="D123" s="346"/>
      <c r="E123" s="347"/>
      <c r="F123" s="349"/>
      <c r="G123" s="349"/>
      <c r="H123" s="348"/>
      <c r="I123" s="347"/>
      <c r="J123" s="348"/>
      <c r="K123" s="349"/>
      <c r="L123" s="348"/>
      <c r="M123" s="347"/>
      <c r="N123" s="347"/>
      <c r="O123" s="313"/>
      <c r="P123" s="313"/>
      <c r="Q123" s="313"/>
      <c r="R123" s="313"/>
      <c r="S123" s="313"/>
      <c r="T123" s="348"/>
      <c r="U123" s="349"/>
      <c r="V123" s="349"/>
      <c r="W123" s="348"/>
      <c r="X123" s="348"/>
      <c r="Y123" s="349"/>
      <c r="Z123" s="313"/>
      <c r="AA123" s="313"/>
      <c r="AB123" s="654"/>
      <c r="AC123" s="373"/>
      <c r="AD123" s="373"/>
      <c r="AE123" s="654"/>
      <c r="AF123" s="654"/>
      <c r="AG123" s="373"/>
      <c r="AH123" s="315"/>
      <c r="AI123" s="315"/>
      <c r="AJ123" s="348"/>
      <c r="AK123" s="349"/>
      <c r="AL123" s="349"/>
      <c r="AM123" s="348"/>
      <c r="AN123" s="349"/>
      <c r="AO123" s="349"/>
      <c r="AP123" s="313"/>
      <c r="AQ123" s="313"/>
      <c r="AR123" s="654"/>
      <c r="AS123" s="373"/>
      <c r="AT123" s="373"/>
      <c r="AU123" s="654"/>
      <c r="AV123" s="373"/>
      <c r="AW123" s="373"/>
      <c r="AX123" s="315"/>
      <c r="AY123" s="315"/>
      <c r="AZ123" s="348"/>
      <c r="BA123" s="349"/>
      <c r="BB123" s="349"/>
      <c r="BC123" s="348"/>
      <c r="BD123" s="349"/>
      <c r="BE123" s="349"/>
      <c r="BF123" s="313"/>
      <c r="BG123" s="313"/>
      <c r="BH123" s="654"/>
      <c r="BI123" s="373"/>
      <c r="BJ123" s="373"/>
      <c r="BK123" s="654"/>
      <c r="BL123" s="373"/>
      <c r="BM123" s="373"/>
      <c r="BN123" s="315"/>
      <c r="BO123" s="315"/>
      <c r="BP123" s="313"/>
      <c r="BQ123" s="349"/>
      <c r="BR123" s="349"/>
      <c r="BS123" s="348"/>
      <c r="BT123" s="349"/>
      <c r="BU123" s="349"/>
      <c r="BV123" s="313"/>
      <c r="BW123" s="313"/>
      <c r="BX123" s="315"/>
      <c r="BY123" s="373"/>
      <c r="BZ123" s="373"/>
      <c r="CA123" s="654"/>
      <c r="CB123" s="373"/>
      <c r="CC123" s="373"/>
      <c r="CD123" s="315"/>
      <c r="CE123" s="315"/>
      <c r="CF123" s="313"/>
      <c r="CG123" s="349"/>
      <c r="CH123" s="349"/>
      <c r="CI123" s="313"/>
      <c r="CJ123" s="349"/>
      <c r="CK123" s="349"/>
      <c r="CL123" s="313"/>
      <c r="CM123" s="313"/>
      <c r="CN123" s="315"/>
      <c r="CO123" s="373"/>
      <c r="CP123" s="373"/>
      <c r="CQ123" s="315"/>
      <c r="CR123" s="373"/>
      <c r="CS123" s="373"/>
      <c r="CT123" s="315"/>
      <c r="CU123" s="315"/>
      <c r="CV123" s="353"/>
      <c r="CW123" s="313"/>
      <c r="CX123" s="512"/>
      <c r="CY123" s="516"/>
      <c r="CZ123" s="517"/>
      <c r="DA123" s="516"/>
      <c r="DB123" s="517"/>
      <c r="DC123" s="516"/>
      <c r="DD123" s="517"/>
      <c r="DE123" s="516"/>
      <c r="DF123" s="517"/>
      <c r="DG123" s="516"/>
      <c r="DH123" s="517"/>
      <c r="DI123" s="516"/>
      <c r="DJ123" s="517"/>
      <c r="DK123" s="516"/>
      <c r="DL123" s="517"/>
      <c r="DM123" s="512"/>
      <c r="DN123" s="313"/>
      <c r="DO123" s="313"/>
      <c r="DP123" s="313"/>
      <c r="DQ123" s="313"/>
      <c r="DR123" s="313"/>
      <c r="DS123" s="313"/>
      <c r="DT123" s="313"/>
      <c r="DU123" s="313"/>
      <c r="DV123" s="313"/>
      <c r="DW123" s="313"/>
    </row>
    <row r="124" spans="1:127" s="2" customFormat="1">
      <c r="A124" s="347"/>
      <c r="B124" s="347"/>
      <c r="C124" s="268"/>
      <c r="D124" s="346"/>
      <c r="E124" s="347"/>
      <c r="F124" s="349"/>
      <c r="G124" s="349"/>
      <c r="H124" s="348"/>
      <c r="I124" s="347"/>
      <c r="J124" s="348"/>
      <c r="K124" s="349"/>
      <c r="L124" s="348"/>
      <c r="M124" s="347"/>
      <c r="N124" s="347"/>
      <c r="O124" s="313"/>
      <c r="P124" s="313"/>
      <c r="Q124" s="313"/>
      <c r="R124" s="313"/>
      <c r="S124" s="313"/>
      <c r="T124" s="348"/>
      <c r="U124" s="349"/>
      <c r="V124" s="349"/>
      <c r="W124" s="348"/>
      <c r="X124" s="348"/>
      <c r="Y124" s="349"/>
      <c r="Z124" s="313"/>
      <c r="AA124" s="313"/>
      <c r="AB124" s="654"/>
      <c r="AC124" s="373"/>
      <c r="AD124" s="373"/>
      <c r="AE124" s="654"/>
      <c r="AF124" s="654"/>
      <c r="AG124" s="373"/>
      <c r="AH124" s="315"/>
      <c r="AI124" s="315"/>
      <c r="AJ124" s="348"/>
      <c r="AK124" s="349"/>
      <c r="AL124" s="349"/>
      <c r="AM124" s="348"/>
      <c r="AN124" s="349"/>
      <c r="AO124" s="349"/>
      <c r="AP124" s="313"/>
      <c r="AQ124" s="313"/>
      <c r="AR124" s="654"/>
      <c r="AS124" s="373"/>
      <c r="AT124" s="373"/>
      <c r="AU124" s="654"/>
      <c r="AV124" s="373"/>
      <c r="AW124" s="373"/>
      <c r="AX124" s="315"/>
      <c r="AY124" s="315"/>
      <c r="AZ124" s="348"/>
      <c r="BA124" s="349"/>
      <c r="BB124" s="349"/>
      <c r="BC124" s="348"/>
      <c r="BD124" s="349"/>
      <c r="BE124" s="349"/>
      <c r="BF124" s="313"/>
      <c r="BG124" s="313"/>
      <c r="BH124" s="654"/>
      <c r="BI124" s="373"/>
      <c r="BJ124" s="373"/>
      <c r="BK124" s="654"/>
      <c r="BL124" s="373"/>
      <c r="BM124" s="373"/>
      <c r="BN124" s="315"/>
      <c r="BO124" s="315"/>
      <c r="BP124" s="313"/>
      <c r="BQ124" s="349"/>
      <c r="BR124" s="349"/>
      <c r="BS124" s="348"/>
      <c r="BT124" s="349"/>
      <c r="BU124" s="349"/>
      <c r="BV124" s="313"/>
      <c r="BW124" s="313"/>
      <c r="BX124" s="315"/>
      <c r="BY124" s="373"/>
      <c r="BZ124" s="373"/>
      <c r="CA124" s="654"/>
      <c r="CB124" s="373"/>
      <c r="CC124" s="373"/>
      <c r="CD124" s="315"/>
      <c r="CE124" s="315"/>
      <c r="CF124" s="313"/>
      <c r="CG124" s="349"/>
      <c r="CH124" s="349"/>
      <c r="CI124" s="313"/>
      <c r="CJ124" s="349"/>
      <c r="CK124" s="349"/>
      <c r="CL124" s="313"/>
      <c r="CM124" s="313"/>
      <c r="CN124" s="315"/>
      <c r="CO124" s="373"/>
      <c r="CP124" s="373"/>
      <c r="CQ124" s="315"/>
      <c r="CR124" s="373"/>
      <c r="CS124" s="373"/>
      <c r="CT124" s="315"/>
      <c r="CU124" s="315"/>
      <c r="CV124" s="353"/>
      <c r="CW124" s="313"/>
      <c r="CX124" s="512"/>
      <c r="CY124" s="516"/>
      <c r="CZ124" s="517"/>
      <c r="DA124" s="516"/>
      <c r="DB124" s="517"/>
      <c r="DC124" s="516"/>
      <c r="DD124" s="517"/>
      <c r="DE124" s="516"/>
      <c r="DF124" s="517"/>
      <c r="DG124" s="516"/>
      <c r="DH124" s="517"/>
      <c r="DI124" s="516"/>
      <c r="DJ124" s="517"/>
      <c r="DK124" s="516"/>
      <c r="DL124" s="517"/>
      <c r="DM124" s="512"/>
      <c r="DN124" s="313"/>
      <c r="DO124" s="313"/>
      <c r="DP124" s="313"/>
      <c r="DQ124" s="313"/>
      <c r="DR124" s="313"/>
      <c r="DS124" s="313"/>
      <c r="DT124" s="313"/>
      <c r="DU124" s="313"/>
      <c r="DV124" s="313"/>
      <c r="DW124" s="313"/>
    </row>
    <row r="125" spans="1:127" s="2" customFormat="1">
      <c r="A125" s="347"/>
      <c r="B125" s="347"/>
      <c r="C125" s="268"/>
      <c r="D125" s="346"/>
      <c r="E125" s="347"/>
      <c r="F125" s="349"/>
      <c r="G125" s="349"/>
      <c r="H125" s="348"/>
      <c r="I125" s="347"/>
      <c r="J125" s="348"/>
      <c r="K125" s="349"/>
      <c r="L125" s="348"/>
      <c r="M125" s="347"/>
      <c r="N125" s="347"/>
      <c r="O125" s="313"/>
      <c r="P125" s="313"/>
      <c r="Q125" s="313"/>
      <c r="R125" s="313"/>
      <c r="S125" s="313"/>
      <c r="T125" s="348"/>
      <c r="U125" s="349"/>
      <c r="V125" s="349"/>
      <c r="W125" s="348"/>
      <c r="X125" s="348"/>
      <c r="Y125" s="349"/>
      <c r="Z125" s="313"/>
      <c r="AA125" s="313"/>
      <c r="AB125" s="654"/>
      <c r="AC125" s="373"/>
      <c r="AD125" s="373"/>
      <c r="AE125" s="654"/>
      <c r="AF125" s="654"/>
      <c r="AG125" s="373"/>
      <c r="AH125" s="315"/>
      <c r="AI125" s="315"/>
      <c r="AJ125" s="348"/>
      <c r="AK125" s="349"/>
      <c r="AL125" s="349"/>
      <c r="AM125" s="348"/>
      <c r="AN125" s="349"/>
      <c r="AO125" s="349"/>
      <c r="AP125" s="313"/>
      <c r="AQ125" s="313"/>
      <c r="AR125" s="654"/>
      <c r="AS125" s="373"/>
      <c r="AT125" s="373"/>
      <c r="AU125" s="654"/>
      <c r="AV125" s="373"/>
      <c r="AW125" s="373"/>
      <c r="AX125" s="315"/>
      <c r="AY125" s="315"/>
      <c r="AZ125" s="348"/>
      <c r="BA125" s="349"/>
      <c r="BB125" s="349"/>
      <c r="BC125" s="348"/>
      <c r="BD125" s="349"/>
      <c r="BE125" s="349"/>
      <c r="BF125" s="313"/>
      <c r="BG125" s="313"/>
      <c r="BH125" s="654"/>
      <c r="BI125" s="373"/>
      <c r="BJ125" s="373"/>
      <c r="BK125" s="654"/>
      <c r="BL125" s="373"/>
      <c r="BM125" s="373"/>
      <c r="BN125" s="315"/>
      <c r="BO125" s="315"/>
      <c r="BP125" s="313"/>
      <c r="BQ125" s="349"/>
      <c r="BR125" s="349"/>
      <c r="BS125" s="348"/>
      <c r="BT125" s="349"/>
      <c r="BU125" s="349"/>
      <c r="BV125" s="313"/>
      <c r="BW125" s="313"/>
      <c r="BX125" s="315"/>
      <c r="BY125" s="373"/>
      <c r="BZ125" s="373"/>
      <c r="CA125" s="654"/>
      <c r="CB125" s="373"/>
      <c r="CC125" s="373"/>
      <c r="CD125" s="315"/>
      <c r="CE125" s="315"/>
      <c r="CF125" s="313"/>
      <c r="CG125" s="349"/>
      <c r="CH125" s="349"/>
      <c r="CI125" s="313"/>
      <c r="CJ125" s="349"/>
      <c r="CK125" s="349"/>
      <c r="CL125" s="313"/>
      <c r="CM125" s="313"/>
      <c r="CN125" s="315"/>
      <c r="CO125" s="373"/>
      <c r="CP125" s="373"/>
      <c r="CQ125" s="315"/>
      <c r="CR125" s="373"/>
      <c r="CS125" s="373"/>
      <c r="CT125" s="315"/>
      <c r="CU125" s="315"/>
      <c r="CV125" s="353"/>
      <c r="CW125" s="313"/>
      <c r="CX125" s="512"/>
      <c r="CY125" s="516"/>
      <c r="CZ125" s="517"/>
      <c r="DA125" s="516"/>
      <c r="DB125" s="517"/>
      <c r="DC125" s="516"/>
      <c r="DD125" s="517"/>
      <c r="DE125" s="516"/>
      <c r="DF125" s="517"/>
      <c r="DG125" s="516"/>
      <c r="DH125" s="517"/>
      <c r="DI125" s="516"/>
      <c r="DJ125" s="517"/>
      <c r="DK125" s="516"/>
      <c r="DL125" s="517"/>
      <c r="DM125" s="512"/>
      <c r="DN125" s="313"/>
      <c r="DO125" s="313"/>
      <c r="DP125" s="313"/>
      <c r="DQ125" s="313"/>
      <c r="DR125" s="313"/>
      <c r="DS125" s="313"/>
      <c r="DT125" s="313"/>
      <c r="DU125" s="313"/>
      <c r="DV125" s="313"/>
      <c r="DW125" s="313"/>
    </row>
    <row r="126" spans="1:127" s="2" customFormat="1">
      <c r="A126" s="347"/>
      <c r="B126" s="347"/>
      <c r="C126" s="268"/>
      <c r="D126" s="346"/>
      <c r="E126" s="347"/>
      <c r="F126" s="349"/>
      <c r="G126" s="349"/>
      <c r="H126" s="348"/>
      <c r="I126" s="347"/>
      <c r="J126" s="348"/>
      <c r="K126" s="349"/>
      <c r="L126" s="348"/>
      <c r="M126" s="347"/>
      <c r="N126" s="347"/>
      <c r="O126" s="313"/>
      <c r="P126" s="313"/>
      <c r="Q126" s="313"/>
      <c r="R126" s="313"/>
      <c r="S126" s="313"/>
      <c r="T126" s="348"/>
      <c r="U126" s="349"/>
      <c r="V126" s="349"/>
      <c r="W126" s="348"/>
      <c r="X126" s="348"/>
      <c r="Y126" s="349"/>
      <c r="Z126" s="313"/>
      <c r="AA126" s="313"/>
      <c r="AB126" s="654"/>
      <c r="AC126" s="373"/>
      <c r="AD126" s="373"/>
      <c r="AE126" s="654"/>
      <c r="AF126" s="654"/>
      <c r="AG126" s="373"/>
      <c r="AH126" s="315"/>
      <c r="AI126" s="315"/>
      <c r="AJ126" s="348"/>
      <c r="AK126" s="349"/>
      <c r="AL126" s="349"/>
      <c r="AM126" s="348"/>
      <c r="AN126" s="349"/>
      <c r="AO126" s="349"/>
      <c r="AP126" s="313"/>
      <c r="AQ126" s="313"/>
      <c r="AR126" s="654"/>
      <c r="AS126" s="373"/>
      <c r="AT126" s="373"/>
      <c r="AU126" s="654"/>
      <c r="AV126" s="373"/>
      <c r="AW126" s="373"/>
      <c r="AX126" s="315"/>
      <c r="AY126" s="315"/>
      <c r="AZ126" s="348"/>
      <c r="BA126" s="349"/>
      <c r="BB126" s="349"/>
      <c r="BC126" s="348"/>
      <c r="BD126" s="349"/>
      <c r="BE126" s="349"/>
      <c r="BF126" s="313"/>
      <c r="BG126" s="313"/>
      <c r="BH126" s="654"/>
      <c r="BI126" s="373"/>
      <c r="BJ126" s="373"/>
      <c r="BK126" s="654"/>
      <c r="BL126" s="373"/>
      <c r="BM126" s="373"/>
      <c r="BN126" s="315"/>
      <c r="BO126" s="315"/>
      <c r="BP126" s="313"/>
      <c r="BQ126" s="349"/>
      <c r="BR126" s="349"/>
      <c r="BS126" s="348"/>
      <c r="BT126" s="349"/>
      <c r="BU126" s="349"/>
      <c r="BV126" s="313"/>
      <c r="BW126" s="313"/>
      <c r="BX126" s="315"/>
      <c r="BY126" s="373"/>
      <c r="BZ126" s="373"/>
      <c r="CA126" s="654"/>
      <c r="CB126" s="373"/>
      <c r="CC126" s="373"/>
      <c r="CD126" s="315"/>
      <c r="CE126" s="315"/>
      <c r="CF126" s="313"/>
      <c r="CG126" s="349"/>
      <c r="CH126" s="349"/>
      <c r="CI126" s="313"/>
      <c r="CJ126" s="349"/>
      <c r="CK126" s="349"/>
      <c r="CL126" s="313"/>
      <c r="CM126" s="313"/>
      <c r="CN126" s="315"/>
      <c r="CO126" s="373"/>
      <c r="CP126" s="373"/>
      <c r="CQ126" s="315"/>
      <c r="CR126" s="373"/>
      <c r="CS126" s="373"/>
      <c r="CT126" s="315"/>
      <c r="CU126" s="315"/>
      <c r="CV126" s="353"/>
      <c r="CW126" s="313"/>
      <c r="CX126" s="512"/>
      <c r="CY126" s="516"/>
      <c r="CZ126" s="517"/>
      <c r="DA126" s="516"/>
      <c r="DB126" s="517"/>
      <c r="DC126" s="516"/>
      <c r="DD126" s="517"/>
      <c r="DE126" s="516"/>
      <c r="DF126" s="517"/>
      <c r="DG126" s="516"/>
      <c r="DH126" s="517"/>
      <c r="DI126" s="516"/>
      <c r="DJ126" s="517"/>
      <c r="DK126" s="516"/>
      <c r="DL126" s="517"/>
      <c r="DM126" s="512"/>
      <c r="DN126" s="313"/>
      <c r="DO126" s="313"/>
      <c r="DP126" s="313"/>
      <c r="DQ126" s="313"/>
      <c r="DR126" s="313"/>
      <c r="DS126" s="313"/>
      <c r="DT126" s="313"/>
      <c r="DU126" s="313"/>
      <c r="DV126" s="313"/>
      <c r="DW126" s="313"/>
    </row>
    <row r="127" spans="1:127" s="2" customFormat="1">
      <c r="A127" s="347"/>
      <c r="B127" s="347"/>
      <c r="C127" s="268"/>
      <c r="D127" s="346"/>
      <c r="E127" s="347"/>
      <c r="F127" s="349"/>
      <c r="G127" s="349"/>
      <c r="H127" s="348"/>
      <c r="I127" s="347"/>
      <c r="J127" s="348"/>
      <c r="K127" s="349"/>
      <c r="L127" s="348"/>
      <c r="M127" s="347"/>
      <c r="N127" s="347"/>
      <c r="O127" s="313"/>
      <c r="P127" s="313"/>
      <c r="Q127" s="313"/>
      <c r="R127" s="313"/>
      <c r="S127" s="313"/>
      <c r="T127" s="348"/>
      <c r="U127" s="349"/>
      <c r="V127" s="349"/>
      <c r="W127" s="348"/>
      <c r="X127" s="348"/>
      <c r="Y127" s="349"/>
      <c r="Z127" s="313"/>
      <c r="AA127" s="313"/>
      <c r="AB127" s="654"/>
      <c r="AC127" s="373"/>
      <c r="AD127" s="373"/>
      <c r="AE127" s="654"/>
      <c r="AF127" s="654"/>
      <c r="AG127" s="373"/>
      <c r="AH127" s="315"/>
      <c r="AI127" s="315"/>
      <c r="AJ127" s="348"/>
      <c r="AK127" s="349"/>
      <c r="AL127" s="349"/>
      <c r="AM127" s="348"/>
      <c r="AN127" s="349"/>
      <c r="AO127" s="349"/>
      <c r="AP127" s="313"/>
      <c r="AQ127" s="313"/>
      <c r="AR127" s="654"/>
      <c r="AS127" s="373"/>
      <c r="AT127" s="373"/>
      <c r="AU127" s="654"/>
      <c r="AV127" s="373"/>
      <c r="AW127" s="373"/>
      <c r="AX127" s="315"/>
      <c r="AY127" s="315"/>
      <c r="AZ127" s="348"/>
      <c r="BA127" s="349"/>
      <c r="BB127" s="349"/>
      <c r="BC127" s="348"/>
      <c r="BD127" s="349"/>
      <c r="BE127" s="349"/>
      <c r="BF127" s="313"/>
      <c r="BG127" s="313"/>
      <c r="BH127" s="654"/>
      <c r="BI127" s="373"/>
      <c r="BJ127" s="373"/>
      <c r="BK127" s="654"/>
      <c r="BL127" s="373"/>
      <c r="BM127" s="373"/>
      <c r="BN127" s="315"/>
      <c r="BO127" s="315"/>
      <c r="BP127" s="313"/>
      <c r="BQ127" s="349"/>
      <c r="BR127" s="349"/>
      <c r="BS127" s="348"/>
      <c r="BT127" s="349"/>
      <c r="BU127" s="349"/>
      <c r="BV127" s="313"/>
      <c r="BW127" s="313"/>
      <c r="BX127" s="315"/>
      <c r="BY127" s="373"/>
      <c r="BZ127" s="373"/>
      <c r="CA127" s="654"/>
      <c r="CB127" s="373"/>
      <c r="CC127" s="373"/>
      <c r="CD127" s="315"/>
      <c r="CE127" s="315"/>
      <c r="CF127" s="313"/>
      <c r="CG127" s="349"/>
      <c r="CH127" s="349"/>
      <c r="CI127" s="313"/>
      <c r="CJ127" s="349"/>
      <c r="CK127" s="349"/>
      <c r="CL127" s="313"/>
      <c r="CM127" s="313"/>
      <c r="CN127" s="315"/>
      <c r="CO127" s="373"/>
      <c r="CP127" s="373"/>
      <c r="CQ127" s="315"/>
      <c r="CR127" s="373"/>
      <c r="CS127" s="373"/>
      <c r="CT127" s="315"/>
      <c r="CU127" s="315"/>
      <c r="CV127" s="353"/>
      <c r="CW127" s="313"/>
      <c r="CX127" s="512"/>
      <c r="CY127" s="516"/>
      <c r="CZ127" s="517"/>
      <c r="DA127" s="516"/>
      <c r="DB127" s="517"/>
      <c r="DC127" s="516"/>
      <c r="DD127" s="517"/>
      <c r="DE127" s="516"/>
      <c r="DF127" s="517"/>
      <c r="DG127" s="516"/>
      <c r="DH127" s="517"/>
      <c r="DI127" s="516"/>
      <c r="DJ127" s="517"/>
      <c r="DK127" s="516"/>
      <c r="DL127" s="517"/>
      <c r="DM127" s="512"/>
      <c r="DN127" s="313"/>
      <c r="DO127" s="313"/>
      <c r="DP127" s="313"/>
      <c r="DQ127" s="313"/>
      <c r="DR127" s="313"/>
      <c r="DS127" s="313"/>
      <c r="DT127" s="313"/>
      <c r="DU127" s="313"/>
      <c r="DV127" s="313"/>
      <c r="DW127" s="313"/>
    </row>
    <row r="128" spans="1:127" s="2" customFormat="1">
      <c r="A128" s="347"/>
      <c r="B128" s="347"/>
      <c r="C128" s="268"/>
      <c r="D128" s="346"/>
      <c r="E128" s="347"/>
      <c r="F128" s="349"/>
      <c r="G128" s="349"/>
      <c r="H128" s="348"/>
      <c r="I128" s="347"/>
      <c r="J128" s="348"/>
      <c r="K128" s="349"/>
      <c r="L128" s="348"/>
      <c r="M128" s="347"/>
      <c r="N128" s="347"/>
      <c r="O128" s="313"/>
      <c r="P128" s="313"/>
      <c r="Q128" s="313"/>
      <c r="R128" s="313"/>
      <c r="S128" s="313"/>
      <c r="T128" s="348"/>
      <c r="U128" s="349"/>
      <c r="V128" s="349"/>
      <c r="W128" s="348"/>
      <c r="X128" s="348"/>
      <c r="Y128" s="349"/>
      <c r="Z128" s="313"/>
      <c r="AA128" s="313"/>
      <c r="AB128" s="654"/>
      <c r="AC128" s="373"/>
      <c r="AD128" s="373"/>
      <c r="AE128" s="654"/>
      <c r="AF128" s="654"/>
      <c r="AG128" s="373"/>
      <c r="AH128" s="315"/>
      <c r="AI128" s="315"/>
      <c r="AJ128" s="348"/>
      <c r="AK128" s="349"/>
      <c r="AL128" s="349"/>
      <c r="AM128" s="348"/>
      <c r="AN128" s="349"/>
      <c r="AO128" s="349"/>
      <c r="AP128" s="313"/>
      <c r="AQ128" s="313"/>
      <c r="AR128" s="654"/>
      <c r="AS128" s="373"/>
      <c r="AT128" s="373"/>
      <c r="AU128" s="654"/>
      <c r="AV128" s="373"/>
      <c r="AW128" s="373"/>
      <c r="AX128" s="315"/>
      <c r="AY128" s="315"/>
      <c r="AZ128" s="348"/>
      <c r="BA128" s="349"/>
      <c r="BB128" s="349"/>
      <c r="BC128" s="348"/>
      <c r="BD128" s="349"/>
      <c r="BE128" s="349"/>
      <c r="BF128" s="313"/>
      <c r="BG128" s="313"/>
      <c r="BH128" s="654"/>
      <c r="BI128" s="373"/>
      <c r="BJ128" s="373"/>
      <c r="BK128" s="654"/>
      <c r="BL128" s="373"/>
      <c r="BM128" s="373"/>
      <c r="BN128" s="315"/>
      <c r="BO128" s="315"/>
      <c r="BP128" s="313"/>
      <c r="BQ128" s="349"/>
      <c r="BR128" s="349"/>
      <c r="BS128" s="348"/>
      <c r="BT128" s="349"/>
      <c r="BU128" s="349"/>
      <c r="BV128" s="313"/>
      <c r="BW128" s="313"/>
      <c r="BX128" s="315"/>
      <c r="BY128" s="373"/>
      <c r="BZ128" s="373"/>
      <c r="CA128" s="654"/>
      <c r="CB128" s="373"/>
      <c r="CC128" s="373"/>
      <c r="CD128" s="315"/>
      <c r="CE128" s="315"/>
      <c r="CF128" s="313"/>
      <c r="CG128" s="349"/>
      <c r="CH128" s="349"/>
      <c r="CI128" s="313"/>
      <c r="CJ128" s="349"/>
      <c r="CK128" s="349"/>
      <c r="CL128" s="313"/>
      <c r="CM128" s="313"/>
      <c r="CN128" s="315"/>
      <c r="CO128" s="373"/>
      <c r="CP128" s="373"/>
      <c r="CQ128" s="315"/>
      <c r="CR128" s="373"/>
      <c r="CS128" s="373"/>
      <c r="CT128" s="315"/>
      <c r="CU128" s="315"/>
      <c r="CV128" s="353"/>
      <c r="CW128" s="313"/>
      <c r="CX128" s="512"/>
      <c r="CY128" s="516"/>
      <c r="CZ128" s="517"/>
      <c r="DA128" s="516"/>
      <c r="DB128" s="517"/>
      <c r="DC128" s="516"/>
      <c r="DD128" s="517"/>
      <c r="DE128" s="516"/>
      <c r="DF128" s="517"/>
      <c r="DG128" s="516"/>
      <c r="DH128" s="517"/>
      <c r="DI128" s="516"/>
      <c r="DJ128" s="517"/>
      <c r="DK128" s="516"/>
      <c r="DL128" s="517"/>
      <c r="DM128" s="512"/>
      <c r="DN128" s="313"/>
      <c r="DO128" s="313"/>
      <c r="DP128" s="313"/>
      <c r="DQ128" s="313"/>
      <c r="DR128" s="313"/>
      <c r="DS128" s="313"/>
      <c r="DT128" s="313"/>
      <c r="DU128" s="313"/>
      <c r="DV128" s="313"/>
      <c r="DW128" s="313"/>
    </row>
    <row r="129" spans="1:127" s="2" customFormat="1">
      <c r="A129" s="347"/>
      <c r="B129" s="347"/>
      <c r="C129" s="268"/>
      <c r="D129" s="346"/>
      <c r="E129" s="347"/>
      <c r="F129" s="349"/>
      <c r="G129" s="349"/>
      <c r="H129" s="348"/>
      <c r="I129" s="347"/>
      <c r="J129" s="348"/>
      <c r="K129" s="349"/>
      <c r="L129" s="348"/>
      <c r="M129" s="347"/>
      <c r="N129" s="347"/>
      <c r="O129" s="313"/>
      <c r="P129" s="313"/>
      <c r="Q129" s="313"/>
      <c r="R129" s="313"/>
      <c r="S129" s="313"/>
      <c r="T129" s="348"/>
      <c r="U129" s="349"/>
      <c r="V129" s="349"/>
      <c r="W129" s="348"/>
      <c r="X129" s="348"/>
      <c r="Y129" s="349"/>
      <c r="Z129" s="313"/>
      <c r="AA129" s="313"/>
      <c r="AB129" s="654"/>
      <c r="AC129" s="373"/>
      <c r="AD129" s="373"/>
      <c r="AE129" s="654"/>
      <c r="AF129" s="654"/>
      <c r="AG129" s="373"/>
      <c r="AH129" s="315"/>
      <c r="AI129" s="315"/>
      <c r="AJ129" s="348"/>
      <c r="AK129" s="349"/>
      <c r="AL129" s="349"/>
      <c r="AM129" s="348"/>
      <c r="AN129" s="349"/>
      <c r="AO129" s="349"/>
      <c r="AP129" s="313"/>
      <c r="AQ129" s="313"/>
      <c r="AR129" s="654"/>
      <c r="AS129" s="373"/>
      <c r="AT129" s="373"/>
      <c r="AU129" s="654"/>
      <c r="AV129" s="373"/>
      <c r="AW129" s="373"/>
      <c r="AX129" s="315"/>
      <c r="AY129" s="315"/>
      <c r="AZ129" s="348"/>
      <c r="BA129" s="349"/>
      <c r="BB129" s="349"/>
      <c r="BC129" s="348"/>
      <c r="BD129" s="349"/>
      <c r="BE129" s="349"/>
      <c r="BF129" s="313"/>
      <c r="BG129" s="313"/>
      <c r="BH129" s="654"/>
      <c r="BI129" s="373"/>
      <c r="BJ129" s="373"/>
      <c r="BK129" s="654"/>
      <c r="BL129" s="373"/>
      <c r="BM129" s="373"/>
      <c r="BN129" s="315"/>
      <c r="BO129" s="315"/>
      <c r="BP129" s="313"/>
      <c r="BQ129" s="349"/>
      <c r="BR129" s="349"/>
      <c r="BS129" s="348"/>
      <c r="BT129" s="349"/>
      <c r="BU129" s="349"/>
      <c r="BV129" s="313"/>
      <c r="BW129" s="313"/>
      <c r="BX129" s="315"/>
      <c r="BY129" s="373"/>
      <c r="BZ129" s="373"/>
      <c r="CA129" s="654"/>
      <c r="CB129" s="373"/>
      <c r="CC129" s="373"/>
      <c r="CD129" s="315"/>
      <c r="CE129" s="315"/>
      <c r="CF129" s="313"/>
      <c r="CG129" s="349"/>
      <c r="CH129" s="349"/>
      <c r="CI129" s="313"/>
      <c r="CJ129" s="349"/>
      <c r="CK129" s="349"/>
      <c r="CL129" s="313"/>
      <c r="CM129" s="313"/>
      <c r="CN129" s="315"/>
      <c r="CO129" s="373"/>
      <c r="CP129" s="373"/>
      <c r="CQ129" s="315"/>
      <c r="CR129" s="373"/>
      <c r="CS129" s="373"/>
      <c r="CT129" s="315"/>
      <c r="CU129" s="315"/>
      <c r="CV129" s="353"/>
      <c r="CW129" s="313"/>
      <c r="CX129" s="512"/>
      <c r="CY129" s="516"/>
      <c r="CZ129" s="517"/>
      <c r="DA129" s="516"/>
      <c r="DB129" s="517"/>
      <c r="DC129" s="516"/>
      <c r="DD129" s="517"/>
      <c r="DE129" s="516"/>
      <c r="DF129" s="517"/>
      <c r="DG129" s="516"/>
      <c r="DH129" s="517"/>
      <c r="DI129" s="516"/>
      <c r="DJ129" s="517"/>
      <c r="DK129" s="516"/>
      <c r="DL129" s="517"/>
      <c r="DM129" s="512"/>
      <c r="DN129" s="313"/>
      <c r="DO129" s="313"/>
      <c r="DP129" s="313"/>
      <c r="DQ129" s="313"/>
      <c r="DR129" s="313"/>
      <c r="DS129" s="313"/>
      <c r="DT129" s="313"/>
      <c r="DU129" s="313"/>
      <c r="DV129" s="313"/>
      <c r="DW129" s="313"/>
    </row>
    <row r="130" spans="1:127" s="2" customFormat="1">
      <c r="A130" s="347"/>
      <c r="B130" s="347"/>
      <c r="C130" s="268"/>
      <c r="D130" s="346"/>
      <c r="E130" s="347"/>
      <c r="F130" s="349"/>
      <c r="G130" s="349"/>
      <c r="H130" s="348"/>
      <c r="I130" s="347"/>
      <c r="J130" s="348"/>
      <c r="K130" s="349"/>
      <c r="L130" s="348"/>
      <c r="M130" s="347"/>
      <c r="N130" s="347"/>
      <c r="O130" s="313"/>
      <c r="P130" s="313"/>
      <c r="Q130" s="313"/>
      <c r="R130" s="313"/>
      <c r="S130" s="313"/>
      <c r="T130" s="348"/>
      <c r="U130" s="349"/>
      <c r="V130" s="349"/>
      <c r="W130" s="348"/>
      <c r="X130" s="348"/>
      <c r="Y130" s="349"/>
      <c r="Z130" s="313"/>
      <c r="AA130" s="313"/>
      <c r="AB130" s="654"/>
      <c r="AC130" s="373"/>
      <c r="AD130" s="373"/>
      <c r="AE130" s="654"/>
      <c r="AF130" s="654"/>
      <c r="AG130" s="373"/>
      <c r="AH130" s="315"/>
      <c r="AI130" s="315"/>
      <c r="AJ130" s="348"/>
      <c r="AK130" s="349"/>
      <c r="AL130" s="349"/>
      <c r="AM130" s="348"/>
      <c r="AN130" s="349"/>
      <c r="AO130" s="349"/>
      <c r="AP130" s="313"/>
      <c r="AQ130" s="313"/>
      <c r="AR130" s="654"/>
      <c r="AS130" s="373"/>
      <c r="AT130" s="373"/>
      <c r="AU130" s="654"/>
      <c r="AV130" s="373"/>
      <c r="AW130" s="373"/>
      <c r="AX130" s="315"/>
      <c r="AY130" s="315"/>
      <c r="AZ130" s="348"/>
      <c r="BA130" s="349"/>
      <c r="BB130" s="349"/>
      <c r="BC130" s="348"/>
      <c r="BD130" s="349"/>
      <c r="BE130" s="349"/>
      <c r="BF130" s="313"/>
      <c r="BG130" s="313"/>
      <c r="BH130" s="654"/>
      <c r="BI130" s="373"/>
      <c r="BJ130" s="373"/>
      <c r="BK130" s="654"/>
      <c r="BL130" s="373"/>
      <c r="BM130" s="373"/>
      <c r="BN130" s="315"/>
      <c r="BO130" s="315"/>
      <c r="BP130" s="313"/>
      <c r="BQ130" s="349"/>
      <c r="BR130" s="349"/>
      <c r="BS130" s="348"/>
      <c r="BT130" s="349"/>
      <c r="BU130" s="349"/>
      <c r="BV130" s="313"/>
      <c r="BW130" s="313"/>
      <c r="BX130" s="315"/>
      <c r="BY130" s="373"/>
      <c r="BZ130" s="373"/>
      <c r="CA130" s="654"/>
      <c r="CB130" s="373"/>
      <c r="CC130" s="373"/>
      <c r="CD130" s="315"/>
      <c r="CE130" s="315"/>
      <c r="CF130" s="313"/>
      <c r="CG130" s="349"/>
      <c r="CH130" s="349"/>
      <c r="CI130" s="313"/>
      <c r="CJ130" s="349"/>
      <c r="CK130" s="349"/>
      <c r="CL130" s="313"/>
      <c r="CM130" s="313"/>
      <c r="CN130" s="315"/>
      <c r="CO130" s="373"/>
      <c r="CP130" s="373"/>
      <c r="CQ130" s="315"/>
      <c r="CR130" s="373"/>
      <c r="CS130" s="373"/>
      <c r="CT130" s="315"/>
      <c r="CU130" s="315"/>
      <c r="CV130" s="353"/>
      <c r="CW130" s="313"/>
      <c r="CX130" s="512"/>
      <c r="CY130" s="516"/>
      <c r="CZ130" s="517"/>
      <c r="DA130" s="516"/>
      <c r="DB130" s="517"/>
      <c r="DC130" s="516"/>
      <c r="DD130" s="517"/>
      <c r="DE130" s="516"/>
      <c r="DF130" s="517"/>
      <c r="DG130" s="516"/>
      <c r="DH130" s="517"/>
      <c r="DI130" s="516"/>
      <c r="DJ130" s="517"/>
      <c r="DK130" s="516"/>
      <c r="DL130" s="517"/>
      <c r="DM130" s="512"/>
      <c r="DN130" s="313"/>
      <c r="DO130" s="313"/>
      <c r="DP130" s="313"/>
      <c r="DQ130" s="313"/>
      <c r="DR130" s="313"/>
      <c r="DS130" s="313"/>
      <c r="DT130" s="313"/>
      <c r="DU130" s="313"/>
      <c r="DV130" s="313"/>
      <c r="DW130" s="313"/>
    </row>
    <row r="131" spans="1:127" s="2" customFormat="1">
      <c r="A131" s="347"/>
      <c r="B131" s="347"/>
      <c r="C131" s="268"/>
      <c r="D131" s="346"/>
      <c r="E131" s="347"/>
      <c r="F131" s="349"/>
      <c r="G131" s="349"/>
      <c r="H131" s="348"/>
      <c r="I131" s="347"/>
      <c r="J131" s="348"/>
      <c r="K131" s="349"/>
      <c r="L131" s="348"/>
      <c r="M131" s="347"/>
      <c r="N131" s="347"/>
      <c r="O131" s="313"/>
      <c r="P131" s="313"/>
      <c r="Q131" s="313"/>
      <c r="R131" s="313"/>
      <c r="S131" s="313"/>
      <c r="T131" s="348"/>
      <c r="U131" s="349"/>
      <c r="V131" s="349"/>
      <c r="W131" s="348"/>
      <c r="X131" s="348"/>
      <c r="Y131" s="349"/>
      <c r="Z131" s="313"/>
      <c r="AA131" s="313"/>
      <c r="AB131" s="654"/>
      <c r="AC131" s="373"/>
      <c r="AD131" s="373"/>
      <c r="AE131" s="654"/>
      <c r="AF131" s="654"/>
      <c r="AG131" s="373"/>
      <c r="AH131" s="315"/>
      <c r="AI131" s="315"/>
      <c r="AJ131" s="348"/>
      <c r="AK131" s="349"/>
      <c r="AL131" s="349"/>
      <c r="AM131" s="348"/>
      <c r="AN131" s="349"/>
      <c r="AO131" s="349"/>
      <c r="AP131" s="313"/>
      <c r="AQ131" s="313"/>
      <c r="AR131" s="654"/>
      <c r="AS131" s="373"/>
      <c r="AT131" s="373"/>
      <c r="AU131" s="654"/>
      <c r="AV131" s="373"/>
      <c r="AW131" s="373"/>
      <c r="AX131" s="315"/>
      <c r="AY131" s="315"/>
      <c r="AZ131" s="348"/>
      <c r="BA131" s="349"/>
      <c r="BB131" s="349"/>
      <c r="BC131" s="348"/>
      <c r="BD131" s="349"/>
      <c r="BE131" s="349"/>
      <c r="BF131" s="313"/>
      <c r="BG131" s="313"/>
      <c r="BH131" s="654"/>
      <c r="BI131" s="373"/>
      <c r="BJ131" s="373"/>
      <c r="BK131" s="654"/>
      <c r="BL131" s="373"/>
      <c r="BM131" s="373"/>
      <c r="BN131" s="315"/>
      <c r="BO131" s="315"/>
      <c r="BP131" s="313"/>
      <c r="BQ131" s="349"/>
      <c r="BR131" s="349"/>
      <c r="BS131" s="348"/>
      <c r="BT131" s="349"/>
      <c r="BU131" s="349"/>
      <c r="BV131" s="313"/>
      <c r="BW131" s="313"/>
      <c r="BX131" s="315"/>
      <c r="BY131" s="373"/>
      <c r="BZ131" s="373"/>
      <c r="CA131" s="654"/>
      <c r="CB131" s="373"/>
      <c r="CC131" s="373"/>
      <c r="CD131" s="315"/>
      <c r="CE131" s="315"/>
      <c r="CF131" s="313"/>
      <c r="CG131" s="349"/>
      <c r="CH131" s="349"/>
      <c r="CI131" s="313"/>
      <c r="CJ131" s="349"/>
      <c r="CK131" s="349"/>
      <c r="CL131" s="313"/>
      <c r="CM131" s="313"/>
      <c r="CN131" s="315"/>
      <c r="CO131" s="373"/>
      <c r="CP131" s="373"/>
      <c r="CQ131" s="315"/>
      <c r="CR131" s="373"/>
      <c r="CS131" s="373"/>
      <c r="CT131" s="315"/>
      <c r="CU131" s="315"/>
      <c r="CV131" s="353"/>
      <c r="CW131" s="313"/>
      <c r="CX131" s="512"/>
      <c r="CY131" s="516"/>
      <c r="CZ131" s="517"/>
      <c r="DA131" s="516"/>
      <c r="DB131" s="517"/>
      <c r="DC131" s="516"/>
      <c r="DD131" s="517"/>
      <c r="DE131" s="516"/>
      <c r="DF131" s="517"/>
      <c r="DG131" s="516"/>
      <c r="DH131" s="517"/>
      <c r="DI131" s="516"/>
      <c r="DJ131" s="517"/>
      <c r="DK131" s="516"/>
      <c r="DL131" s="517"/>
      <c r="DM131" s="512"/>
      <c r="DN131" s="313"/>
      <c r="DO131" s="313"/>
      <c r="DP131" s="313"/>
      <c r="DQ131" s="313"/>
      <c r="DR131" s="313"/>
      <c r="DS131" s="313"/>
      <c r="DT131" s="313"/>
      <c r="DU131" s="313"/>
      <c r="DV131" s="313"/>
      <c r="DW131" s="313"/>
    </row>
    <row r="132" spans="1:127" s="2" customFormat="1">
      <c r="A132" s="347"/>
      <c r="B132" s="347"/>
      <c r="C132" s="268"/>
      <c r="D132" s="346"/>
      <c r="E132" s="347"/>
      <c r="F132" s="349"/>
      <c r="G132" s="349"/>
      <c r="H132" s="348"/>
      <c r="I132" s="347"/>
      <c r="J132" s="348"/>
      <c r="K132" s="349"/>
      <c r="L132" s="348"/>
      <c r="M132" s="347"/>
      <c r="N132" s="347"/>
      <c r="O132" s="313"/>
      <c r="P132" s="313"/>
      <c r="Q132" s="313"/>
      <c r="R132" s="313"/>
      <c r="S132" s="313"/>
      <c r="T132" s="348"/>
      <c r="U132" s="349"/>
      <c r="V132" s="349"/>
      <c r="W132" s="348"/>
      <c r="X132" s="348"/>
      <c r="Y132" s="349"/>
      <c r="Z132" s="313"/>
      <c r="AA132" s="313"/>
      <c r="AB132" s="654"/>
      <c r="AC132" s="373"/>
      <c r="AD132" s="373"/>
      <c r="AE132" s="654"/>
      <c r="AF132" s="654"/>
      <c r="AG132" s="373"/>
      <c r="AH132" s="315"/>
      <c r="AI132" s="315"/>
      <c r="AJ132" s="348"/>
      <c r="AK132" s="349"/>
      <c r="AL132" s="349"/>
      <c r="AM132" s="348"/>
      <c r="AN132" s="349"/>
      <c r="AO132" s="349"/>
      <c r="AP132" s="313"/>
      <c r="AQ132" s="313"/>
      <c r="AR132" s="654"/>
      <c r="AS132" s="373"/>
      <c r="AT132" s="373"/>
      <c r="AU132" s="654"/>
      <c r="AV132" s="373"/>
      <c r="AW132" s="373"/>
      <c r="AX132" s="315"/>
      <c r="AY132" s="315"/>
      <c r="AZ132" s="348"/>
      <c r="BA132" s="349"/>
      <c r="BB132" s="349"/>
      <c r="BC132" s="348"/>
      <c r="BD132" s="349"/>
      <c r="BE132" s="349"/>
      <c r="BF132" s="313"/>
      <c r="BG132" s="313"/>
      <c r="BH132" s="654"/>
      <c r="BI132" s="373"/>
      <c r="BJ132" s="373"/>
      <c r="BK132" s="654"/>
      <c r="BL132" s="373"/>
      <c r="BM132" s="373"/>
      <c r="BN132" s="315"/>
      <c r="BO132" s="315"/>
      <c r="BP132" s="313"/>
      <c r="BQ132" s="349"/>
      <c r="BR132" s="349"/>
      <c r="BS132" s="348"/>
      <c r="BT132" s="349"/>
      <c r="BU132" s="349"/>
      <c r="BV132" s="313"/>
      <c r="BW132" s="313"/>
      <c r="BX132" s="315"/>
      <c r="BY132" s="373"/>
      <c r="BZ132" s="373"/>
      <c r="CA132" s="654"/>
      <c r="CB132" s="373"/>
      <c r="CC132" s="373"/>
      <c r="CD132" s="315"/>
      <c r="CE132" s="315"/>
      <c r="CF132" s="313"/>
      <c r="CG132" s="349"/>
      <c r="CH132" s="349"/>
      <c r="CI132" s="313"/>
      <c r="CJ132" s="349"/>
      <c r="CK132" s="349"/>
      <c r="CL132" s="313"/>
      <c r="CM132" s="313"/>
      <c r="CN132" s="315"/>
      <c r="CO132" s="373"/>
      <c r="CP132" s="373"/>
      <c r="CQ132" s="315"/>
      <c r="CR132" s="373"/>
      <c r="CS132" s="373"/>
      <c r="CT132" s="315"/>
      <c r="CU132" s="315"/>
      <c r="CV132" s="353"/>
      <c r="CW132" s="313"/>
      <c r="CX132" s="512"/>
      <c r="CY132" s="516"/>
      <c r="CZ132" s="517"/>
      <c r="DA132" s="516"/>
      <c r="DB132" s="517"/>
      <c r="DC132" s="516"/>
      <c r="DD132" s="517"/>
      <c r="DE132" s="516"/>
      <c r="DF132" s="517"/>
      <c r="DG132" s="516"/>
      <c r="DH132" s="517"/>
      <c r="DI132" s="516"/>
      <c r="DJ132" s="517"/>
      <c r="DK132" s="516"/>
      <c r="DL132" s="517"/>
      <c r="DM132" s="512"/>
      <c r="DN132" s="313"/>
      <c r="DO132" s="313"/>
      <c r="DP132" s="313"/>
      <c r="DQ132" s="313"/>
      <c r="DR132" s="313"/>
      <c r="DS132" s="313"/>
      <c r="DT132" s="313"/>
      <c r="DU132" s="313"/>
      <c r="DV132" s="313"/>
      <c r="DW132" s="313"/>
    </row>
    <row r="133" spans="1:127" s="2" customFormat="1">
      <c r="A133" s="347"/>
      <c r="B133" s="347"/>
      <c r="C133" s="268"/>
      <c r="D133" s="346"/>
      <c r="E133" s="347"/>
      <c r="F133" s="349"/>
      <c r="G133" s="349"/>
      <c r="H133" s="348"/>
      <c r="I133" s="347"/>
      <c r="J133" s="348"/>
      <c r="K133" s="349"/>
      <c r="L133" s="348"/>
      <c r="M133" s="347"/>
      <c r="N133" s="347"/>
      <c r="O133" s="313"/>
      <c r="P133" s="313"/>
      <c r="Q133" s="313"/>
      <c r="R133" s="313"/>
      <c r="S133" s="313"/>
      <c r="T133" s="348"/>
      <c r="U133" s="349"/>
      <c r="V133" s="349"/>
      <c r="W133" s="348"/>
      <c r="X133" s="348"/>
      <c r="Y133" s="349"/>
      <c r="Z133" s="313"/>
      <c r="AA133" s="313"/>
      <c r="AB133" s="654"/>
      <c r="AC133" s="373"/>
      <c r="AD133" s="373"/>
      <c r="AE133" s="654"/>
      <c r="AF133" s="654"/>
      <c r="AG133" s="373"/>
      <c r="AH133" s="315"/>
      <c r="AI133" s="315"/>
      <c r="AJ133" s="348"/>
      <c r="AK133" s="349"/>
      <c r="AL133" s="349"/>
      <c r="AM133" s="348"/>
      <c r="AN133" s="349"/>
      <c r="AO133" s="349"/>
      <c r="AP133" s="313"/>
      <c r="AQ133" s="313"/>
      <c r="AR133" s="654"/>
      <c r="AS133" s="373"/>
      <c r="AT133" s="373"/>
      <c r="AU133" s="654"/>
      <c r="AV133" s="373"/>
      <c r="AW133" s="373"/>
      <c r="AX133" s="315"/>
      <c r="AY133" s="315"/>
      <c r="AZ133" s="348"/>
      <c r="BA133" s="349"/>
      <c r="BB133" s="349"/>
      <c r="BC133" s="348"/>
      <c r="BD133" s="349"/>
      <c r="BE133" s="349"/>
      <c r="BF133" s="313"/>
      <c r="BG133" s="313"/>
      <c r="BH133" s="654"/>
      <c r="BI133" s="373"/>
      <c r="BJ133" s="373"/>
      <c r="BK133" s="654"/>
      <c r="BL133" s="373"/>
      <c r="BM133" s="373"/>
      <c r="BN133" s="315"/>
      <c r="BO133" s="315"/>
      <c r="BP133" s="313"/>
      <c r="BQ133" s="349"/>
      <c r="BR133" s="349"/>
      <c r="BS133" s="348"/>
      <c r="BT133" s="349"/>
      <c r="BU133" s="349"/>
      <c r="BV133" s="313"/>
      <c r="BW133" s="313"/>
      <c r="BX133" s="315"/>
      <c r="BY133" s="373"/>
      <c r="BZ133" s="373"/>
      <c r="CA133" s="654"/>
      <c r="CB133" s="373"/>
      <c r="CC133" s="373"/>
      <c r="CD133" s="315"/>
      <c r="CE133" s="315"/>
      <c r="CF133" s="313"/>
      <c r="CG133" s="349"/>
      <c r="CH133" s="349"/>
      <c r="CI133" s="313"/>
      <c r="CJ133" s="349"/>
      <c r="CK133" s="349"/>
      <c r="CL133" s="313"/>
      <c r="CM133" s="313"/>
      <c r="CN133" s="315"/>
      <c r="CO133" s="373"/>
      <c r="CP133" s="373"/>
      <c r="CQ133" s="315"/>
      <c r="CR133" s="373"/>
      <c r="CS133" s="373"/>
      <c r="CT133" s="315"/>
      <c r="CU133" s="315"/>
      <c r="CV133" s="353"/>
      <c r="CW133" s="313"/>
      <c r="CX133" s="512"/>
      <c r="CY133" s="516"/>
      <c r="CZ133" s="517"/>
      <c r="DA133" s="516"/>
      <c r="DB133" s="517"/>
      <c r="DC133" s="516"/>
      <c r="DD133" s="517"/>
      <c r="DE133" s="516"/>
      <c r="DF133" s="517"/>
      <c r="DG133" s="516"/>
      <c r="DH133" s="517"/>
      <c r="DI133" s="516"/>
      <c r="DJ133" s="517"/>
      <c r="DK133" s="516"/>
      <c r="DL133" s="517"/>
      <c r="DM133" s="512"/>
      <c r="DN133" s="313"/>
      <c r="DO133" s="313"/>
      <c r="DP133" s="313"/>
      <c r="DQ133" s="313"/>
      <c r="DR133" s="313"/>
      <c r="DS133" s="313"/>
      <c r="DT133" s="313"/>
      <c r="DU133" s="313"/>
      <c r="DV133" s="313"/>
      <c r="DW133" s="313"/>
    </row>
    <row r="134" spans="1:127" s="2" customFormat="1">
      <c r="A134" s="347"/>
      <c r="B134" s="347"/>
      <c r="C134" s="268"/>
      <c r="D134" s="346"/>
      <c r="E134" s="347"/>
      <c r="F134" s="349"/>
      <c r="G134" s="349"/>
      <c r="H134" s="348"/>
      <c r="I134" s="347"/>
      <c r="J134" s="348"/>
      <c r="K134" s="349"/>
      <c r="L134" s="348"/>
      <c r="M134" s="347"/>
      <c r="N134" s="347"/>
      <c r="O134" s="313"/>
      <c r="P134" s="313"/>
      <c r="Q134" s="313"/>
      <c r="R134" s="313"/>
      <c r="S134" s="313"/>
      <c r="T134" s="348"/>
      <c r="U134" s="349"/>
      <c r="V134" s="349"/>
      <c r="W134" s="348"/>
      <c r="X134" s="348"/>
      <c r="Y134" s="349"/>
      <c r="Z134" s="313"/>
      <c r="AA134" s="313"/>
      <c r="AB134" s="654"/>
      <c r="AC134" s="373"/>
      <c r="AD134" s="373"/>
      <c r="AE134" s="654"/>
      <c r="AF134" s="654"/>
      <c r="AG134" s="373"/>
      <c r="AH134" s="315"/>
      <c r="AI134" s="315"/>
      <c r="AJ134" s="348"/>
      <c r="AK134" s="349"/>
      <c r="AL134" s="349"/>
      <c r="AM134" s="348"/>
      <c r="AN134" s="349"/>
      <c r="AO134" s="349"/>
      <c r="AP134" s="313"/>
      <c r="AQ134" s="313"/>
      <c r="AR134" s="654"/>
      <c r="AS134" s="373"/>
      <c r="AT134" s="373"/>
      <c r="AU134" s="654"/>
      <c r="AV134" s="373"/>
      <c r="AW134" s="373"/>
      <c r="AX134" s="315"/>
      <c r="AY134" s="315"/>
      <c r="AZ134" s="348"/>
      <c r="BA134" s="349"/>
      <c r="BB134" s="349"/>
      <c r="BC134" s="348"/>
      <c r="BD134" s="349"/>
      <c r="BE134" s="349"/>
      <c r="BF134" s="313"/>
      <c r="BG134" s="313"/>
      <c r="BH134" s="654"/>
      <c r="BI134" s="373"/>
      <c r="BJ134" s="373"/>
      <c r="BK134" s="654"/>
      <c r="BL134" s="373"/>
      <c r="BM134" s="373"/>
      <c r="BN134" s="315"/>
      <c r="BO134" s="315"/>
      <c r="BP134" s="313"/>
      <c r="BQ134" s="349"/>
      <c r="BR134" s="349"/>
      <c r="BS134" s="348"/>
      <c r="BT134" s="349"/>
      <c r="BU134" s="349"/>
      <c r="BV134" s="313"/>
      <c r="BW134" s="313"/>
      <c r="BX134" s="315"/>
      <c r="BY134" s="373"/>
      <c r="BZ134" s="373"/>
      <c r="CA134" s="654"/>
      <c r="CB134" s="373"/>
      <c r="CC134" s="373"/>
      <c r="CD134" s="315"/>
      <c r="CE134" s="315"/>
      <c r="CF134" s="313"/>
      <c r="CG134" s="349"/>
      <c r="CH134" s="349"/>
      <c r="CI134" s="313"/>
      <c r="CJ134" s="349"/>
      <c r="CK134" s="349"/>
      <c r="CL134" s="313"/>
      <c r="CM134" s="313"/>
      <c r="CN134" s="315"/>
      <c r="CO134" s="373"/>
      <c r="CP134" s="373"/>
      <c r="CQ134" s="315"/>
      <c r="CR134" s="373"/>
      <c r="CS134" s="373"/>
      <c r="CT134" s="315"/>
      <c r="CU134" s="315"/>
      <c r="CV134" s="353"/>
      <c r="CW134" s="313"/>
      <c r="CX134" s="512"/>
      <c r="CY134" s="516"/>
      <c r="CZ134" s="517"/>
      <c r="DA134" s="516"/>
      <c r="DB134" s="517"/>
      <c r="DC134" s="516"/>
      <c r="DD134" s="517"/>
      <c r="DE134" s="516"/>
      <c r="DF134" s="517"/>
      <c r="DG134" s="516"/>
      <c r="DH134" s="517"/>
      <c r="DI134" s="516"/>
      <c r="DJ134" s="517"/>
      <c r="DK134" s="516"/>
      <c r="DL134" s="517"/>
      <c r="DM134" s="512"/>
      <c r="DN134" s="313"/>
      <c r="DO134" s="313"/>
      <c r="DP134" s="313"/>
      <c r="DQ134" s="313"/>
      <c r="DR134" s="313"/>
      <c r="DS134" s="313"/>
      <c r="DT134" s="313"/>
      <c r="DU134" s="313"/>
      <c r="DV134" s="313"/>
      <c r="DW134" s="313"/>
    </row>
    <row r="135" spans="1:127" s="2" customFormat="1">
      <c r="A135" s="347"/>
      <c r="B135" s="347"/>
      <c r="C135" s="268"/>
      <c r="D135" s="346"/>
      <c r="E135" s="347"/>
      <c r="F135" s="349"/>
      <c r="G135" s="349"/>
      <c r="H135" s="348"/>
      <c r="I135" s="347"/>
      <c r="J135" s="348"/>
      <c r="K135" s="349"/>
      <c r="L135" s="348"/>
      <c r="M135" s="347"/>
      <c r="N135" s="347"/>
      <c r="O135" s="313"/>
      <c r="P135" s="313"/>
      <c r="Q135" s="313"/>
      <c r="R135" s="313"/>
      <c r="S135" s="313"/>
      <c r="T135" s="348"/>
      <c r="U135" s="349"/>
      <c r="V135" s="349"/>
      <c r="W135" s="348"/>
      <c r="X135" s="348"/>
      <c r="Y135" s="349"/>
      <c r="Z135" s="313"/>
      <c r="AA135" s="313"/>
      <c r="AB135" s="654"/>
      <c r="AC135" s="373"/>
      <c r="AD135" s="373"/>
      <c r="AE135" s="654"/>
      <c r="AF135" s="654"/>
      <c r="AG135" s="373"/>
      <c r="AH135" s="315"/>
      <c r="AI135" s="315"/>
      <c r="AJ135" s="348"/>
      <c r="AK135" s="349"/>
      <c r="AL135" s="349"/>
      <c r="AM135" s="348"/>
      <c r="AN135" s="349"/>
      <c r="AO135" s="349"/>
      <c r="AP135" s="313"/>
      <c r="AQ135" s="313"/>
      <c r="AR135" s="654"/>
      <c r="AS135" s="373"/>
      <c r="AT135" s="373"/>
      <c r="AU135" s="654"/>
      <c r="AV135" s="373"/>
      <c r="AW135" s="373"/>
      <c r="AX135" s="315"/>
      <c r="AY135" s="315"/>
      <c r="AZ135" s="348"/>
      <c r="BA135" s="349"/>
      <c r="BB135" s="349"/>
      <c r="BC135" s="348"/>
      <c r="BD135" s="349"/>
      <c r="BE135" s="349"/>
      <c r="BF135" s="313"/>
      <c r="BG135" s="313"/>
      <c r="BH135" s="654"/>
      <c r="BI135" s="373"/>
      <c r="BJ135" s="373"/>
      <c r="BK135" s="654"/>
      <c r="BL135" s="373"/>
      <c r="BM135" s="373"/>
      <c r="BN135" s="315"/>
      <c r="BO135" s="315"/>
      <c r="BP135" s="313"/>
      <c r="BQ135" s="349"/>
      <c r="BR135" s="349"/>
      <c r="BS135" s="348"/>
      <c r="BT135" s="349"/>
      <c r="BU135" s="349"/>
      <c r="BV135" s="313"/>
      <c r="BW135" s="313"/>
      <c r="BX135" s="315"/>
      <c r="BY135" s="373"/>
      <c r="BZ135" s="373"/>
      <c r="CA135" s="654"/>
      <c r="CB135" s="373"/>
      <c r="CC135" s="373"/>
      <c r="CD135" s="315"/>
      <c r="CE135" s="315"/>
      <c r="CF135" s="313"/>
      <c r="CG135" s="349"/>
      <c r="CH135" s="349"/>
      <c r="CI135" s="313"/>
      <c r="CJ135" s="349"/>
      <c r="CK135" s="349"/>
      <c r="CL135" s="313"/>
      <c r="CM135" s="313"/>
      <c r="CN135" s="315"/>
      <c r="CO135" s="373"/>
      <c r="CP135" s="373"/>
      <c r="CQ135" s="315"/>
      <c r="CR135" s="373"/>
      <c r="CS135" s="373"/>
      <c r="CT135" s="315"/>
      <c r="CU135" s="315"/>
      <c r="CV135" s="353"/>
      <c r="CW135" s="313"/>
      <c r="CX135" s="512"/>
      <c r="CY135" s="516"/>
      <c r="CZ135" s="517"/>
      <c r="DA135" s="516"/>
      <c r="DB135" s="517"/>
      <c r="DC135" s="516"/>
      <c r="DD135" s="517"/>
      <c r="DE135" s="516"/>
      <c r="DF135" s="517"/>
      <c r="DG135" s="516"/>
      <c r="DH135" s="517"/>
      <c r="DI135" s="516"/>
      <c r="DJ135" s="517"/>
      <c r="DK135" s="516"/>
      <c r="DL135" s="517"/>
      <c r="DM135" s="512"/>
      <c r="DN135" s="313"/>
      <c r="DO135" s="313"/>
      <c r="DP135" s="313"/>
      <c r="DQ135" s="313"/>
      <c r="DR135" s="313"/>
      <c r="DS135" s="313"/>
      <c r="DT135" s="313"/>
      <c r="DU135" s="313"/>
      <c r="DV135" s="313"/>
      <c r="DW135" s="313"/>
    </row>
    <row r="136" spans="1:127" s="2" customFormat="1">
      <c r="A136" s="347"/>
      <c r="B136" s="347"/>
      <c r="C136" s="268"/>
      <c r="D136" s="346"/>
      <c r="E136" s="347"/>
      <c r="F136" s="349"/>
      <c r="G136" s="349"/>
      <c r="H136" s="348"/>
      <c r="I136" s="347"/>
      <c r="J136" s="348"/>
      <c r="K136" s="349"/>
      <c r="L136" s="348"/>
      <c r="M136" s="347"/>
      <c r="N136" s="347"/>
      <c r="O136" s="313"/>
      <c r="P136" s="313"/>
      <c r="Q136" s="313"/>
      <c r="R136" s="313"/>
      <c r="S136" s="313"/>
      <c r="T136" s="348"/>
      <c r="U136" s="349"/>
      <c r="V136" s="349"/>
      <c r="W136" s="348"/>
      <c r="X136" s="348"/>
      <c r="Y136" s="349"/>
      <c r="Z136" s="313"/>
      <c r="AA136" s="313"/>
      <c r="AB136" s="654"/>
      <c r="AC136" s="373"/>
      <c r="AD136" s="373"/>
      <c r="AE136" s="654"/>
      <c r="AF136" s="654"/>
      <c r="AG136" s="373"/>
      <c r="AH136" s="315"/>
      <c r="AI136" s="315"/>
      <c r="AJ136" s="348"/>
      <c r="AK136" s="349"/>
      <c r="AL136" s="349"/>
      <c r="AM136" s="348"/>
      <c r="AN136" s="349"/>
      <c r="AO136" s="349"/>
      <c r="AP136" s="313"/>
      <c r="AQ136" s="313"/>
      <c r="AR136" s="654"/>
      <c r="AS136" s="373"/>
      <c r="AT136" s="373"/>
      <c r="AU136" s="654"/>
      <c r="AV136" s="373"/>
      <c r="AW136" s="373"/>
      <c r="AX136" s="315"/>
      <c r="AY136" s="315"/>
      <c r="AZ136" s="348"/>
      <c r="BA136" s="349"/>
      <c r="BB136" s="349"/>
      <c r="BC136" s="348"/>
      <c r="BD136" s="349"/>
      <c r="BE136" s="349"/>
      <c r="BF136" s="313"/>
      <c r="BG136" s="313"/>
      <c r="BH136" s="654"/>
      <c r="BI136" s="373"/>
      <c r="BJ136" s="373"/>
      <c r="BK136" s="654"/>
      <c r="BL136" s="373"/>
      <c r="BM136" s="373"/>
      <c r="BN136" s="315"/>
      <c r="BO136" s="315"/>
      <c r="BP136" s="313"/>
      <c r="BQ136" s="349"/>
      <c r="BR136" s="349"/>
      <c r="BS136" s="348"/>
      <c r="BT136" s="349"/>
      <c r="BU136" s="349"/>
      <c r="BV136" s="313"/>
      <c r="BW136" s="313"/>
      <c r="BX136" s="315"/>
      <c r="BY136" s="373"/>
      <c r="BZ136" s="373"/>
      <c r="CA136" s="654"/>
      <c r="CB136" s="373"/>
      <c r="CC136" s="373"/>
      <c r="CD136" s="315"/>
      <c r="CE136" s="315"/>
      <c r="CF136" s="313"/>
      <c r="CG136" s="349"/>
      <c r="CH136" s="349"/>
      <c r="CI136" s="313"/>
      <c r="CJ136" s="349"/>
      <c r="CK136" s="349"/>
      <c r="CL136" s="313"/>
      <c r="CM136" s="313"/>
      <c r="CN136" s="315"/>
      <c r="CO136" s="373"/>
      <c r="CP136" s="373"/>
      <c r="CQ136" s="315"/>
      <c r="CR136" s="373"/>
      <c r="CS136" s="373"/>
      <c r="CT136" s="315"/>
      <c r="CU136" s="315"/>
      <c r="CV136" s="353"/>
      <c r="CW136" s="313"/>
      <c r="CX136" s="512"/>
      <c r="CY136" s="516"/>
      <c r="CZ136" s="517"/>
      <c r="DA136" s="516"/>
      <c r="DB136" s="517"/>
      <c r="DC136" s="516"/>
      <c r="DD136" s="517"/>
      <c r="DE136" s="516"/>
      <c r="DF136" s="517"/>
      <c r="DG136" s="516"/>
      <c r="DH136" s="517"/>
      <c r="DI136" s="516"/>
      <c r="DJ136" s="517"/>
      <c r="DK136" s="516"/>
      <c r="DL136" s="517"/>
      <c r="DM136" s="512"/>
      <c r="DN136" s="313"/>
      <c r="DO136" s="313"/>
      <c r="DP136" s="313"/>
      <c r="DQ136" s="313"/>
      <c r="DR136" s="313"/>
      <c r="DS136" s="313"/>
      <c r="DT136" s="313"/>
      <c r="DU136" s="313"/>
      <c r="DV136" s="313"/>
      <c r="DW136" s="313"/>
    </row>
    <row r="137" spans="1:127" s="2" customFormat="1">
      <c r="A137" s="347"/>
      <c r="B137" s="347"/>
      <c r="C137" s="268"/>
      <c r="D137" s="346"/>
      <c r="E137" s="347"/>
      <c r="F137" s="349"/>
      <c r="G137" s="349"/>
      <c r="H137" s="348"/>
      <c r="I137" s="347"/>
      <c r="J137" s="348"/>
      <c r="K137" s="349"/>
      <c r="L137" s="348"/>
      <c r="M137" s="347"/>
      <c r="N137" s="347"/>
      <c r="O137" s="313"/>
      <c r="P137" s="313"/>
      <c r="Q137" s="313"/>
      <c r="R137" s="313"/>
      <c r="S137" s="313"/>
      <c r="T137" s="348"/>
      <c r="U137" s="349"/>
      <c r="V137" s="349"/>
      <c r="W137" s="348"/>
      <c r="X137" s="348"/>
      <c r="Y137" s="349"/>
      <c r="Z137" s="313"/>
      <c r="AA137" s="313"/>
      <c r="AB137" s="654"/>
      <c r="AC137" s="373"/>
      <c r="AD137" s="373"/>
      <c r="AE137" s="654"/>
      <c r="AF137" s="654"/>
      <c r="AG137" s="373"/>
      <c r="AH137" s="315"/>
      <c r="AI137" s="315"/>
      <c r="AJ137" s="348"/>
      <c r="AK137" s="349"/>
      <c r="AL137" s="349"/>
      <c r="AM137" s="348"/>
      <c r="AN137" s="349"/>
      <c r="AO137" s="349"/>
      <c r="AP137" s="313"/>
      <c r="AQ137" s="313"/>
      <c r="AR137" s="654"/>
      <c r="AS137" s="373"/>
      <c r="AT137" s="373"/>
      <c r="AU137" s="654"/>
      <c r="AV137" s="373"/>
      <c r="AW137" s="373"/>
      <c r="AX137" s="315"/>
      <c r="AY137" s="315"/>
      <c r="AZ137" s="348"/>
      <c r="BA137" s="349"/>
      <c r="BB137" s="349"/>
      <c r="BC137" s="348"/>
      <c r="BD137" s="349"/>
      <c r="BE137" s="349"/>
      <c r="BF137" s="313"/>
      <c r="BG137" s="313"/>
      <c r="BH137" s="654"/>
      <c r="BI137" s="373"/>
      <c r="BJ137" s="373"/>
      <c r="BK137" s="654"/>
      <c r="BL137" s="373"/>
      <c r="BM137" s="373"/>
      <c r="BN137" s="315"/>
      <c r="BO137" s="315"/>
      <c r="BP137" s="313"/>
      <c r="BQ137" s="349"/>
      <c r="BR137" s="349"/>
      <c r="BS137" s="348"/>
      <c r="BT137" s="349"/>
      <c r="BU137" s="349"/>
      <c r="BV137" s="313"/>
      <c r="BW137" s="313"/>
      <c r="BX137" s="315"/>
      <c r="BY137" s="373"/>
      <c r="BZ137" s="373"/>
      <c r="CA137" s="654"/>
      <c r="CB137" s="373"/>
      <c r="CC137" s="373"/>
      <c r="CD137" s="315"/>
      <c r="CE137" s="315"/>
      <c r="CF137" s="313"/>
      <c r="CG137" s="349"/>
      <c r="CH137" s="349"/>
      <c r="CI137" s="313"/>
      <c r="CJ137" s="349"/>
      <c r="CK137" s="349"/>
      <c r="CL137" s="313"/>
      <c r="CM137" s="313"/>
      <c r="CN137" s="315"/>
      <c r="CO137" s="373"/>
      <c r="CP137" s="373"/>
      <c r="CQ137" s="315"/>
      <c r="CR137" s="373"/>
      <c r="CS137" s="373"/>
      <c r="CT137" s="315"/>
      <c r="CU137" s="315"/>
      <c r="CV137" s="353"/>
      <c r="CW137" s="313"/>
      <c r="CX137" s="512"/>
      <c r="CY137" s="516"/>
      <c r="CZ137" s="517"/>
      <c r="DA137" s="516"/>
      <c r="DB137" s="517"/>
      <c r="DC137" s="516"/>
      <c r="DD137" s="517"/>
      <c r="DE137" s="516"/>
      <c r="DF137" s="517"/>
      <c r="DG137" s="516"/>
      <c r="DH137" s="517"/>
      <c r="DI137" s="516"/>
      <c r="DJ137" s="517"/>
      <c r="DK137" s="516"/>
      <c r="DL137" s="517"/>
      <c r="DM137" s="512"/>
      <c r="DN137" s="313"/>
      <c r="DO137" s="313"/>
      <c r="DP137" s="313"/>
      <c r="DQ137" s="313"/>
      <c r="DR137" s="313"/>
      <c r="DS137" s="313"/>
      <c r="DT137" s="313"/>
      <c r="DU137" s="313"/>
      <c r="DV137" s="313"/>
      <c r="DW137" s="313"/>
    </row>
    <row r="138" spans="1:127" s="2" customFormat="1">
      <c r="A138" s="347"/>
      <c r="B138" s="347"/>
      <c r="C138" s="268"/>
      <c r="D138" s="346"/>
      <c r="E138" s="347"/>
      <c r="F138" s="349"/>
      <c r="G138" s="349"/>
      <c r="H138" s="348"/>
      <c r="I138" s="347"/>
      <c r="J138" s="348"/>
      <c r="K138" s="349"/>
      <c r="L138" s="348"/>
      <c r="M138" s="347"/>
      <c r="N138" s="347"/>
      <c r="O138" s="313"/>
      <c r="P138" s="313"/>
      <c r="Q138" s="313"/>
      <c r="R138" s="313"/>
      <c r="S138" s="313"/>
      <c r="T138" s="348"/>
      <c r="U138" s="349"/>
      <c r="V138" s="349"/>
      <c r="W138" s="348"/>
      <c r="X138" s="348"/>
      <c r="Y138" s="349"/>
      <c r="Z138" s="313"/>
      <c r="AA138" s="313"/>
      <c r="AB138" s="654"/>
      <c r="AC138" s="373"/>
      <c r="AD138" s="373"/>
      <c r="AE138" s="654"/>
      <c r="AF138" s="654"/>
      <c r="AG138" s="373"/>
      <c r="AH138" s="315"/>
      <c r="AI138" s="315"/>
      <c r="AJ138" s="348"/>
      <c r="AK138" s="349"/>
      <c r="AL138" s="349"/>
      <c r="AM138" s="348"/>
      <c r="AN138" s="349"/>
      <c r="AO138" s="349"/>
      <c r="AP138" s="313"/>
      <c r="AQ138" s="313"/>
      <c r="AR138" s="654"/>
      <c r="AS138" s="373"/>
      <c r="AT138" s="373"/>
      <c r="AU138" s="654"/>
      <c r="AV138" s="373"/>
      <c r="AW138" s="373"/>
      <c r="AX138" s="315"/>
      <c r="AY138" s="315"/>
      <c r="AZ138" s="348"/>
      <c r="BA138" s="349"/>
      <c r="BB138" s="349"/>
      <c r="BC138" s="348"/>
      <c r="BD138" s="349"/>
      <c r="BE138" s="349"/>
      <c r="BF138" s="313"/>
      <c r="BG138" s="313"/>
      <c r="BH138" s="654"/>
      <c r="BI138" s="373"/>
      <c r="BJ138" s="373"/>
      <c r="BK138" s="654"/>
      <c r="BL138" s="373"/>
      <c r="BM138" s="373"/>
      <c r="BN138" s="315"/>
      <c r="BO138" s="315"/>
      <c r="BP138" s="313"/>
      <c r="BQ138" s="349"/>
      <c r="BR138" s="349"/>
      <c r="BS138" s="348"/>
      <c r="BT138" s="349"/>
      <c r="BU138" s="349"/>
      <c r="BV138" s="313"/>
      <c r="BW138" s="313"/>
      <c r="BX138" s="315"/>
      <c r="BY138" s="373"/>
      <c r="BZ138" s="373"/>
      <c r="CA138" s="654"/>
      <c r="CB138" s="373"/>
      <c r="CC138" s="373"/>
      <c r="CD138" s="315"/>
      <c r="CE138" s="315"/>
      <c r="CF138" s="313"/>
      <c r="CG138" s="349"/>
      <c r="CH138" s="349"/>
      <c r="CI138" s="313"/>
      <c r="CJ138" s="349"/>
      <c r="CK138" s="349"/>
      <c r="CL138" s="313"/>
      <c r="CM138" s="313"/>
      <c r="CN138" s="315"/>
      <c r="CO138" s="373"/>
      <c r="CP138" s="373"/>
      <c r="CQ138" s="315"/>
      <c r="CR138" s="373"/>
      <c r="CS138" s="373"/>
      <c r="CT138" s="315"/>
      <c r="CU138" s="315"/>
      <c r="CV138" s="353"/>
      <c r="CW138" s="313"/>
      <c r="CX138" s="512"/>
      <c r="CY138" s="516"/>
      <c r="CZ138" s="517"/>
      <c r="DA138" s="516"/>
      <c r="DB138" s="517"/>
      <c r="DC138" s="516"/>
      <c r="DD138" s="517"/>
      <c r="DE138" s="516"/>
      <c r="DF138" s="517"/>
      <c r="DG138" s="516"/>
      <c r="DH138" s="517"/>
      <c r="DI138" s="516"/>
      <c r="DJ138" s="517"/>
      <c r="DK138" s="516"/>
      <c r="DL138" s="517"/>
      <c r="DM138" s="512"/>
      <c r="DN138" s="313"/>
      <c r="DO138" s="313"/>
      <c r="DP138" s="313"/>
      <c r="DQ138" s="313"/>
      <c r="DR138" s="313"/>
      <c r="DS138" s="313"/>
      <c r="DT138" s="313"/>
      <c r="DU138" s="313"/>
      <c r="DV138" s="313"/>
      <c r="DW138" s="313"/>
    </row>
    <row r="139" spans="1:127" s="2" customFormat="1">
      <c r="A139" s="347"/>
      <c r="B139" s="347"/>
      <c r="C139" s="268"/>
      <c r="D139" s="346"/>
      <c r="E139" s="347"/>
      <c r="F139" s="349"/>
      <c r="G139" s="349"/>
      <c r="H139" s="348"/>
      <c r="I139" s="347"/>
      <c r="J139" s="348"/>
      <c r="K139" s="349"/>
      <c r="L139" s="348"/>
      <c r="M139" s="347"/>
      <c r="N139" s="347"/>
      <c r="O139" s="313"/>
      <c r="P139" s="313"/>
      <c r="Q139" s="313"/>
      <c r="R139" s="313"/>
      <c r="S139" s="313"/>
      <c r="T139" s="348"/>
      <c r="U139" s="349"/>
      <c r="V139" s="349"/>
      <c r="W139" s="348"/>
      <c r="X139" s="348"/>
      <c r="Y139" s="349"/>
      <c r="Z139" s="313"/>
      <c r="AA139" s="313"/>
      <c r="AB139" s="654"/>
      <c r="AC139" s="373"/>
      <c r="AD139" s="373"/>
      <c r="AE139" s="654"/>
      <c r="AF139" s="654"/>
      <c r="AG139" s="373"/>
      <c r="AH139" s="315"/>
      <c r="AI139" s="315"/>
      <c r="AJ139" s="348"/>
      <c r="AK139" s="349"/>
      <c r="AL139" s="349"/>
      <c r="AM139" s="348"/>
      <c r="AN139" s="349"/>
      <c r="AO139" s="349"/>
      <c r="AP139" s="313"/>
      <c r="AQ139" s="313"/>
      <c r="AR139" s="654"/>
      <c r="AS139" s="373"/>
      <c r="AT139" s="373"/>
      <c r="AU139" s="654"/>
      <c r="AV139" s="373"/>
      <c r="AW139" s="373"/>
      <c r="AX139" s="315"/>
      <c r="AY139" s="315"/>
      <c r="AZ139" s="348"/>
      <c r="BA139" s="349"/>
      <c r="BB139" s="349"/>
      <c r="BC139" s="348"/>
      <c r="BD139" s="349"/>
      <c r="BE139" s="349"/>
      <c r="BF139" s="313"/>
      <c r="BG139" s="313"/>
      <c r="BH139" s="654"/>
      <c r="BI139" s="373"/>
      <c r="BJ139" s="373"/>
      <c r="BK139" s="654"/>
      <c r="BL139" s="373"/>
      <c r="BM139" s="373"/>
      <c r="BN139" s="315"/>
      <c r="BO139" s="315"/>
      <c r="BP139" s="313"/>
      <c r="BQ139" s="349"/>
      <c r="BR139" s="349"/>
      <c r="BS139" s="348"/>
      <c r="BT139" s="349"/>
      <c r="BU139" s="349"/>
      <c r="BV139" s="313"/>
      <c r="BW139" s="313"/>
      <c r="BX139" s="315"/>
      <c r="BY139" s="373"/>
      <c r="BZ139" s="373"/>
      <c r="CA139" s="654"/>
      <c r="CB139" s="373"/>
      <c r="CC139" s="373"/>
      <c r="CD139" s="315"/>
      <c r="CE139" s="315"/>
      <c r="CF139" s="313"/>
      <c r="CG139" s="349"/>
      <c r="CH139" s="349"/>
      <c r="CI139" s="313"/>
      <c r="CJ139" s="349"/>
      <c r="CK139" s="349"/>
      <c r="CL139" s="313"/>
      <c r="CM139" s="313"/>
      <c r="CN139" s="315"/>
      <c r="CO139" s="373"/>
      <c r="CP139" s="373"/>
      <c r="CQ139" s="315"/>
      <c r="CR139" s="373"/>
      <c r="CS139" s="373"/>
      <c r="CT139" s="315"/>
      <c r="CU139" s="315"/>
      <c r="CV139" s="353"/>
      <c r="CW139" s="313"/>
      <c r="CX139" s="512"/>
      <c r="CY139" s="516"/>
      <c r="CZ139" s="517"/>
      <c r="DA139" s="516"/>
      <c r="DB139" s="517"/>
      <c r="DC139" s="516"/>
      <c r="DD139" s="517"/>
      <c r="DE139" s="516"/>
      <c r="DF139" s="517"/>
      <c r="DG139" s="516"/>
      <c r="DH139" s="517"/>
      <c r="DI139" s="516"/>
      <c r="DJ139" s="517"/>
      <c r="DK139" s="516"/>
      <c r="DL139" s="517"/>
      <c r="DM139" s="512"/>
      <c r="DN139" s="313"/>
      <c r="DO139" s="313"/>
      <c r="DP139" s="313"/>
      <c r="DQ139" s="313"/>
      <c r="DR139" s="313"/>
      <c r="DS139" s="313"/>
      <c r="DT139" s="313"/>
      <c r="DU139" s="313"/>
      <c r="DV139" s="313"/>
      <c r="DW139" s="313"/>
    </row>
    <row r="140" spans="1:127" s="2" customFormat="1">
      <c r="A140" s="347"/>
      <c r="B140" s="347"/>
      <c r="C140" s="268"/>
      <c r="D140" s="346"/>
      <c r="E140" s="347"/>
      <c r="F140" s="349"/>
      <c r="G140" s="349"/>
      <c r="H140" s="348"/>
      <c r="I140" s="347"/>
      <c r="J140" s="348"/>
      <c r="K140" s="349"/>
      <c r="L140" s="348"/>
      <c r="M140" s="347"/>
      <c r="N140" s="347"/>
      <c r="O140" s="313"/>
      <c r="P140" s="313"/>
      <c r="Q140" s="313"/>
      <c r="R140" s="313"/>
      <c r="S140" s="313"/>
      <c r="T140" s="348"/>
      <c r="U140" s="349"/>
      <c r="V140" s="349"/>
      <c r="W140" s="348"/>
      <c r="X140" s="348"/>
      <c r="Y140" s="349"/>
      <c r="Z140" s="313"/>
      <c r="AA140" s="313"/>
      <c r="AB140" s="654"/>
      <c r="AC140" s="373"/>
      <c r="AD140" s="373"/>
      <c r="AE140" s="654"/>
      <c r="AF140" s="654"/>
      <c r="AG140" s="373"/>
      <c r="AH140" s="315"/>
      <c r="AI140" s="315"/>
      <c r="AJ140" s="348"/>
      <c r="AK140" s="349"/>
      <c r="AL140" s="349"/>
      <c r="AM140" s="348"/>
      <c r="AN140" s="349"/>
      <c r="AO140" s="349"/>
      <c r="AP140" s="313"/>
      <c r="AQ140" s="313"/>
      <c r="AR140" s="654"/>
      <c r="AS140" s="373"/>
      <c r="AT140" s="373"/>
      <c r="AU140" s="654"/>
      <c r="AV140" s="373"/>
      <c r="AW140" s="373"/>
      <c r="AX140" s="315"/>
      <c r="AY140" s="315"/>
      <c r="AZ140" s="348"/>
      <c r="BA140" s="349"/>
      <c r="BB140" s="349"/>
      <c r="BC140" s="348"/>
      <c r="BD140" s="349"/>
      <c r="BE140" s="349"/>
      <c r="BF140" s="313"/>
      <c r="BG140" s="313"/>
      <c r="BH140" s="654"/>
      <c r="BI140" s="373"/>
      <c r="BJ140" s="373"/>
      <c r="BK140" s="654"/>
      <c r="BL140" s="373"/>
      <c r="BM140" s="373"/>
      <c r="BN140" s="315"/>
      <c r="BO140" s="315"/>
      <c r="BP140" s="313"/>
      <c r="BQ140" s="349"/>
      <c r="BR140" s="349"/>
      <c r="BS140" s="348"/>
      <c r="BT140" s="349"/>
      <c r="BU140" s="349"/>
      <c r="BV140" s="313"/>
      <c r="BW140" s="313"/>
      <c r="BX140" s="315"/>
      <c r="BY140" s="373"/>
      <c r="BZ140" s="373"/>
      <c r="CA140" s="654"/>
      <c r="CB140" s="373"/>
      <c r="CC140" s="373"/>
      <c r="CD140" s="315"/>
      <c r="CE140" s="315"/>
      <c r="CF140" s="313"/>
      <c r="CG140" s="349"/>
      <c r="CH140" s="349"/>
      <c r="CI140" s="313"/>
      <c r="CJ140" s="349"/>
      <c r="CK140" s="349"/>
      <c r="CL140" s="313"/>
      <c r="CM140" s="313"/>
      <c r="CN140" s="315"/>
      <c r="CO140" s="373"/>
      <c r="CP140" s="373"/>
      <c r="CQ140" s="315"/>
      <c r="CR140" s="373"/>
      <c r="CS140" s="373"/>
      <c r="CT140" s="315"/>
      <c r="CU140" s="315"/>
      <c r="CV140" s="353"/>
      <c r="CW140" s="313"/>
      <c r="CX140" s="512"/>
      <c r="CY140" s="516"/>
      <c r="CZ140" s="517"/>
      <c r="DA140" s="516"/>
      <c r="DB140" s="517"/>
      <c r="DC140" s="516"/>
      <c r="DD140" s="517"/>
      <c r="DE140" s="516"/>
      <c r="DF140" s="517"/>
      <c r="DG140" s="516"/>
      <c r="DH140" s="517"/>
      <c r="DI140" s="516"/>
      <c r="DJ140" s="517"/>
      <c r="DK140" s="516"/>
      <c r="DL140" s="517"/>
      <c r="DM140" s="512"/>
      <c r="DN140" s="313"/>
      <c r="DO140" s="313"/>
      <c r="DP140" s="313"/>
      <c r="DQ140" s="313"/>
      <c r="DR140" s="313"/>
      <c r="DS140" s="313"/>
      <c r="DT140" s="313"/>
      <c r="DU140" s="313"/>
      <c r="DV140" s="313"/>
      <c r="DW140" s="313"/>
    </row>
    <row r="141" spans="1:127" s="2" customFormat="1">
      <c r="A141" s="347"/>
      <c r="B141" s="347"/>
      <c r="C141" s="268"/>
      <c r="D141" s="346"/>
      <c r="E141" s="347"/>
      <c r="F141" s="349"/>
      <c r="G141" s="349"/>
      <c r="H141" s="348"/>
      <c r="I141" s="347"/>
      <c r="J141" s="348"/>
      <c r="K141" s="349"/>
      <c r="L141" s="348"/>
      <c r="M141" s="347"/>
      <c r="N141" s="347"/>
      <c r="O141" s="313"/>
      <c r="P141" s="313"/>
      <c r="Q141" s="313"/>
      <c r="R141" s="313"/>
      <c r="S141" s="313"/>
      <c r="T141" s="348"/>
      <c r="U141" s="349"/>
      <c r="V141" s="349"/>
      <c r="W141" s="348"/>
      <c r="X141" s="348"/>
      <c r="Y141" s="349"/>
      <c r="Z141" s="313"/>
      <c r="AA141" s="313"/>
      <c r="AB141" s="654"/>
      <c r="AC141" s="373"/>
      <c r="AD141" s="373"/>
      <c r="AE141" s="654"/>
      <c r="AF141" s="654"/>
      <c r="AG141" s="373"/>
      <c r="AH141" s="315"/>
      <c r="AI141" s="315"/>
      <c r="AJ141" s="348"/>
      <c r="AK141" s="349"/>
      <c r="AL141" s="349"/>
      <c r="AM141" s="348"/>
      <c r="AN141" s="349"/>
      <c r="AO141" s="349"/>
      <c r="AP141" s="313"/>
      <c r="AQ141" s="313"/>
      <c r="AR141" s="654"/>
      <c r="AS141" s="373"/>
      <c r="AT141" s="373"/>
      <c r="AU141" s="654"/>
      <c r="AV141" s="373"/>
      <c r="AW141" s="373"/>
      <c r="AX141" s="315"/>
      <c r="AY141" s="315"/>
      <c r="AZ141" s="348"/>
      <c r="BA141" s="349"/>
      <c r="BB141" s="349"/>
      <c r="BC141" s="348"/>
      <c r="BD141" s="349"/>
      <c r="BE141" s="349"/>
      <c r="BF141" s="313"/>
      <c r="BG141" s="313"/>
      <c r="BH141" s="654"/>
      <c r="BI141" s="373"/>
      <c r="BJ141" s="373"/>
      <c r="BK141" s="654"/>
      <c r="BL141" s="373"/>
      <c r="BM141" s="373"/>
      <c r="BN141" s="315"/>
      <c r="BO141" s="315"/>
      <c r="BP141" s="313"/>
      <c r="BQ141" s="349"/>
      <c r="BR141" s="349"/>
      <c r="BS141" s="348"/>
      <c r="BT141" s="349"/>
      <c r="BU141" s="349"/>
      <c r="BV141" s="313"/>
      <c r="BW141" s="313"/>
      <c r="BX141" s="315"/>
      <c r="BY141" s="373"/>
      <c r="BZ141" s="373"/>
      <c r="CA141" s="654"/>
      <c r="CB141" s="373"/>
      <c r="CC141" s="373"/>
      <c r="CD141" s="315"/>
      <c r="CE141" s="315"/>
      <c r="CF141" s="313"/>
      <c r="CG141" s="349"/>
      <c r="CH141" s="349"/>
      <c r="CI141" s="313"/>
      <c r="CJ141" s="349"/>
      <c r="CK141" s="349"/>
      <c r="CL141" s="313"/>
      <c r="CM141" s="313"/>
      <c r="CN141" s="315"/>
      <c r="CO141" s="373"/>
      <c r="CP141" s="373"/>
      <c r="CQ141" s="315"/>
      <c r="CR141" s="373"/>
      <c r="CS141" s="373"/>
      <c r="CT141" s="315"/>
      <c r="CU141" s="315"/>
      <c r="CV141" s="353"/>
      <c r="CW141" s="313"/>
      <c r="CX141" s="512"/>
      <c r="CY141" s="516"/>
      <c r="CZ141" s="517"/>
      <c r="DA141" s="516"/>
      <c r="DB141" s="517"/>
      <c r="DC141" s="516"/>
      <c r="DD141" s="517"/>
      <c r="DE141" s="516"/>
      <c r="DF141" s="517"/>
      <c r="DG141" s="516"/>
      <c r="DH141" s="517"/>
      <c r="DI141" s="516"/>
      <c r="DJ141" s="517"/>
      <c r="DK141" s="516"/>
      <c r="DL141" s="517"/>
      <c r="DM141" s="512"/>
      <c r="DN141" s="313"/>
      <c r="DO141" s="313"/>
      <c r="DP141" s="313"/>
      <c r="DQ141" s="313"/>
      <c r="DR141" s="313"/>
      <c r="DS141" s="313"/>
      <c r="DT141" s="313"/>
      <c r="DU141" s="313"/>
      <c r="DV141" s="313"/>
      <c r="DW141" s="313"/>
    </row>
    <row r="142" spans="1:127" s="2" customFormat="1">
      <c r="A142" s="347"/>
      <c r="B142" s="347"/>
      <c r="C142" s="268"/>
      <c r="D142" s="346"/>
      <c r="E142" s="347"/>
      <c r="F142" s="349"/>
      <c r="G142" s="349"/>
      <c r="H142" s="348"/>
      <c r="I142" s="347"/>
      <c r="J142" s="348"/>
      <c r="K142" s="349"/>
      <c r="L142" s="348"/>
      <c r="M142" s="347"/>
      <c r="N142" s="347"/>
      <c r="O142" s="313"/>
      <c r="P142" s="313"/>
      <c r="Q142" s="313"/>
      <c r="R142" s="313"/>
      <c r="S142" s="313"/>
      <c r="T142" s="348"/>
      <c r="U142" s="349"/>
      <c r="V142" s="349"/>
      <c r="W142" s="348"/>
      <c r="X142" s="348"/>
      <c r="Y142" s="349"/>
      <c r="Z142" s="313"/>
      <c r="AA142" s="313"/>
      <c r="AB142" s="654"/>
      <c r="AC142" s="373"/>
      <c r="AD142" s="373"/>
      <c r="AE142" s="654"/>
      <c r="AF142" s="654"/>
      <c r="AG142" s="373"/>
      <c r="AH142" s="315"/>
      <c r="AI142" s="315"/>
      <c r="AJ142" s="348"/>
      <c r="AK142" s="349"/>
      <c r="AL142" s="349"/>
      <c r="AM142" s="348"/>
      <c r="AN142" s="349"/>
      <c r="AO142" s="349"/>
      <c r="AP142" s="313"/>
      <c r="AQ142" s="313"/>
      <c r="AR142" s="654"/>
      <c r="AS142" s="373"/>
      <c r="AT142" s="373"/>
      <c r="AU142" s="654"/>
      <c r="AV142" s="373"/>
      <c r="AW142" s="373"/>
      <c r="AX142" s="315"/>
      <c r="AY142" s="315"/>
      <c r="AZ142" s="348"/>
      <c r="BA142" s="349"/>
      <c r="BB142" s="349"/>
      <c r="BC142" s="348"/>
      <c r="BD142" s="349"/>
      <c r="BE142" s="349"/>
      <c r="BF142" s="313"/>
      <c r="BG142" s="313"/>
      <c r="BH142" s="654"/>
      <c r="BI142" s="373"/>
      <c r="BJ142" s="373"/>
      <c r="BK142" s="654"/>
      <c r="BL142" s="373"/>
      <c r="BM142" s="373"/>
      <c r="BN142" s="315"/>
      <c r="BO142" s="315"/>
      <c r="BP142" s="313"/>
      <c r="BQ142" s="349"/>
      <c r="BR142" s="349"/>
      <c r="BS142" s="348"/>
      <c r="BT142" s="349"/>
      <c r="BU142" s="349"/>
      <c r="BV142" s="313"/>
      <c r="BW142" s="313"/>
      <c r="BX142" s="315"/>
      <c r="BY142" s="373"/>
      <c r="BZ142" s="373"/>
      <c r="CA142" s="654"/>
      <c r="CB142" s="373"/>
      <c r="CC142" s="373"/>
      <c r="CD142" s="315"/>
      <c r="CE142" s="315"/>
      <c r="CF142" s="313"/>
      <c r="CG142" s="349"/>
      <c r="CH142" s="349"/>
      <c r="CI142" s="313"/>
      <c r="CJ142" s="349"/>
      <c r="CK142" s="349"/>
      <c r="CL142" s="313"/>
      <c r="CM142" s="313"/>
      <c r="CN142" s="315"/>
      <c r="CO142" s="373"/>
      <c r="CP142" s="373"/>
      <c r="CQ142" s="315"/>
      <c r="CR142" s="373"/>
      <c r="CS142" s="373"/>
      <c r="CT142" s="315"/>
      <c r="CU142" s="315"/>
      <c r="CV142" s="353"/>
      <c r="CW142" s="313"/>
      <c r="CX142" s="512"/>
      <c r="CY142" s="516"/>
      <c r="CZ142" s="517"/>
      <c r="DA142" s="516"/>
      <c r="DB142" s="517"/>
      <c r="DC142" s="516"/>
      <c r="DD142" s="517"/>
      <c r="DE142" s="516"/>
      <c r="DF142" s="517"/>
      <c r="DG142" s="516"/>
      <c r="DH142" s="517"/>
      <c r="DI142" s="516"/>
      <c r="DJ142" s="517"/>
      <c r="DK142" s="516"/>
      <c r="DL142" s="517"/>
      <c r="DM142" s="512"/>
      <c r="DN142" s="313"/>
      <c r="DO142" s="313"/>
      <c r="DP142" s="313"/>
      <c r="DQ142" s="313"/>
      <c r="DR142" s="313"/>
      <c r="DS142" s="313"/>
      <c r="DT142" s="313"/>
      <c r="DU142" s="313"/>
      <c r="DV142" s="313"/>
      <c r="DW142" s="313"/>
    </row>
    <row r="143" spans="1:127" s="2" customFormat="1">
      <c r="A143" s="347"/>
      <c r="B143" s="347"/>
      <c r="C143" s="268"/>
      <c r="D143" s="346"/>
      <c r="E143" s="347"/>
      <c r="F143" s="349"/>
      <c r="G143" s="349"/>
      <c r="H143" s="348"/>
      <c r="I143" s="347"/>
      <c r="J143" s="348"/>
      <c r="K143" s="349"/>
      <c r="L143" s="348"/>
      <c r="M143" s="347"/>
      <c r="N143" s="347"/>
      <c r="O143" s="313"/>
      <c r="P143" s="313"/>
      <c r="Q143" s="313"/>
      <c r="R143" s="313"/>
      <c r="S143" s="313"/>
      <c r="T143" s="348"/>
      <c r="U143" s="349"/>
      <c r="V143" s="349"/>
      <c r="W143" s="348"/>
      <c r="X143" s="348"/>
      <c r="Y143" s="349"/>
      <c r="Z143" s="313"/>
      <c r="AA143" s="313"/>
      <c r="AB143" s="654"/>
      <c r="AC143" s="373"/>
      <c r="AD143" s="373"/>
      <c r="AE143" s="654"/>
      <c r="AF143" s="654"/>
      <c r="AG143" s="373"/>
      <c r="AH143" s="315"/>
      <c r="AI143" s="315"/>
      <c r="AJ143" s="348"/>
      <c r="AK143" s="349"/>
      <c r="AL143" s="349"/>
      <c r="AM143" s="348"/>
      <c r="AN143" s="349"/>
      <c r="AO143" s="349"/>
      <c r="AP143" s="313"/>
      <c r="AQ143" s="313"/>
      <c r="AR143" s="654"/>
      <c r="AS143" s="373"/>
      <c r="AT143" s="373"/>
      <c r="AU143" s="654"/>
      <c r="AV143" s="373"/>
      <c r="AW143" s="373"/>
      <c r="AX143" s="315"/>
      <c r="AY143" s="315"/>
      <c r="AZ143" s="348"/>
      <c r="BA143" s="349"/>
      <c r="BB143" s="349"/>
      <c r="BC143" s="348"/>
      <c r="BD143" s="349"/>
      <c r="BE143" s="349"/>
      <c r="BF143" s="313"/>
      <c r="BG143" s="313"/>
      <c r="BH143" s="654"/>
      <c r="BI143" s="373"/>
      <c r="BJ143" s="373"/>
      <c r="BK143" s="654"/>
      <c r="BL143" s="373"/>
      <c r="BM143" s="373"/>
      <c r="BN143" s="315"/>
      <c r="BO143" s="315"/>
      <c r="BP143" s="313"/>
      <c r="BQ143" s="349"/>
      <c r="BR143" s="349"/>
      <c r="BS143" s="348"/>
      <c r="BT143" s="349"/>
      <c r="BU143" s="349"/>
      <c r="BV143" s="313"/>
      <c r="BW143" s="313"/>
      <c r="BX143" s="315"/>
      <c r="BY143" s="373"/>
      <c r="BZ143" s="373"/>
      <c r="CA143" s="654"/>
      <c r="CB143" s="373"/>
      <c r="CC143" s="373"/>
      <c r="CD143" s="315"/>
      <c r="CE143" s="315"/>
      <c r="CF143" s="313"/>
      <c r="CG143" s="349"/>
      <c r="CH143" s="349"/>
      <c r="CI143" s="313"/>
      <c r="CJ143" s="349"/>
      <c r="CK143" s="349"/>
      <c r="CL143" s="313"/>
      <c r="CM143" s="313"/>
      <c r="CN143" s="315"/>
      <c r="CO143" s="373"/>
      <c r="CP143" s="373"/>
      <c r="CQ143" s="315"/>
      <c r="CR143" s="373"/>
      <c r="CS143" s="373"/>
      <c r="CT143" s="315"/>
      <c r="CU143" s="315"/>
      <c r="CV143" s="353"/>
      <c r="CW143" s="313"/>
      <c r="CX143" s="512"/>
      <c r="CY143" s="516"/>
      <c r="CZ143" s="517"/>
      <c r="DA143" s="516"/>
      <c r="DB143" s="517"/>
      <c r="DC143" s="516"/>
      <c r="DD143" s="517"/>
      <c r="DE143" s="516"/>
      <c r="DF143" s="517"/>
      <c r="DG143" s="516"/>
      <c r="DH143" s="517"/>
      <c r="DI143" s="516"/>
      <c r="DJ143" s="517"/>
      <c r="DK143" s="516"/>
      <c r="DL143" s="517"/>
      <c r="DM143" s="512"/>
      <c r="DN143" s="313"/>
      <c r="DO143" s="313"/>
      <c r="DP143" s="313"/>
      <c r="DQ143" s="313"/>
      <c r="DR143" s="313"/>
      <c r="DS143" s="313"/>
      <c r="DT143" s="313"/>
      <c r="DU143" s="313"/>
      <c r="DV143" s="313"/>
      <c r="DW143" s="313"/>
    </row>
    <row r="144" spans="1:127" s="2" customFormat="1">
      <c r="A144" s="347"/>
      <c r="B144" s="347"/>
      <c r="C144" s="268"/>
      <c r="D144" s="346"/>
      <c r="E144" s="347"/>
      <c r="F144" s="349"/>
      <c r="G144" s="349"/>
      <c r="H144" s="348"/>
      <c r="I144" s="347"/>
      <c r="J144" s="348"/>
      <c r="K144" s="349"/>
      <c r="L144" s="348"/>
      <c r="M144" s="347"/>
      <c r="N144" s="347"/>
      <c r="O144" s="313"/>
      <c r="P144" s="313"/>
      <c r="Q144" s="313"/>
      <c r="R144" s="313"/>
      <c r="S144" s="313"/>
      <c r="T144" s="348"/>
      <c r="U144" s="349"/>
      <c r="V144" s="349"/>
      <c r="W144" s="348"/>
      <c r="X144" s="348"/>
      <c r="Y144" s="349"/>
      <c r="Z144" s="313"/>
      <c r="AA144" s="313"/>
      <c r="AB144" s="654"/>
      <c r="AC144" s="373"/>
      <c r="AD144" s="373"/>
      <c r="AE144" s="654"/>
      <c r="AF144" s="654"/>
      <c r="AG144" s="373"/>
      <c r="AH144" s="315"/>
      <c r="AI144" s="315"/>
      <c r="AJ144" s="348"/>
      <c r="AK144" s="349"/>
      <c r="AL144" s="349"/>
      <c r="AM144" s="348"/>
      <c r="AN144" s="349"/>
      <c r="AO144" s="349"/>
      <c r="AP144" s="313"/>
      <c r="AQ144" s="313"/>
      <c r="AR144" s="654"/>
      <c r="AS144" s="373"/>
      <c r="AT144" s="373"/>
      <c r="AU144" s="654"/>
      <c r="AV144" s="373"/>
      <c r="AW144" s="373"/>
      <c r="AX144" s="315"/>
      <c r="AY144" s="315"/>
      <c r="AZ144" s="348"/>
      <c r="BA144" s="349"/>
      <c r="BB144" s="349"/>
      <c r="BC144" s="348"/>
      <c r="BD144" s="349"/>
      <c r="BE144" s="349"/>
      <c r="BF144" s="313"/>
      <c r="BG144" s="313"/>
      <c r="BH144" s="654"/>
      <c r="BI144" s="373"/>
      <c r="BJ144" s="373"/>
      <c r="BK144" s="654"/>
      <c r="BL144" s="373"/>
      <c r="BM144" s="373"/>
      <c r="BN144" s="315"/>
      <c r="BO144" s="315"/>
      <c r="BP144" s="313"/>
      <c r="BQ144" s="349"/>
      <c r="BR144" s="349"/>
      <c r="BS144" s="348"/>
      <c r="BT144" s="349"/>
      <c r="BU144" s="349"/>
      <c r="BV144" s="313"/>
      <c r="BW144" s="313"/>
      <c r="BX144" s="315"/>
      <c r="BY144" s="373"/>
      <c r="BZ144" s="373"/>
      <c r="CA144" s="654"/>
      <c r="CB144" s="373"/>
      <c r="CC144" s="373"/>
      <c r="CD144" s="315"/>
      <c r="CE144" s="315"/>
      <c r="CF144" s="313"/>
      <c r="CG144" s="349"/>
      <c r="CH144" s="349"/>
      <c r="CI144" s="313"/>
      <c r="CJ144" s="349"/>
      <c r="CK144" s="349"/>
      <c r="CL144" s="313"/>
      <c r="CM144" s="313"/>
      <c r="CN144" s="315"/>
      <c r="CO144" s="373"/>
      <c r="CP144" s="373"/>
      <c r="CQ144" s="315"/>
      <c r="CR144" s="373"/>
      <c r="CS144" s="373"/>
      <c r="CT144" s="315"/>
      <c r="CU144" s="315"/>
      <c r="CV144" s="353"/>
      <c r="CW144" s="313"/>
      <c r="CX144" s="512"/>
      <c r="CY144" s="516"/>
      <c r="CZ144" s="517"/>
      <c r="DA144" s="516"/>
      <c r="DB144" s="517"/>
      <c r="DC144" s="516"/>
      <c r="DD144" s="517"/>
      <c r="DE144" s="516"/>
      <c r="DF144" s="517"/>
      <c r="DG144" s="516"/>
      <c r="DH144" s="517"/>
      <c r="DI144" s="516"/>
      <c r="DJ144" s="517"/>
      <c r="DK144" s="516"/>
      <c r="DL144" s="517"/>
      <c r="DM144" s="512"/>
      <c r="DN144" s="313"/>
      <c r="DO144" s="313"/>
      <c r="DP144" s="313"/>
      <c r="DQ144" s="313"/>
      <c r="DR144" s="313"/>
      <c r="DS144" s="313"/>
      <c r="DT144" s="313"/>
      <c r="DU144" s="313"/>
      <c r="DV144" s="313"/>
      <c r="DW144" s="313"/>
    </row>
    <row r="145" spans="1:127" s="2" customFormat="1">
      <c r="A145" s="347"/>
      <c r="B145" s="347"/>
      <c r="C145" s="268"/>
      <c r="D145" s="346"/>
      <c r="E145" s="347"/>
      <c r="F145" s="349"/>
      <c r="G145" s="349"/>
      <c r="H145" s="348"/>
      <c r="I145" s="347"/>
      <c r="J145" s="348"/>
      <c r="K145" s="349"/>
      <c r="L145" s="348"/>
      <c r="M145" s="347"/>
      <c r="N145" s="347"/>
      <c r="O145" s="313"/>
      <c r="P145" s="313"/>
      <c r="Q145" s="313"/>
      <c r="R145" s="313"/>
      <c r="S145" s="313"/>
      <c r="T145" s="348"/>
      <c r="U145" s="349"/>
      <c r="V145" s="349"/>
      <c r="W145" s="348"/>
      <c r="X145" s="348"/>
      <c r="Y145" s="349"/>
      <c r="Z145" s="313"/>
      <c r="AA145" s="313"/>
      <c r="AB145" s="654"/>
      <c r="AC145" s="373"/>
      <c r="AD145" s="373"/>
      <c r="AE145" s="654"/>
      <c r="AF145" s="654"/>
      <c r="AG145" s="373"/>
      <c r="AH145" s="315"/>
      <c r="AI145" s="315"/>
      <c r="AJ145" s="348"/>
      <c r="AK145" s="349"/>
      <c r="AL145" s="349"/>
      <c r="AM145" s="348"/>
      <c r="AN145" s="349"/>
      <c r="AO145" s="349"/>
      <c r="AP145" s="313"/>
      <c r="AQ145" s="313"/>
      <c r="AR145" s="654"/>
      <c r="AS145" s="373"/>
      <c r="AT145" s="373"/>
      <c r="AU145" s="654"/>
      <c r="AV145" s="373"/>
      <c r="AW145" s="373"/>
      <c r="AX145" s="315"/>
      <c r="AY145" s="315"/>
      <c r="AZ145" s="348"/>
      <c r="BA145" s="349"/>
      <c r="BB145" s="349"/>
      <c r="BC145" s="348"/>
      <c r="BD145" s="349"/>
      <c r="BE145" s="349"/>
      <c r="BF145" s="313"/>
      <c r="BG145" s="313"/>
      <c r="BH145" s="654"/>
      <c r="BI145" s="373"/>
      <c r="BJ145" s="373"/>
      <c r="BK145" s="654"/>
      <c r="BL145" s="373"/>
      <c r="BM145" s="373"/>
      <c r="BN145" s="315"/>
      <c r="BO145" s="315"/>
      <c r="BP145" s="313"/>
      <c r="BQ145" s="349"/>
      <c r="BR145" s="349"/>
      <c r="BS145" s="348"/>
      <c r="BT145" s="349"/>
      <c r="BU145" s="349"/>
      <c r="BV145" s="313"/>
      <c r="BW145" s="313"/>
      <c r="BX145" s="315"/>
      <c r="BY145" s="373"/>
      <c r="BZ145" s="373"/>
      <c r="CA145" s="654"/>
      <c r="CB145" s="373"/>
      <c r="CC145" s="373"/>
      <c r="CD145" s="315"/>
      <c r="CE145" s="315"/>
      <c r="CF145" s="313"/>
      <c r="CG145" s="349"/>
      <c r="CH145" s="349"/>
      <c r="CI145" s="313"/>
      <c r="CJ145" s="349"/>
      <c r="CK145" s="349"/>
      <c r="CL145" s="313"/>
      <c r="CM145" s="313"/>
      <c r="CN145" s="315"/>
      <c r="CO145" s="373"/>
      <c r="CP145" s="373"/>
      <c r="CQ145" s="315"/>
      <c r="CR145" s="373"/>
      <c r="CS145" s="373"/>
      <c r="CT145" s="315"/>
      <c r="CU145" s="315"/>
      <c r="CV145" s="353"/>
      <c r="CW145" s="313"/>
      <c r="CX145" s="512"/>
      <c r="CY145" s="516"/>
      <c r="CZ145" s="517"/>
      <c r="DA145" s="516"/>
      <c r="DB145" s="517"/>
      <c r="DC145" s="516"/>
      <c r="DD145" s="517"/>
      <c r="DE145" s="516"/>
      <c r="DF145" s="517"/>
      <c r="DG145" s="516"/>
      <c r="DH145" s="517"/>
      <c r="DI145" s="516"/>
      <c r="DJ145" s="517"/>
      <c r="DK145" s="516"/>
      <c r="DL145" s="517"/>
      <c r="DM145" s="512"/>
      <c r="DN145" s="313"/>
      <c r="DO145" s="313"/>
      <c r="DP145" s="313"/>
      <c r="DQ145" s="313"/>
      <c r="DR145" s="313"/>
      <c r="DS145" s="313"/>
      <c r="DT145" s="313"/>
      <c r="DU145" s="313"/>
      <c r="DV145" s="313"/>
      <c r="DW145" s="313"/>
    </row>
    <row r="146" spans="1:127" s="2" customFormat="1">
      <c r="A146" s="347"/>
      <c r="B146" s="347"/>
      <c r="C146" s="268"/>
      <c r="D146" s="346"/>
      <c r="E146" s="347"/>
      <c r="F146" s="349"/>
      <c r="G146" s="349"/>
      <c r="H146" s="348"/>
      <c r="I146" s="347"/>
      <c r="J146" s="348"/>
      <c r="K146" s="349"/>
      <c r="L146" s="348"/>
      <c r="M146" s="347"/>
      <c r="N146" s="347"/>
      <c r="O146" s="313"/>
      <c r="P146" s="313"/>
      <c r="Q146" s="313"/>
      <c r="R146" s="313"/>
      <c r="S146" s="313"/>
      <c r="T146" s="348"/>
      <c r="U146" s="349"/>
      <c r="V146" s="349"/>
      <c r="W146" s="348"/>
      <c r="X146" s="348"/>
      <c r="Y146" s="349"/>
      <c r="Z146" s="313"/>
      <c r="AA146" s="313"/>
      <c r="AB146" s="654"/>
      <c r="AC146" s="373"/>
      <c r="AD146" s="373"/>
      <c r="AE146" s="654"/>
      <c r="AF146" s="654"/>
      <c r="AG146" s="373"/>
      <c r="AH146" s="315"/>
      <c r="AI146" s="315"/>
      <c r="AJ146" s="348"/>
      <c r="AK146" s="349"/>
      <c r="AL146" s="349"/>
      <c r="AM146" s="348"/>
      <c r="AN146" s="349"/>
      <c r="AO146" s="349"/>
      <c r="AP146" s="313"/>
      <c r="AQ146" s="313"/>
      <c r="AR146" s="654"/>
      <c r="AS146" s="373"/>
      <c r="AT146" s="373"/>
      <c r="AU146" s="654"/>
      <c r="AV146" s="373"/>
      <c r="AW146" s="373"/>
      <c r="AX146" s="315"/>
      <c r="AY146" s="315"/>
      <c r="AZ146" s="348"/>
      <c r="BA146" s="349"/>
      <c r="BB146" s="349"/>
      <c r="BC146" s="348"/>
      <c r="BD146" s="349"/>
      <c r="BE146" s="349"/>
      <c r="BF146" s="313"/>
      <c r="BG146" s="313"/>
      <c r="BH146" s="654"/>
      <c r="BI146" s="373"/>
      <c r="BJ146" s="373"/>
      <c r="BK146" s="654"/>
      <c r="BL146" s="373"/>
      <c r="BM146" s="373"/>
      <c r="BN146" s="315"/>
      <c r="BO146" s="315"/>
      <c r="BP146" s="313"/>
      <c r="BQ146" s="349"/>
      <c r="BR146" s="349"/>
      <c r="BS146" s="348"/>
      <c r="BT146" s="349"/>
      <c r="BU146" s="349"/>
      <c r="BV146" s="313"/>
      <c r="BW146" s="313"/>
      <c r="BX146" s="315"/>
      <c r="BY146" s="373"/>
      <c r="BZ146" s="373"/>
      <c r="CA146" s="654"/>
      <c r="CB146" s="373"/>
      <c r="CC146" s="373"/>
      <c r="CD146" s="315"/>
      <c r="CE146" s="315"/>
      <c r="CF146" s="313"/>
      <c r="CG146" s="349"/>
      <c r="CH146" s="349"/>
      <c r="CI146" s="313"/>
      <c r="CJ146" s="349"/>
      <c r="CK146" s="349"/>
      <c r="CL146" s="313"/>
      <c r="CM146" s="313"/>
      <c r="CN146" s="315"/>
      <c r="CO146" s="373"/>
      <c r="CP146" s="373"/>
      <c r="CQ146" s="315"/>
      <c r="CR146" s="373"/>
      <c r="CS146" s="373"/>
      <c r="CT146" s="315"/>
      <c r="CU146" s="315"/>
      <c r="CV146" s="353"/>
      <c r="CW146" s="313"/>
      <c r="CX146" s="512"/>
      <c r="CY146" s="516"/>
      <c r="CZ146" s="517"/>
      <c r="DA146" s="516"/>
      <c r="DB146" s="517"/>
      <c r="DC146" s="516"/>
      <c r="DD146" s="517"/>
      <c r="DE146" s="516"/>
      <c r="DF146" s="517"/>
      <c r="DG146" s="516"/>
      <c r="DH146" s="517"/>
      <c r="DI146" s="516"/>
      <c r="DJ146" s="517"/>
      <c r="DK146" s="516"/>
      <c r="DL146" s="517"/>
      <c r="DM146" s="512"/>
      <c r="DN146" s="313"/>
      <c r="DO146" s="313"/>
      <c r="DP146" s="313"/>
      <c r="DQ146" s="313"/>
      <c r="DR146" s="313"/>
      <c r="DS146" s="313"/>
      <c r="DT146" s="313"/>
      <c r="DU146" s="313"/>
      <c r="DV146" s="313"/>
      <c r="DW146" s="313"/>
    </row>
    <row r="147" spans="1:127" s="2" customFormat="1">
      <c r="A147" s="347"/>
      <c r="B147" s="347"/>
      <c r="C147" s="268"/>
      <c r="D147" s="346"/>
      <c r="E147" s="347"/>
      <c r="F147" s="349"/>
      <c r="G147" s="349"/>
      <c r="H147" s="348"/>
      <c r="I147" s="347"/>
      <c r="J147" s="348"/>
      <c r="K147" s="349"/>
      <c r="L147" s="348"/>
      <c r="M147" s="347"/>
      <c r="N147" s="347"/>
      <c r="O147" s="313"/>
      <c r="P147" s="313"/>
      <c r="Q147" s="313"/>
      <c r="R147" s="313"/>
      <c r="S147" s="313"/>
      <c r="T147" s="348"/>
      <c r="U147" s="349"/>
      <c r="V147" s="349"/>
      <c r="W147" s="348"/>
      <c r="X147" s="348"/>
      <c r="Y147" s="349"/>
      <c r="Z147" s="313"/>
      <c r="AA147" s="313"/>
      <c r="AB147" s="654"/>
      <c r="AC147" s="373"/>
      <c r="AD147" s="373"/>
      <c r="AE147" s="654"/>
      <c r="AF147" s="654"/>
      <c r="AG147" s="373"/>
      <c r="AH147" s="315"/>
      <c r="AI147" s="315"/>
      <c r="AJ147" s="348"/>
      <c r="AK147" s="349"/>
      <c r="AL147" s="349"/>
      <c r="AM147" s="348"/>
      <c r="AN147" s="349"/>
      <c r="AO147" s="349"/>
      <c r="AP147" s="313"/>
      <c r="AQ147" s="313"/>
      <c r="AR147" s="654"/>
      <c r="AS147" s="373"/>
      <c r="AT147" s="373"/>
      <c r="AU147" s="654"/>
      <c r="AV147" s="373"/>
      <c r="AW147" s="373"/>
      <c r="AX147" s="315"/>
      <c r="AY147" s="315"/>
      <c r="AZ147" s="348"/>
      <c r="BA147" s="349"/>
      <c r="BB147" s="349"/>
      <c r="BC147" s="348"/>
      <c r="BD147" s="349"/>
      <c r="BE147" s="349"/>
      <c r="BF147" s="313"/>
      <c r="BG147" s="313"/>
      <c r="BH147" s="654"/>
      <c r="BI147" s="373"/>
      <c r="BJ147" s="373"/>
      <c r="BK147" s="654"/>
      <c r="BL147" s="373"/>
      <c r="BM147" s="373"/>
      <c r="BN147" s="315"/>
      <c r="BO147" s="315"/>
      <c r="BP147" s="313"/>
      <c r="BQ147" s="349"/>
      <c r="BR147" s="349"/>
      <c r="BS147" s="348"/>
      <c r="BT147" s="349"/>
      <c r="BU147" s="349"/>
      <c r="BV147" s="313"/>
      <c r="BW147" s="313"/>
      <c r="BX147" s="315"/>
      <c r="BY147" s="373"/>
      <c r="BZ147" s="373"/>
      <c r="CA147" s="654"/>
      <c r="CB147" s="373"/>
      <c r="CC147" s="373"/>
      <c r="CD147" s="315"/>
      <c r="CE147" s="315"/>
      <c r="CF147" s="313"/>
      <c r="CG147" s="349"/>
      <c r="CH147" s="349"/>
      <c r="CI147" s="313"/>
      <c r="CJ147" s="349"/>
      <c r="CK147" s="349"/>
      <c r="CL147" s="313"/>
      <c r="CM147" s="313"/>
      <c r="CN147" s="315"/>
      <c r="CO147" s="373"/>
      <c r="CP147" s="373"/>
      <c r="CQ147" s="315"/>
      <c r="CR147" s="373"/>
      <c r="CS147" s="373"/>
      <c r="CT147" s="315"/>
      <c r="CU147" s="315"/>
      <c r="CV147" s="353"/>
      <c r="CW147" s="313"/>
      <c r="CX147" s="512"/>
      <c r="CY147" s="516"/>
      <c r="CZ147" s="517"/>
      <c r="DA147" s="516"/>
      <c r="DB147" s="517"/>
      <c r="DC147" s="516"/>
      <c r="DD147" s="517"/>
      <c r="DE147" s="516"/>
      <c r="DF147" s="517"/>
      <c r="DG147" s="516"/>
      <c r="DH147" s="517"/>
      <c r="DI147" s="516"/>
      <c r="DJ147" s="517"/>
      <c r="DK147" s="516"/>
      <c r="DL147" s="517"/>
      <c r="DM147" s="512"/>
      <c r="DN147" s="313"/>
      <c r="DO147" s="313"/>
      <c r="DP147" s="313"/>
      <c r="DQ147" s="313"/>
      <c r="DR147" s="313"/>
      <c r="DS147" s="313"/>
      <c r="DT147" s="313"/>
      <c r="DU147" s="313"/>
      <c r="DV147" s="313"/>
      <c r="DW147" s="313"/>
    </row>
    <row r="148" spans="1:127" s="2" customFormat="1">
      <c r="A148" s="347"/>
      <c r="B148" s="347"/>
      <c r="C148" s="268"/>
      <c r="D148" s="346"/>
      <c r="E148" s="347"/>
      <c r="F148" s="349"/>
      <c r="G148" s="349"/>
      <c r="H148" s="348"/>
      <c r="I148" s="347"/>
      <c r="J148" s="348"/>
      <c r="K148" s="349"/>
      <c r="L148" s="348"/>
      <c r="M148" s="347"/>
      <c r="N148" s="347"/>
      <c r="O148" s="313"/>
      <c r="P148" s="313"/>
      <c r="Q148" s="313"/>
      <c r="R148" s="313"/>
      <c r="S148" s="313"/>
      <c r="T148" s="348"/>
      <c r="U148" s="349"/>
      <c r="V148" s="349"/>
      <c r="W148" s="348"/>
      <c r="X148" s="348"/>
      <c r="Y148" s="349"/>
      <c r="Z148" s="313"/>
      <c r="AA148" s="313"/>
      <c r="AB148" s="654"/>
      <c r="AC148" s="373"/>
      <c r="AD148" s="373"/>
      <c r="AE148" s="654"/>
      <c r="AF148" s="654"/>
      <c r="AG148" s="373"/>
      <c r="AH148" s="315"/>
      <c r="AI148" s="315"/>
      <c r="AJ148" s="348"/>
      <c r="AK148" s="349"/>
      <c r="AL148" s="349"/>
      <c r="AM148" s="348"/>
      <c r="AN148" s="349"/>
      <c r="AO148" s="349"/>
      <c r="AP148" s="313"/>
      <c r="AQ148" s="313"/>
      <c r="AR148" s="654"/>
      <c r="AS148" s="373"/>
      <c r="AT148" s="373"/>
      <c r="AU148" s="654"/>
      <c r="AV148" s="373"/>
      <c r="AW148" s="373"/>
      <c r="AX148" s="315"/>
      <c r="AY148" s="315"/>
      <c r="AZ148" s="348"/>
      <c r="BA148" s="349"/>
      <c r="BB148" s="349"/>
      <c r="BC148" s="348"/>
      <c r="BD148" s="349"/>
      <c r="BE148" s="349"/>
      <c r="BF148" s="313"/>
      <c r="BG148" s="313"/>
      <c r="BH148" s="654"/>
      <c r="BI148" s="373"/>
      <c r="BJ148" s="373"/>
      <c r="BK148" s="654"/>
      <c r="BL148" s="373"/>
      <c r="BM148" s="373"/>
      <c r="BN148" s="315"/>
      <c r="BO148" s="315"/>
      <c r="BP148" s="313"/>
      <c r="BQ148" s="349"/>
      <c r="BR148" s="349"/>
      <c r="BS148" s="348"/>
      <c r="BT148" s="349"/>
      <c r="BU148" s="349"/>
      <c r="BV148" s="313"/>
      <c r="BW148" s="313"/>
      <c r="BX148" s="315"/>
      <c r="BY148" s="373"/>
      <c r="BZ148" s="373"/>
      <c r="CA148" s="654"/>
      <c r="CB148" s="373"/>
      <c r="CC148" s="373"/>
      <c r="CD148" s="315"/>
      <c r="CE148" s="315"/>
      <c r="CF148" s="313"/>
      <c r="CG148" s="349"/>
      <c r="CH148" s="349"/>
      <c r="CI148" s="313"/>
      <c r="CJ148" s="349"/>
      <c r="CK148" s="349"/>
      <c r="CL148" s="313"/>
      <c r="CM148" s="313"/>
      <c r="CN148" s="315"/>
      <c r="CO148" s="373"/>
      <c r="CP148" s="373"/>
      <c r="CQ148" s="315"/>
      <c r="CR148" s="373"/>
      <c r="CS148" s="373"/>
      <c r="CT148" s="315"/>
      <c r="CU148" s="315"/>
      <c r="CV148" s="353"/>
      <c r="CW148" s="313"/>
      <c r="CX148" s="512"/>
      <c r="CY148" s="516"/>
      <c r="CZ148" s="517"/>
      <c r="DA148" s="516"/>
      <c r="DB148" s="517"/>
      <c r="DC148" s="516"/>
      <c r="DD148" s="517"/>
      <c r="DE148" s="516"/>
      <c r="DF148" s="517"/>
      <c r="DG148" s="516"/>
      <c r="DH148" s="517"/>
      <c r="DI148" s="516"/>
      <c r="DJ148" s="517"/>
      <c r="DK148" s="516"/>
      <c r="DL148" s="517"/>
      <c r="DM148" s="512"/>
      <c r="DN148" s="313"/>
      <c r="DO148" s="313"/>
      <c r="DP148" s="313"/>
      <c r="DQ148" s="313"/>
      <c r="DR148" s="313"/>
      <c r="DS148" s="313"/>
      <c r="DT148" s="313"/>
      <c r="DU148" s="313"/>
      <c r="DV148" s="313"/>
      <c r="DW148" s="313"/>
    </row>
    <row r="149" spans="1:127" s="2" customFormat="1">
      <c r="A149" s="347"/>
      <c r="B149" s="347"/>
      <c r="C149" s="268"/>
      <c r="D149" s="346"/>
      <c r="E149" s="347"/>
      <c r="F149" s="349"/>
      <c r="G149" s="349"/>
      <c r="H149" s="348"/>
      <c r="I149" s="347"/>
      <c r="J149" s="348"/>
      <c r="K149" s="349"/>
      <c r="L149" s="348"/>
      <c r="M149" s="347"/>
      <c r="N149" s="347"/>
      <c r="O149" s="313"/>
      <c r="P149" s="313"/>
      <c r="Q149" s="313"/>
      <c r="R149" s="313"/>
      <c r="S149" s="313"/>
      <c r="T149" s="348"/>
      <c r="U149" s="349"/>
      <c r="V149" s="349"/>
      <c r="W149" s="348"/>
      <c r="X149" s="348"/>
      <c r="Y149" s="349"/>
      <c r="Z149" s="313"/>
      <c r="AA149" s="313"/>
      <c r="AB149" s="654"/>
      <c r="AC149" s="373"/>
      <c r="AD149" s="373"/>
      <c r="AE149" s="654"/>
      <c r="AF149" s="654"/>
      <c r="AG149" s="373"/>
      <c r="AH149" s="315"/>
      <c r="AI149" s="315"/>
      <c r="AJ149" s="348"/>
      <c r="AK149" s="349"/>
      <c r="AL149" s="349"/>
      <c r="AM149" s="348"/>
      <c r="AN149" s="349"/>
      <c r="AO149" s="349"/>
      <c r="AP149" s="313"/>
      <c r="AQ149" s="313"/>
      <c r="AR149" s="654"/>
      <c r="AS149" s="373"/>
      <c r="AT149" s="373"/>
      <c r="AU149" s="654"/>
      <c r="AV149" s="373"/>
      <c r="AW149" s="373"/>
      <c r="AX149" s="315"/>
      <c r="AY149" s="315"/>
      <c r="AZ149" s="348"/>
      <c r="BA149" s="349"/>
      <c r="BB149" s="349"/>
      <c r="BC149" s="348"/>
      <c r="BD149" s="349"/>
      <c r="BE149" s="349"/>
      <c r="BF149" s="313"/>
      <c r="BG149" s="313"/>
      <c r="BH149" s="654"/>
      <c r="BI149" s="373"/>
      <c r="BJ149" s="373"/>
      <c r="BK149" s="654"/>
      <c r="BL149" s="373"/>
      <c r="BM149" s="373"/>
      <c r="BN149" s="315"/>
      <c r="BO149" s="315"/>
      <c r="BP149" s="313"/>
      <c r="BQ149" s="349"/>
      <c r="BR149" s="349"/>
      <c r="BS149" s="348"/>
      <c r="BT149" s="349"/>
      <c r="BU149" s="349"/>
      <c r="BV149" s="313"/>
      <c r="BW149" s="313"/>
      <c r="BX149" s="315"/>
      <c r="BY149" s="373"/>
      <c r="BZ149" s="373"/>
      <c r="CA149" s="654"/>
      <c r="CB149" s="373"/>
      <c r="CC149" s="373"/>
      <c r="CD149" s="315"/>
      <c r="CE149" s="315"/>
      <c r="CF149" s="313"/>
      <c r="CG149" s="349"/>
      <c r="CH149" s="349"/>
      <c r="CI149" s="313"/>
      <c r="CJ149" s="349"/>
      <c r="CK149" s="349"/>
      <c r="CL149" s="313"/>
      <c r="CM149" s="313"/>
      <c r="CN149" s="315"/>
      <c r="CO149" s="373"/>
      <c r="CP149" s="373"/>
      <c r="CQ149" s="315"/>
      <c r="CR149" s="373"/>
      <c r="CS149" s="373"/>
      <c r="CT149" s="315"/>
      <c r="CU149" s="315"/>
      <c r="CV149" s="353"/>
      <c r="CW149" s="313"/>
      <c r="CX149" s="512"/>
      <c r="CY149" s="516"/>
      <c r="CZ149" s="517"/>
      <c r="DA149" s="516"/>
      <c r="DB149" s="517"/>
      <c r="DC149" s="516"/>
      <c r="DD149" s="517"/>
      <c r="DE149" s="516"/>
      <c r="DF149" s="517"/>
      <c r="DG149" s="516"/>
      <c r="DH149" s="517"/>
      <c r="DI149" s="516"/>
      <c r="DJ149" s="517"/>
      <c r="DK149" s="516"/>
      <c r="DL149" s="517"/>
      <c r="DM149" s="512"/>
      <c r="DN149" s="313"/>
      <c r="DO149" s="313"/>
      <c r="DP149" s="313"/>
      <c r="DQ149" s="313"/>
      <c r="DR149" s="313"/>
      <c r="DS149" s="313"/>
      <c r="DT149" s="313"/>
      <c r="DU149" s="313"/>
      <c r="DV149" s="313"/>
      <c r="DW149" s="313"/>
    </row>
    <row r="150" spans="1:127" s="2" customFormat="1">
      <c r="A150" s="347"/>
      <c r="B150" s="347"/>
      <c r="C150" s="268"/>
      <c r="D150" s="346"/>
      <c r="E150" s="347"/>
      <c r="F150" s="349"/>
      <c r="G150" s="349"/>
      <c r="H150" s="348"/>
      <c r="I150" s="347"/>
      <c r="J150" s="348"/>
      <c r="K150" s="349"/>
      <c r="L150" s="348"/>
      <c r="M150" s="347"/>
      <c r="N150" s="347"/>
      <c r="O150" s="313"/>
      <c r="P150" s="313"/>
      <c r="Q150" s="313"/>
      <c r="R150" s="313"/>
      <c r="S150" s="313"/>
      <c r="T150" s="348"/>
      <c r="U150" s="349"/>
      <c r="V150" s="349"/>
      <c r="W150" s="348"/>
      <c r="X150" s="348"/>
      <c r="Y150" s="349"/>
      <c r="Z150" s="313"/>
      <c r="AA150" s="313"/>
      <c r="AB150" s="654"/>
      <c r="AC150" s="373"/>
      <c r="AD150" s="373"/>
      <c r="AE150" s="654"/>
      <c r="AF150" s="654"/>
      <c r="AG150" s="373"/>
      <c r="AH150" s="315"/>
      <c r="AI150" s="315"/>
      <c r="AJ150" s="348"/>
      <c r="AK150" s="349"/>
      <c r="AL150" s="349"/>
      <c r="AM150" s="348"/>
      <c r="AN150" s="349"/>
      <c r="AO150" s="349"/>
      <c r="AP150" s="313"/>
      <c r="AQ150" s="313"/>
      <c r="AR150" s="654"/>
      <c r="AS150" s="373"/>
      <c r="AT150" s="373"/>
      <c r="AU150" s="654"/>
      <c r="AV150" s="373"/>
      <c r="AW150" s="373"/>
      <c r="AX150" s="315"/>
      <c r="AY150" s="315"/>
      <c r="AZ150" s="348"/>
      <c r="BA150" s="349"/>
      <c r="BB150" s="349"/>
      <c r="BC150" s="348"/>
      <c r="BD150" s="349"/>
      <c r="BE150" s="349"/>
      <c r="BF150" s="313"/>
      <c r="BG150" s="313"/>
      <c r="BH150" s="654"/>
      <c r="BI150" s="373"/>
      <c r="BJ150" s="373"/>
      <c r="BK150" s="654"/>
      <c r="BL150" s="373"/>
      <c r="BM150" s="373"/>
      <c r="BN150" s="315"/>
      <c r="BO150" s="315"/>
      <c r="BP150" s="313"/>
      <c r="BQ150" s="349"/>
      <c r="BR150" s="349"/>
      <c r="BS150" s="348"/>
      <c r="BT150" s="349"/>
      <c r="BU150" s="349"/>
      <c r="BV150" s="313"/>
      <c r="BW150" s="313"/>
      <c r="BX150" s="315"/>
      <c r="BY150" s="373"/>
      <c r="BZ150" s="373"/>
      <c r="CA150" s="654"/>
      <c r="CB150" s="373"/>
      <c r="CC150" s="373"/>
      <c r="CD150" s="315"/>
      <c r="CE150" s="315"/>
      <c r="CF150" s="313"/>
      <c r="CG150" s="349"/>
      <c r="CH150" s="349"/>
      <c r="CI150" s="313"/>
      <c r="CJ150" s="349"/>
      <c r="CK150" s="349"/>
      <c r="CL150" s="313"/>
      <c r="CM150" s="313"/>
      <c r="CN150" s="315"/>
      <c r="CO150" s="373"/>
      <c r="CP150" s="373"/>
      <c r="CQ150" s="315"/>
      <c r="CR150" s="373"/>
      <c r="CS150" s="373"/>
      <c r="CT150" s="315"/>
      <c r="CU150" s="315"/>
      <c r="CV150" s="353"/>
      <c r="CW150" s="313"/>
      <c r="CX150" s="512"/>
      <c r="CY150" s="516"/>
      <c r="CZ150" s="517"/>
      <c r="DA150" s="516"/>
      <c r="DB150" s="517"/>
      <c r="DC150" s="516"/>
      <c r="DD150" s="517"/>
      <c r="DE150" s="516"/>
      <c r="DF150" s="517"/>
      <c r="DG150" s="516"/>
      <c r="DH150" s="517"/>
      <c r="DI150" s="516"/>
      <c r="DJ150" s="517"/>
      <c r="DK150" s="516"/>
      <c r="DL150" s="517"/>
      <c r="DM150" s="512"/>
      <c r="DN150" s="313"/>
      <c r="DO150" s="313"/>
      <c r="DP150" s="313"/>
      <c r="DQ150" s="313"/>
      <c r="DR150" s="313"/>
      <c r="DS150" s="313"/>
      <c r="DT150" s="313"/>
      <c r="DU150" s="313"/>
      <c r="DV150" s="313"/>
      <c r="DW150" s="313"/>
    </row>
    <row r="151" spans="1:127" s="2" customFormat="1">
      <c r="A151" s="347"/>
      <c r="B151" s="347"/>
      <c r="C151" s="268"/>
      <c r="D151" s="346"/>
      <c r="E151" s="347"/>
      <c r="F151" s="349"/>
      <c r="G151" s="349"/>
      <c r="H151" s="348"/>
      <c r="I151" s="347"/>
      <c r="J151" s="348"/>
      <c r="K151" s="349"/>
      <c r="L151" s="348"/>
      <c r="M151" s="347"/>
      <c r="N151" s="347"/>
      <c r="O151" s="313"/>
      <c r="P151" s="313"/>
      <c r="Q151" s="313"/>
      <c r="R151" s="313"/>
      <c r="S151" s="313"/>
      <c r="T151" s="348"/>
      <c r="U151" s="349"/>
      <c r="V151" s="349"/>
      <c r="W151" s="348"/>
      <c r="X151" s="348"/>
      <c r="Y151" s="349"/>
      <c r="Z151" s="313"/>
      <c r="AA151" s="313"/>
      <c r="AB151" s="654"/>
      <c r="AC151" s="373"/>
      <c r="AD151" s="373"/>
      <c r="AE151" s="654"/>
      <c r="AF151" s="654"/>
      <c r="AG151" s="373"/>
      <c r="AH151" s="315"/>
      <c r="AI151" s="315"/>
      <c r="AJ151" s="348"/>
      <c r="AK151" s="349"/>
      <c r="AL151" s="349"/>
      <c r="AM151" s="348"/>
      <c r="AN151" s="349"/>
      <c r="AO151" s="349"/>
      <c r="AP151" s="313"/>
      <c r="AQ151" s="313"/>
      <c r="AR151" s="654"/>
      <c r="AS151" s="373"/>
      <c r="AT151" s="373"/>
      <c r="AU151" s="654"/>
      <c r="AV151" s="373"/>
      <c r="AW151" s="373"/>
      <c r="AX151" s="315"/>
      <c r="AY151" s="315"/>
      <c r="AZ151" s="348"/>
      <c r="BA151" s="349"/>
      <c r="BB151" s="349"/>
      <c r="BC151" s="348"/>
      <c r="BD151" s="349"/>
      <c r="BE151" s="349"/>
      <c r="BF151" s="313"/>
      <c r="BG151" s="313"/>
      <c r="BH151" s="654"/>
      <c r="BI151" s="373"/>
      <c r="BJ151" s="373"/>
      <c r="BK151" s="654"/>
      <c r="BL151" s="373"/>
      <c r="BM151" s="373"/>
      <c r="BN151" s="315"/>
      <c r="BO151" s="315"/>
      <c r="BP151" s="313"/>
      <c r="BQ151" s="349"/>
      <c r="BR151" s="349"/>
      <c r="BS151" s="348"/>
      <c r="BT151" s="349"/>
      <c r="BU151" s="349"/>
      <c r="BV151" s="313"/>
      <c r="BW151" s="313"/>
      <c r="BX151" s="315"/>
      <c r="BY151" s="373"/>
      <c r="BZ151" s="373"/>
      <c r="CA151" s="654"/>
      <c r="CB151" s="373"/>
      <c r="CC151" s="373"/>
      <c r="CD151" s="315"/>
      <c r="CE151" s="315"/>
      <c r="CF151" s="313"/>
      <c r="CG151" s="349"/>
      <c r="CH151" s="349"/>
      <c r="CI151" s="313"/>
      <c r="CJ151" s="349"/>
      <c r="CK151" s="349"/>
      <c r="CL151" s="313"/>
      <c r="CM151" s="313"/>
      <c r="CN151" s="315"/>
      <c r="CO151" s="373"/>
      <c r="CP151" s="373"/>
      <c r="CQ151" s="315"/>
      <c r="CR151" s="373"/>
      <c r="CS151" s="373"/>
      <c r="CT151" s="315"/>
      <c r="CU151" s="315"/>
      <c r="CV151" s="353"/>
      <c r="CW151" s="313"/>
      <c r="CX151" s="512"/>
      <c r="CY151" s="516"/>
      <c r="CZ151" s="517"/>
      <c r="DA151" s="516"/>
      <c r="DB151" s="517"/>
      <c r="DC151" s="516"/>
      <c r="DD151" s="517"/>
      <c r="DE151" s="516"/>
      <c r="DF151" s="517"/>
      <c r="DG151" s="516"/>
      <c r="DH151" s="517"/>
      <c r="DI151" s="516"/>
      <c r="DJ151" s="517"/>
      <c r="DK151" s="516"/>
      <c r="DL151" s="517"/>
      <c r="DM151" s="512"/>
      <c r="DN151" s="313"/>
      <c r="DO151" s="313"/>
      <c r="DP151" s="313"/>
      <c r="DQ151" s="313"/>
      <c r="DR151" s="313"/>
      <c r="DS151" s="313"/>
      <c r="DT151" s="313"/>
      <c r="DU151" s="313"/>
      <c r="DV151" s="313"/>
      <c r="DW151" s="313"/>
    </row>
    <row r="152" spans="1:127" s="2" customFormat="1">
      <c r="A152" s="347"/>
      <c r="B152" s="347"/>
      <c r="C152" s="268"/>
      <c r="D152" s="346"/>
      <c r="E152" s="347"/>
      <c r="F152" s="349"/>
      <c r="G152" s="349"/>
      <c r="H152" s="348"/>
      <c r="I152" s="347"/>
      <c r="J152" s="348"/>
      <c r="K152" s="349"/>
      <c r="L152" s="348"/>
      <c r="M152" s="347"/>
      <c r="N152" s="347"/>
      <c r="O152" s="313"/>
      <c r="P152" s="313"/>
      <c r="Q152" s="313"/>
      <c r="R152" s="313"/>
      <c r="S152" s="313"/>
      <c r="T152" s="348"/>
      <c r="U152" s="349"/>
      <c r="V152" s="349"/>
      <c r="W152" s="348"/>
      <c r="X152" s="348"/>
      <c r="Y152" s="349"/>
      <c r="Z152" s="313"/>
      <c r="AA152" s="313"/>
      <c r="AB152" s="654"/>
      <c r="AC152" s="373"/>
      <c r="AD152" s="373"/>
      <c r="AE152" s="654"/>
      <c r="AF152" s="654"/>
      <c r="AG152" s="373"/>
      <c r="AH152" s="315"/>
      <c r="AI152" s="315"/>
      <c r="AJ152" s="348"/>
      <c r="AK152" s="349"/>
      <c r="AL152" s="349"/>
      <c r="AM152" s="348"/>
      <c r="AN152" s="349"/>
      <c r="AO152" s="349"/>
      <c r="AP152" s="313"/>
      <c r="AQ152" s="313"/>
      <c r="AR152" s="654"/>
      <c r="AS152" s="373"/>
      <c r="AT152" s="373"/>
      <c r="AU152" s="654"/>
      <c r="AV152" s="373"/>
      <c r="AW152" s="373"/>
      <c r="AX152" s="315"/>
      <c r="AY152" s="315"/>
      <c r="AZ152" s="348"/>
      <c r="BA152" s="349"/>
      <c r="BB152" s="349"/>
      <c r="BC152" s="348"/>
      <c r="BD152" s="349"/>
      <c r="BE152" s="349"/>
      <c r="BF152" s="313"/>
      <c r="BG152" s="313"/>
      <c r="BH152" s="654"/>
      <c r="BI152" s="373"/>
      <c r="BJ152" s="373"/>
      <c r="BK152" s="654"/>
      <c r="BL152" s="373"/>
      <c r="BM152" s="373"/>
      <c r="BN152" s="315"/>
      <c r="BO152" s="315"/>
      <c r="BP152" s="313"/>
      <c r="BQ152" s="349"/>
      <c r="BR152" s="349"/>
      <c r="BS152" s="348"/>
      <c r="BT152" s="349"/>
      <c r="BU152" s="349"/>
      <c r="BV152" s="313"/>
      <c r="BW152" s="313"/>
      <c r="BX152" s="315"/>
      <c r="BY152" s="373"/>
      <c r="BZ152" s="373"/>
      <c r="CA152" s="654"/>
      <c r="CB152" s="373"/>
      <c r="CC152" s="373"/>
      <c r="CD152" s="315"/>
      <c r="CE152" s="315"/>
      <c r="CF152" s="313"/>
      <c r="CG152" s="349"/>
      <c r="CH152" s="349"/>
      <c r="CI152" s="313"/>
      <c r="CJ152" s="349"/>
      <c r="CK152" s="349"/>
      <c r="CL152" s="313"/>
      <c r="CM152" s="313"/>
      <c r="CN152" s="315"/>
      <c r="CO152" s="373"/>
      <c r="CP152" s="373"/>
      <c r="CQ152" s="315"/>
      <c r="CR152" s="373"/>
      <c r="CS152" s="373"/>
      <c r="CT152" s="315"/>
      <c r="CU152" s="315"/>
      <c r="CV152" s="353"/>
      <c r="CW152" s="313"/>
      <c r="CX152" s="512"/>
      <c r="CY152" s="516"/>
      <c r="CZ152" s="517"/>
      <c r="DA152" s="516"/>
      <c r="DB152" s="517"/>
      <c r="DC152" s="516"/>
      <c r="DD152" s="517"/>
      <c r="DE152" s="516"/>
      <c r="DF152" s="517"/>
      <c r="DG152" s="516"/>
      <c r="DH152" s="517"/>
      <c r="DI152" s="516"/>
      <c r="DJ152" s="517"/>
      <c r="DK152" s="516"/>
      <c r="DL152" s="517"/>
      <c r="DM152" s="512"/>
      <c r="DN152" s="313"/>
      <c r="DO152" s="313"/>
      <c r="DP152" s="313"/>
      <c r="DQ152" s="313"/>
      <c r="DR152" s="313"/>
      <c r="DS152" s="313"/>
      <c r="DT152" s="313"/>
      <c r="DU152" s="313"/>
      <c r="DV152" s="313"/>
      <c r="DW152" s="313"/>
    </row>
    <row r="153" spans="1:127" s="2" customFormat="1">
      <c r="A153" s="347"/>
      <c r="B153" s="347"/>
      <c r="C153" s="268"/>
      <c r="D153" s="346"/>
      <c r="E153" s="347"/>
      <c r="F153" s="349"/>
      <c r="G153" s="349"/>
      <c r="H153" s="348"/>
      <c r="I153" s="347"/>
      <c r="J153" s="348"/>
      <c r="K153" s="349"/>
      <c r="L153" s="348"/>
      <c r="M153" s="347"/>
      <c r="N153" s="347"/>
      <c r="O153" s="313"/>
      <c r="P153" s="313"/>
      <c r="Q153" s="313"/>
      <c r="R153" s="313"/>
      <c r="S153" s="313"/>
      <c r="T153" s="348"/>
      <c r="U153" s="349"/>
      <c r="V153" s="349"/>
      <c r="W153" s="348"/>
      <c r="X153" s="348"/>
      <c r="Y153" s="349"/>
      <c r="Z153" s="313"/>
      <c r="AA153" s="313"/>
      <c r="AB153" s="654"/>
      <c r="AC153" s="373"/>
      <c r="AD153" s="373"/>
      <c r="AE153" s="654"/>
      <c r="AF153" s="654"/>
      <c r="AG153" s="373"/>
      <c r="AH153" s="315"/>
      <c r="AI153" s="315"/>
      <c r="AJ153" s="348"/>
      <c r="AK153" s="349"/>
      <c r="AL153" s="349"/>
      <c r="AM153" s="348"/>
      <c r="AN153" s="349"/>
      <c r="AO153" s="349"/>
      <c r="AP153" s="313"/>
      <c r="AQ153" s="313"/>
      <c r="AR153" s="654"/>
      <c r="AS153" s="373"/>
      <c r="AT153" s="373"/>
      <c r="AU153" s="654"/>
      <c r="AV153" s="373"/>
      <c r="AW153" s="373"/>
      <c r="AX153" s="315"/>
      <c r="AY153" s="315"/>
      <c r="AZ153" s="348"/>
      <c r="BA153" s="349"/>
      <c r="BB153" s="349"/>
      <c r="BC153" s="348"/>
      <c r="BD153" s="349"/>
      <c r="BE153" s="349"/>
      <c r="BF153" s="313"/>
      <c r="BG153" s="313"/>
      <c r="BH153" s="654"/>
      <c r="BI153" s="373"/>
      <c r="BJ153" s="373"/>
      <c r="BK153" s="654"/>
      <c r="BL153" s="373"/>
      <c r="BM153" s="373"/>
      <c r="BN153" s="315"/>
      <c r="BO153" s="315"/>
      <c r="BP153" s="313"/>
      <c r="BQ153" s="349"/>
      <c r="BR153" s="349"/>
      <c r="BS153" s="348"/>
      <c r="BT153" s="349"/>
      <c r="BU153" s="349"/>
      <c r="BV153" s="313"/>
      <c r="BW153" s="313"/>
      <c r="BX153" s="315"/>
      <c r="BY153" s="373"/>
      <c r="BZ153" s="373"/>
      <c r="CA153" s="654"/>
      <c r="CB153" s="373"/>
      <c r="CC153" s="373"/>
      <c r="CD153" s="315"/>
      <c r="CE153" s="315"/>
      <c r="CF153" s="313"/>
      <c r="CG153" s="349"/>
      <c r="CH153" s="349"/>
      <c r="CI153" s="313"/>
      <c r="CJ153" s="349"/>
      <c r="CK153" s="349"/>
      <c r="CL153" s="313"/>
      <c r="CM153" s="313"/>
      <c r="CN153" s="315"/>
      <c r="CO153" s="373"/>
      <c r="CP153" s="373"/>
      <c r="CQ153" s="315"/>
      <c r="CR153" s="373"/>
      <c r="CS153" s="373"/>
      <c r="CT153" s="315"/>
      <c r="CU153" s="315"/>
      <c r="CV153" s="353"/>
      <c r="CW153" s="313"/>
      <c r="CX153" s="512"/>
      <c r="CY153" s="516"/>
      <c r="CZ153" s="517"/>
      <c r="DA153" s="516"/>
      <c r="DB153" s="517"/>
      <c r="DC153" s="516"/>
      <c r="DD153" s="517"/>
      <c r="DE153" s="516"/>
      <c r="DF153" s="517"/>
      <c r="DG153" s="516"/>
      <c r="DH153" s="517"/>
      <c r="DI153" s="516"/>
      <c r="DJ153" s="517"/>
      <c r="DK153" s="516"/>
      <c r="DL153" s="517"/>
      <c r="DM153" s="512"/>
      <c r="DN153" s="313"/>
      <c r="DO153" s="313"/>
      <c r="DP153" s="313"/>
      <c r="DQ153" s="313"/>
      <c r="DR153" s="313"/>
      <c r="DS153" s="313"/>
      <c r="DT153" s="313"/>
      <c r="DU153" s="313"/>
      <c r="DV153" s="313"/>
      <c r="DW153" s="313"/>
    </row>
    <row r="154" spans="1:127" s="2" customFormat="1">
      <c r="A154" s="347"/>
      <c r="B154" s="347"/>
      <c r="C154" s="268"/>
      <c r="D154" s="346"/>
      <c r="E154" s="347"/>
      <c r="F154" s="349"/>
      <c r="G154" s="349"/>
      <c r="H154" s="348"/>
      <c r="I154" s="347"/>
      <c r="J154" s="348"/>
      <c r="K154" s="349"/>
      <c r="L154" s="348"/>
      <c r="M154" s="347"/>
      <c r="N154" s="347"/>
      <c r="O154" s="313"/>
      <c r="P154" s="313"/>
      <c r="Q154" s="313"/>
      <c r="R154" s="313"/>
      <c r="S154" s="313"/>
      <c r="T154" s="348"/>
      <c r="U154" s="349"/>
      <c r="V154" s="349"/>
      <c r="W154" s="348"/>
      <c r="X154" s="348"/>
      <c r="Y154" s="349"/>
      <c r="Z154" s="313"/>
      <c r="AA154" s="313"/>
      <c r="AB154" s="654"/>
      <c r="AC154" s="373"/>
      <c r="AD154" s="373"/>
      <c r="AE154" s="654"/>
      <c r="AF154" s="654"/>
      <c r="AG154" s="373"/>
      <c r="AH154" s="315"/>
      <c r="AI154" s="315"/>
      <c r="AJ154" s="348"/>
      <c r="AK154" s="349"/>
      <c r="AL154" s="349"/>
      <c r="AM154" s="348"/>
      <c r="AN154" s="349"/>
      <c r="AO154" s="349"/>
      <c r="AP154" s="313"/>
      <c r="AQ154" s="313"/>
      <c r="AR154" s="654"/>
      <c r="AS154" s="373"/>
      <c r="AT154" s="373"/>
      <c r="AU154" s="654"/>
      <c r="AV154" s="373"/>
      <c r="AW154" s="373"/>
      <c r="AX154" s="315"/>
      <c r="AY154" s="315"/>
      <c r="AZ154" s="348"/>
      <c r="BA154" s="349"/>
      <c r="BB154" s="349"/>
      <c r="BC154" s="348"/>
      <c r="BD154" s="349"/>
      <c r="BE154" s="349"/>
      <c r="BF154" s="313"/>
      <c r="BG154" s="313"/>
      <c r="BH154" s="654"/>
      <c r="BI154" s="373"/>
      <c r="BJ154" s="373"/>
      <c r="BK154" s="654"/>
      <c r="BL154" s="373"/>
      <c r="BM154" s="373"/>
      <c r="BN154" s="315"/>
      <c r="BO154" s="315"/>
      <c r="BP154" s="313"/>
      <c r="BQ154" s="349"/>
      <c r="BR154" s="349"/>
      <c r="BS154" s="348"/>
      <c r="BT154" s="349"/>
      <c r="BU154" s="349"/>
      <c r="BV154" s="313"/>
      <c r="BW154" s="313"/>
      <c r="BX154" s="315"/>
      <c r="BY154" s="373"/>
      <c r="BZ154" s="373"/>
      <c r="CA154" s="654"/>
      <c r="CB154" s="373"/>
      <c r="CC154" s="373"/>
      <c r="CD154" s="315"/>
      <c r="CE154" s="315"/>
      <c r="CF154" s="313"/>
      <c r="CG154" s="349"/>
      <c r="CH154" s="349"/>
      <c r="CI154" s="313"/>
      <c r="CJ154" s="349"/>
      <c r="CK154" s="349"/>
      <c r="CL154" s="313"/>
      <c r="CM154" s="313"/>
      <c r="CN154" s="315"/>
      <c r="CO154" s="373"/>
      <c r="CP154" s="373"/>
      <c r="CQ154" s="315"/>
      <c r="CR154" s="373"/>
      <c r="CS154" s="373"/>
      <c r="CT154" s="315"/>
      <c r="CU154" s="315"/>
      <c r="CV154" s="353"/>
      <c r="CW154" s="313"/>
      <c r="CX154" s="512"/>
      <c r="CY154" s="516"/>
      <c r="CZ154" s="517"/>
      <c r="DA154" s="516"/>
      <c r="DB154" s="517"/>
      <c r="DC154" s="516"/>
      <c r="DD154" s="517"/>
      <c r="DE154" s="516"/>
      <c r="DF154" s="517"/>
      <c r="DG154" s="516"/>
      <c r="DH154" s="517"/>
      <c r="DI154" s="516"/>
      <c r="DJ154" s="517"/>
      <c r="DK154" s="516"/>
      <c r="DL154" s="517"/>
      <c r="DM154" s="512"/>
      <c r="DN154" s="313"/>
      <c r="DO154" s="313"/>
      <c r="DP154" s="313"/>
      <c r="DQ154" s="313"/>
      <c r="DR154" s="313"/>
      <c r="DS154" s="313"/>
      <c r="DT154" s="313"/>
      <c r="DU154" s="313"/>
      <c r="DV154" s="313"/>
      <c r="DW154" s="313"/>
    </row>
    <row r="155" spans="1:127" s="2" customFormat="1">
      <c r="A155" s="347"/>
      <c r="B155" s="347"/>
      <c r="C155" s="268"/>
      <c r="D155" s="346"/>
      <c r="E155" s="347"/>
      <c r="F155" s="349"/>
      <c r="G155" s="349"/>
      <c r="H155" s="348"/>
      <c r="I155" s="347"/>
      <c r="J155" s="348"/>
      <c r="K155" s="349"/>
      <c r="L155" s="348"/>
      <c r="M155" s="347"/>
      <c r="N155" s="347"/>
      <c r="O155" s="313"/>
      <c r="P155" s="313"/>
      <c r="Q155" s="313"/>
      <c r="R155" s="313"/>
      <c r="S155" s="313"/>
      <c r="T155" s="348"/>
      <c r="U155" s="349"/>
      <c r="V155" s="349"/>
      <c r="W155" s="348"/>
      <c r="X155" s="348"/>
      <c r="Y155" s="349"/>
      <c r="Z155" s="313"/>
      <c r="AA155" s="313"/>
      <c r="AB155" s="654"/>
      <c r="AC155" s="373"/>
      <c r="AD155" s="373"/>
      <c r="AE155" s="654"/>
      <c r="AF155" s="654"/>
      <c r="AG155" s="373"/>
      <c r="AH155" s="315"/>
      <c r="AI155" s="315"/>
      <c r="AJ155" s="348"/>
      <c r="AK155" s="349"/>
      <c r="AL155" s="349"/>
      <c r="AM155" s="348"/>
      <c r="AN155" s="349"/>
      <c r="AO155" s="349"/>
      <c r="AP155" s="313"/>
      <c r="AQ155" s="313"/>
      <c r="AR155" s="654"/>
      <c r="AS155" s="373"/>
      <c r="AT155" s="373"/>
      <c r="AU155" s="654"/>
      <c r="AV155" s="373"/>
      <c r="AW155" s="373"/>
      <c r="AX155" s="315"/>
      <c r="AY155" s="315"/>
      <c r="AZ155" s="348"/>
      <c r="BA155" s="349"/>
      <c r="BB155" s="349"/>
      <c r="BC155" s="348"/>
      <c r="BD155" s="349"/>
      <c r="BE155" s="349"/>
      <c r="BF155" s="313"/>
      <c r="BG155" s="313"/>
      <c r="BH155" s="654"/>
      <c r="BI155" s="373"/>
      <c r="BJ155" s="373"/>
      <c r="BK155" s="654"/>
      <c r="BL155" s="373"/>
      <c r="BM155" s="373"/>
      <c r="BN155" s="315"/>
      <c r="BO155" s="315"/>
      <c r="BP155" s="313"/>
      <c r="BQ155" s="349"/>
      <c r="BR155" s="349"/>
      <c r="BS155" s="348"/>
      <c r="BT155" s="349"/>
      <c r="BU155" s="349"/>
      <c r="BV155" s="313"/>
      <c r="BW155" s="313"/>
      <c r="BX155" s="315"/>
      <c r="BY155" s="373"/>
      <c r="BZ155" s="373"/>
      <c r="CA155" s="654"/>
      <c r="CB155" s="373"/>
      <c r="CC155" s="373"/>
      <c r="CD155" s="315"/>
      <c r="CE155" s="315"/>
      <c r="CF155" s="313"/>
      <c r="CG155" s="349"/>
      <c r="CH155" s="349"/>
      <c r="CI155" s="313"/>
      <c r="CJ155" s="349"/>
      <c r="CK155" s="349"/>
      <c r="CL155" s="313"/>
      <c r="CM155" s="313"/>
      <c r="CN155" s="315"/>
      <c r="CO155" s="373"/>
      <c r="CP155" s="373"/>
      <c r="CQ155" s="315"/>
      <c r="CR155" s="373"/>
      <c r="CS155" s="373"/>
      <c r="CT155" s="315"/>
      <c r="CU155" s="315"/>
      <c r="CV155" s="353"/>
      <c r="CW155" s="313"/>
      <c r="CX155" s="512"/>
      <c r="CY155" s="516"/>
      <c r="CZ155" s="517"/>
      <c r="DA155" s="516"/>
      <c r="DB155" s="517"/>
      <c r="DC155" s="516"/>
      <c r="DD155" s="517"/>
      <c r="DE155" s="516"/>
      <c r="DF155" s="517"/>
      <c r="DG155" s="516"/>
      <c r="DH155" s="517"/>
      <c r="DI155" s="516"/>
      <c r="DJ155" s="517"/>
      <c r="DK155" s="516"/>
      <c r="DL155" s="517"/>
      <c r="DM155" s="512"/>
      <c r="DN155" s="313"/>
      <c r="DO155" s="313"/>
      <c r="DP155" s="313"/>
      <c r="DQ155" s="313"/>
      <c r="DR155" s="313"/>
      <c r="DS155" s="313"/>
      <c r="DT155" s="313"/>
      <c r="DU155" s="313"/>
      <c r="DV155" s="313"/>
      <c r="DW155" s="313"/>
    </row>
    <row r="156" spans="1:127" s="2" customFormat="1">
      <c r="A156" s="347"/>
      <c r="B156" s="347"/>
      <c r="C156" s="268"/>
      <c r="D156" s="346"/>
      <c r="E156" s="347"/>
      <c r="F156" s="349"/>
      <c r="G156" s="349"/>
      <c r="H156" s="348"/>
      <c r="I156" s="347"/>
      <c r="J156" s="348"/>
      <c r="K156" s="349"/>
      <c r="L156" s="348"/>
      <c r="M156" s="347"/>
      <c r="N156" s="347"/>
      <c r="O156" s="313"/>
      <c r="P156" s="313"/>
      <c r="Q156" s="313"/>
      <c r="R156" s="313"/>
      <c r="S156" s="313"/>
      <c r="T156" s="348"/>
      <c r="U156" s="349"/>
      <c r="V156" s="349"/>
      <c r="W156" s="348"/>
      <c r="X156" s="348"/>
      <c r="Y156" s="349"/>
      <c r="Z156" s="313"/>
      <c r="AA156" s="313"/>
      <c r="AB156" s="654"/>
      <c r="AC156" s="373"/>
      <c r="AD156" s="373"/>
      <c r="AE156" s="654"/>
      <c r="AF156" s="654"/>
      <c r="AG156" s="373"/>
      <c r="AH156" s="315"/>
      <c r="AI156" s="315"/>
      <c r="AJ156" s="348"/>
      <c r="AK156" s="349"/>
      <c r="AL156" s="349"/>
      <c r="AM156" s="348"/>
      <c r="AN156" s="349"/>
      <c r="AO156" s="349"/>
      <c r="AP156" s="313"/>
      <c r="AQ156" s="313"/>
      <c r="AR156" s="654"/>
      <c r="AS156" s="373"/>
      <c r="AT156" s="373"/>
      <c r="AU156" s="654"/>
      <c r="AV156" s="373"/>
      <c r="AW156" s="373"/>
      <c r="AX156" s="315"/>
      <c r="AY156" s="315"/>
      <c r="AZ156" s="348"/>
      <c r="BA156" s="349"/>
      <c r="BB156" s="349"/>
      <c r="BC156" s="348"/>
      <c r="BD156" s="349"/>
      <c r="BE156" s="349"/>
      <c r="BF156" s="313"/>
      <c r="BG156" s="313"/>
      <c r="BH156" s="654"/>
      <c r="BI156" s="373"/>
      <c r="BJ156" s="373"/>
      <c r="BK156" s="654"/>
      <c r="BL156" s="373"/>
      <c r="BM156" s="373"/>
      <c r="BN156" s="315"/>
      <c r="BO156" s="315"/>
      <c r="BP156" s="313"/>
      <c r="BQ156" s="349"/>
      <c r="BR156" s="349"/>
      <c r="BS156" s="348"/>
      <c r="BT156" s="349"/>
      <c r="BU156" s="349"/>
      <c r="BV156" s="313"/>
      <c r="BW156" s="313"/>
      <c r="BX156" s="315"/>
      <c r="BY156" s="373"/>
      <c r="BZ156" s="373"/>
      <c r="CA156" s="654"/>
      <c r="CB156" s="373"/>
      <c r="CC156" s="373"/>
      <c r="CD156" s="315"/>
      <c r="CE156" s="315"/>
      <c r="CF156" s="313"/>
      <c r="CG156" s="349"/>
      <c r="CH156" s="349"/>
      <c r="CI156" s="313"/>
      <c r="CJ156" s="349"/>
      <c r="CK156" s="349"/>
      <c r="CL156" s="313"/>
      <c r="CM156" s="313"/>
      <c r="CN156" s="315"/>
      <c r="CO156" s="373"/>
      <c r="CP156" s="373"/>
      <c r="CQ156" s="315"/>
      <c r="CR156" s="373"/>
      <c r="CS156" s="373"/>
      <c r="CT156" s="315"/>
      <c r="CU156" s="315"/>
      <c r="CV156" s="353"/>
      <c r="CW156" s="313"/>
      <c r="CX156" s="512"/>
      <c r="CY156" s="516"/>
      <c r="CZ156" s="517"/>
      <c r="DA156" s="516"/>
      <c r="DB156" s="517"/>
      <c r="DC156" s="516"/>
      <c r="DD156" s="517"/>
      <c r="DE156" s="516"/>
      <c r="DF156" s="517"/>
      <c r="DG156" s="516"/>
      <c r="DH156" s="517"/>
      <c r="DI156" s="516"/>
      <c r="DJ156" s="517"/>
      <c r="DK156" s="516"/>
      <c r="DL156" s="517"/>
      <c r="DM156" s="512"/>
      <c r="DN156" s="313"/>
      <c r="DO156" s="313"/>
      <c r="DP156" s="313"/>
      <c r="DQ156" s="313"/>
      <c r="DR156" s="313"/>
      <c r="DS156" s="313"/>
      <c r="DT156" s="313"/>
      <c r="DU156" s="313"/>
      <c r="DV156" s="313"/>
      <c r="DW156" s="313"/>
    </row>
    <row r="157" spans="1:127" s="2" customFormat="1">
      <c r="A157" s="347"/>
      <c r="B157" s="347"/>
      <c r="C157" s="268"/>
      <c r="D157" s="346"/>
      <c r="E157" s="347"/>
      <c r="F157" s="349"/>
      <c r="G157" s="349"/>
      <c r="H157" s="348"/>
      <c r="I157" s="347"/>
      <c r="J157" s="348"/>
      <c r="K157" s="349"/>
      <c r="L157" s="348"/>
      <c r="M157" s="347"/>
      <c r="N157" s="347"/>
      <c r="O157" s="313"/>
      <c r="P157" s="313"/>
      <c r="Q157" s="313"/>
      <c r="R157" s="313"/>
      <c r="S157" s="313"/>
      <c r="T157" s="348"/>
      <c r="U157" s="349"/>
      <c r="V157" s="349"/>
      <c r="W157" s="348"/>
      <c r="X157" s="348"/>
      <c r="Y157" s="349"/>
      <c r="Z157" s="313"/>
      <c r="AA157" s="313"/>
      <c r="AB157" s="654"/>
      <c r="AC157" s="373"/>
      <c r="AD157" s="373"/>
      <c r="AE157" s="654"/>
      <c r="AF157" s="654"/>
      <c r="AG157" s="373"/>
      <c r="AH157" s="315"/>
      <c r="AI157" s="315"/>
      <c r="AJ157" s="348"/>
      <c r="AK157" s="349"/>
      <c r="AL157" s="349"/>
      <c r="AM157" s="348"/>
      <c r="AN157" s="349"/>
      <c r="AO157" s="349"/>
      <c r="AP157" s="313"/>
      <c r="AQ157" s="313"/>
      <c r="AR157" s="654"/>
      <c r="AS157" s="373"/>
      <c r="AT157" s="373"/>
      <c r="AU157" s="654"/>
      <c r="AV157" s="373"/>
      <c r="AW157" s="373"/>
      <c r="AX157" s="315"/>
      <c r="AY157" s="315"/>
      <c r="AZ157" s="348"/>
      <c r="BA157" s="349"/>
      <c r="BB157" s="349"/>
      <c r="BC157" s="348"/>
      <c r="BD157" s="349"/>
      <c r="BE157" s="349"/>
      <c r="BF157" s="313"/>
      <c r="BG157" s="313"/>
      <c r="BH157" s="654"/>
      <c r="BI157" s="373"/>
      <c r="BJ157" s="373"/>
      <c r="BK157" s="654"/>
      <c r="BL157" s="373"/>
      <c r="BM157" s="373"/>
      <c r="BN157" s="315"/>
      <c r="BO157" s="315"/>
      <c r="BP157" s="313"/>
      <c r="BQ157" s="349"/>
      <c r="BR157" s="349"/>
      <c r="BS157" s="348"/>
      <c r="BT157" s="349"/>
      <c r="BU157" s="349"/>
      <c r="BV157" s="313"/>
      <c r="BW157" s="313"/>
      <c r="BX157" s="315"/>
      <c r="BY157" s="373"/>
      <c r="BZ157" s="373"/>
      <c r="CA157" s="654"/>
      <c r="CB157" s="373"/>
      <c r="CC157" s="373"/>
      <c r="CD157" s="315"/>
      <c r="CE157" s="315"/>
      <c r="CF157" s="313"/>
      <c r="CG157" s="349"/>
      <c r="CH157" s="349"/>
      <c r="CI157" s="313"/>
      <c r="CJ157" s="349"/>
      <c r="CK157" s="349"/>
      <c r="CL157" s="313"/>
      <c r="CM157" s="313"/>
      <c r="CN157" s="315"/>
      <c r="CO157" s="373"/>
      <c r="CP157" s="373"/>
      <c r="CQ157" s="315"/>
      <c r="CR157" s="373"/>
      <c r="CS157" s="373"/>
      <c r="CT157" s="315"/>
      <c r="CU157" s="315"/>
      <c r="CV157" s="353"/>
      <c r="CW157" s="313"/>
      <c r="CX157" s="512"/>
      <c r="CY157" s="516"/>
      <c r="CZ157" s="517"/>
      <c r="DA157" s="516"/>
      <c r="DB157" s="517"/>
      <c r="DC157" s="516"/>
      <c r="DD157" s="517"/>
      <c r="DE157" s="516"/>
      <c r="DF157" s="517"/>
      <c r="DG157" s="516"/>
      <c r="DH157" s="517"/>
      <c r="DI157" s="516"/>
      <c r="DJ157" s="517"/>
      <c r="DK157" s="516"/>
      <c r="DL157" s="517"/>
      <c r="DM157" s="512"/>
      <c r="DN157" s="313"/>
      <c r="DO157" s="313"/>
      <c r="DP157" s="313"/>
      <c r="DQ157" s="313"/>
      <c r="DR157" s="313"/>
      <c r="DS157" s="313"/>
      <c r="DT157" s="313"/>
      <c r="DU157" s="313"/>
      <c r="DV157" s="313"/>
      <c r="DW157" s="313"/>
    </row>
    <row r="158" spans="1:127" s="2" customFormat="1">
      <c r="A158" s="347"/>
      <c r="B158" s="347"/>
      <c r="C158" s="268"/>
      <c r="D158" s="346"/>
      <c r="E158" s="347"/>
      <c r="F158" s="349"/>
      <c r="G158" s="349"/>
      <c r="H158" s="348"/>
      <c r="I158" s="347"/>
      <c r="J158" s="348"/>
      <c r="K158" s="349"/>
      <c r="L158" s="348"/>
      <c r="M158" s="347"/>
      <c r="N158" s="347"/>
      <c r="O158" s="313"/>
      <c r="P158" s="313"/>
      <c r="Q158" s="313"/>
      <c r="R158" s="313"/>
      <c r="S158" s="313"/>
      <c r="T158" s="348"/>
      <c r="U158" s="349"/>
      <c r="V158" s="349"/>
      <c r="W158" s="348"/>
      <c r="X158" s="348"/>
      <c r="Y158" s="349"/>
      <c r="Z158" s="313"/>
      <c r="AA158" s="313"/>
      <c r="AB158" s="654"/>
      <c r="AC158" s="373"/>
      <c r="AD158" s="373"/>
      <c r="AE158" s="654"/>
      <c r="AF158" s="654"/>
      <c r="AG158" s="373"/>
      <c r="AH158" s="315"/>
      <c r="AI158" s="315"/>
      <c r="AJ158" s="348"/>
      <c r="AK158" s="349"/>
      <c r="AL158" s="349"/>
      <c r="AM158" s="348"/>
      <c r="AN158" s="349"/>
      <c r="AO158" s="349"/>
      <c r="AP158" s="313"/>
      <c r="AQ158" s="313"/>
      <c r="AR158" s="654"/>
      <c r="AS158" s="373"/>
      <c r="AT158" s="373"/>
      <c r="AU158" s="654"/>
      <c r="AV158" s="373"/>
      <c r="AW158" s="373"/>
      <c r="AX158" s="315"/>
      <c r="AY158" s="315"/>
      <c r="AZ158" s="348"/>
      <c r="BA158" s="349"/>
      <c r="BB158" s="349"/>
      <c r="BC158" s="348"/>
      <c r="BD158" s="349"/>
      <c r="BE158" s="349"/>
      <c r="BF158" s="313"/>
      <c r="BG158" s="313"/>
      <c r="BH158" s="654"/>
      <c r="BI158" s="373"/>
      <c r="BJ158" s="373"/>
      <c r="BK158" s="654"/>
      <c r="BL158" s="373"/>
      <c r="BM158" s="373"/>
      <c r="BN158" s="315"/>
      <c r="BO158" s="315"/>
      <c r="BP158" s="313"/>
      <c r="BQ158" s="349"/>
      <c r="BR158" s="349"/>
      <c r="BS158" s="348"/>
      <c r="BT158" s="349"/>
      <c r="BU158" s="349"/>
      <c r="BV158" s="313"/>
      <c r="BW158" s="313"/>
      <c r="BX158" s="315"/>
      <c r="BY158" s="373"/>
      <c r="BZ158" s="373"/>
      <c r="CA158" s="654"/>
      <c r="CB158" s="373"/>
      <c r="CC158" s="373"/>
      <c r="CD158" s="315"/>
      <c r="CE158" s="315"/>
      <c r="CF158" s="313"/>
      <c r="CG158" s="349"/>
      <c r="CH158" s="349"/>
      <c r="CI158" s="313"/>
      <c r="CJ158" s="349"/>
      <c r="CK158" s="349"/>
      <c r="CL158" s="313"/>
      <c r="CM158" s="313"/>
      <c r="CN158" s="315"/>
      <c r="CO158" s="373"/>
      <c r="CP158" s="373"/>
      <c r="CQ158" s="315"/>
      <c r="CR158" s="373"/>
      <c r="CS158" s="373"/>
      <c r="CT158" s="315"/>
      <c r="CU158" s="315"/>
      <c r="CV158" s="353"/>
      <c r="CW158" s="313"/>
      <c r="CX158" s="512"/>
      <c r="CY158" s="516"/>
      <c r="CZ158" s="517"/>
      <c r="DA158" s="516"/>
      <c r="DB158" s="517"/>
      <c r="DC158" s="516"/>
      <c r="DD158" s="517"/>
      <c r="DE158" s="516"/>
      <c r="DF158" s="517"/>
      <c r="DG158" s="516"/>
      <c r="DH158" s="517"/>
      <c r="DI158" s="516"/>
      <c r="DJ158" s="517"/>
      <c r="DK158" s="516"/>
      <c r="DL158" s="517"/>
      <c r="DM158" s="512"/>
      <c r="DN158" s="313"/>
      <c r="DO158" s="313"/>
      <c r="DP158" s="313"/>
      <c r="DQ158" s="313"/>
      <c r="DR158" s="313"/>
      <c r="DS158" s="313"/>
      <c r="DT158" s="313"/>
      <c r="DU158" s="313"/>
      <c r="DV158" s="313"/>
      <c r="DW158" s="313"/>
    </row>
    <row r="159" spans="1:127" s="2" customFormat="1">
      <c r="A159" s="347"/>
      <c r="B159" s="347"/>
      <c r="C159" s="268"/>
      <c r="D159" s="346"/>
      <c r="E159" s="347"/>
      <c r="F159" s="349"/>
      <c r="G159" s="349"/>
      <c r="H159" s="348"/>
      <c r="I159" s="347"/>
      <c r="J159" s="348"/>
      <c r="K159" s="349"/>
      <c r="L159" s="348"/>
      <c r="M159" s="347"/>
      <c r="N159" s="347"/>
      <c r="O159" s="313"/>
      <c r="P159" s="313"/>
      <c r="Q159" s="313"/>
      <c r="R159" s="313"/>
      <c r="S159" s="313"/>
      <c r="T159" s="348"/>
      <c r="U159" s="349"/>
      <c r="V159" s="349"/>
      <c r="W159" s="348"/>
      <c r="X159" s="348"/>
      <c r="Y159" s="349"/>
      <c r="Z159" s="313"/>
      <c r="AA159" s="313"/>
      <c r="AB159" s="654"/>
      <c r="AC159" s="373"/>
      <c r="AD159" s="373"/>
      <c r="AE159" s="654"/>
      <c r="AF159" s="654"/>
      <c r="AG159" s="373"/>
      <c r="AH159" s="315"/>
      <c r="AI159" s="315"/>
      <c r="AJ159" s="348"/>
      <c r="AK159" s="349"/>
      <c r="AL159" s="349"/>
      <c r="AM159" s="348"/>
      <c r="AN159" s="349"/>
      <c r="AO159" s="349"/>
      <c r="AP159" s="313"/>
      <c r="AQ159" s="313"/>
      <c r="AR159" s="654"/>
      <c r="AS159" s="373"/>
      <c r="AT159" s="373"/>
      <c r="AU159" s="654"/>
      <c r="AV159" s="373"/>
      <c r="AW159" s="373"/>
      <c r="AX159" s="315"/>
      <c r="AY159" s="315"/>
      <c r="AZ159" s="348"/>
      <c r="BA159" s="349"/>
      <c r="BB159" s="349"/>
      <c r="BC159" s="348"/>
      <c r="BD159" s="349"/>
      <c r="BE159" s="349"/>
      <c r="BF159" s="313"/>
      <c r="BG159" s="313"/>
      <c r="BH159" s="654"/>
      <c r="BI159" s="373"/>
      <c r="BJ159" s="373"/>
      <c r="BK159" s="654"/>
      <c r="BL159" s="373"/>
      <c r="BM159" s="373"/>
      <c r="BN159" s="315"/>
      <c r="BO159" s="315"/>
      <c r="BP159" s="313"/>
      <c r="BQ159" s="349"/>
      <c r="BR159" s="349"/>
      <c r="BS159" s="348"/>
      <c r="BT159" s="349"/>
      <c r="BU159" s="349"/>
      <c r="BV159" s="313"/>
      <c r="BW159" s="313"/>
      <c r="BX159" s="315"/>
      <c r="BY159" s="373"/>
      <c r="BZ159" s="373"/>
      <c r="CA159" s="654"/>
      <c r="CB159" s="373"/>
      <c r="CC159" s="373"/>
      <c r="CD159" s="315"/>
      <c r="CE159" s="315"/>
      <c r="CF159" s="313"/>
      <c r="CG159" s="349"/>
      <c r="CH159" s="349"/>
      <c r="CI159" s="313"/>
      <c r="CJ159" s="349"/>
      <c r="CK159" s="349"/>
      <c r="CL159" s="313"/>
      <c r="CM159" s="313"/>
      <c r="CN159" s="315"/>
      <c r="CO159" s="373"/>
      <c r="CP159" s="373"/>
      <c r="CQ159" s="315"/>
      <c r="CR159" s="373"/>
      <c r="CS159" s="373"/>
      <c r="CT159" s="315"/>
      <c r="CU159" s="315"/>
      <c r="CV159" s="353"/>
      <c r="CW159" s="313"/>
      <c r="CX159" s="512"/>
      <c r="CY159" s="516"/>
      <c r="CZ159" s="517"/>
      <c r="DA159" s="516"/>
      <c r="DB159" s="517"/>
      <c r="DC159" s="516"/>
      <c r="DD159" s="517"/>
      <c r="DE159" s="516"/>
      <c r="DF159" s="517"/>
      <c r="DG159" s="516"/>
      <c r="DH159" s="517"/>
      <c r="DI159" s="516"/>
      <c r="DJ159" s="517"/>
      <c r="DK159" s="516"/>
      <c r="DL159" s="517"/>
      <c r="DM159" s="512"/>
      <c r="DN159" s="313"/>
      <c r="DO159" s="313"/>
      <c r="DP159" s="313"/>
      <c r="DQ159" s="313"/>
      <c r="DR159" s="313"/>
      <c r="DS159" s="313"/>
      <c r="DT159" s="313"/>
      <c r="DU159" s="313"/>
      <c r="DV159" s="313"/>
      <c r="DW159" s="313"/>
    </row>
    <row r="160" spans="1:127" s="2" customFormat="1">
      <c r="A160" s="347"/>
      <c r="B160" s="347"/>
      <c r="C160" s="268"/>
      <c r="D160" s="346"/>
      <c r="E160" s="347"/>
      <c r="F160" s="349"/>
      <c r="G160" s="349"/>
      <c r="H160" s="348"/>
      <c r="I160" s="347"/>
      <c r="J160" s="348"/>
      <c r="K160" s="349"/>
      <c r="L160" s="348"/>
      <c r="M160" s="347"/>
      <c r="N160" s="347"/>
      <c r="O160" s="313"/>
      <c r="P160" s="313"/>
      <c r="Q160" s="313"/>
      <c r="R160" s="313"/>
      <c r="S160" s="313"/>
      <c r="T160" s="348"/>
      <c r="U160" s="349"/>
      <c r="V160" s="349"/>
      <c r="W160" s="348"/>
      <c r="X160" s="348"/>
      <c r="Y160" s="349"/>
      <c r="Z160" s="313"/>
      <c r="AA160" s="313"/>
      <c r="AB160" s="654"/>
      <c r="AC160" s="373"/>
      <c r="AD160" s="373"/>
      <c r="AE160" s="654"/>
      <c r="AF160" s="654"/>
      <c r="AG160" s="373"/>
      <c r="AH160" s="315"/>
      <c r="AI160" s="315"/>
      <c r="AJ160" s="348"/>
      <c r="AK160" s="349"/>
      <c r="AL160" s="349"/>
      <c r="AM160" s="348"/>
      <c r="AN160" s="349"/>
      <c r="AO160" s="349"/>
      <c r="AP160" s="313"/>
      <c r="AQ160" s="313"/>
      <c r="AR160" s="654"/>
      <c r="AS160" s="373"/>
      <c r="AT160" s="373"/>
      <c r="AU160" s="654"/>
      <c r="AV160" s="373"/>
      <c r="AW160" s="373"/>
      <c r="AX160" s="315"/>
      <c r="AY160" s="315"/>
      <c r="AZ160" s="348"/>
      <c r="BA160" s="349"/>
      <c r="BB160" s="349"/>
      <c r="BC160" s="348"/>
      <c r="BD160" s="349"/>
      <c r="BE160" s="349"/>
      <c r="BF160" s="313"/>
      <c r="BG160" s="313"/>
      <c r="BH160" s="654"/>
      <c r="BI160" s="373"/>
      <c r="BJ160" s="373"/>
      <c r="BK160" s="654"/>
      <c r="BL160" s="373"/>
      <c r="BM160" s="373"/>
      <c r="BN160" s="315"/>
      <c r="BO160" s="315"/>
      <c r="BP160" s="313"/>
      <c r="BQ160" s="349"/>
      <c r="BR160" s="349"/>
      <c r="BS160" s="348"/>
      <c r="BT160" s="349"/>
      <c r="BU160" s="349"/>
      <c r="BV160" s="313"/>
      <c r="BW160" s="313"/>
      <c r="BX160" s="315"/>
      <c r="BY160" s="373"/>
      <c r="BZ160" s="373"/>
      <c r="CA160" s="654"/>
      <c r="CB160" s="373"/>
      <c r="CC160" s="373"/>
      <c r="CD160" s="315"/>
      <c r="CE160" s="315"/>
      <c r="CF160" s="313"/>
      <c r="CG160" s="349"/>
      <c r="CH160" s="349"/>
      <c r="CI160" s="313"/>
      <c r="CJ160" s="349"/>
      <c r="CK160" s="349"/>
      <c r="CL160" s="313"/>
      <c r="CM160" s="313"/>
      <c r="CN160" s="315"/>
      <c r="CO160" s="373"/>
      <c r="CP160" s="373"/>
      <c r="CQ160" s="315"/>
      <c r="CR160" s="373"/>
      <c r="CS160" s="373"/>
      <c r="CT160" s="315"/>
      <c r="CU160" s="315"/>
      <c r="CV160" s="353"/>
      <c r="CW160" s="313"/>
      <c r="CX160" s="512"/>
      <c r="CY160" s="516"/>
      <c r="CZ160" s="517"/>
      <c r="DA160" s="516"/>
      <c r="DB160" s="517"/>
      <c r="DC160" s="516"/>
      <c r="DD160" s="517"/>
      <c r="DE160" s="516"/>
      <c r="DF160" s="517"/>
      <c r="DG160" s="516"/>
      <c r="DH160" s="517"/>
      <c r="DI160" s="516"/>
      <c r="DJ160" s="517"/>
      <c r="DK160" s="516"/>
      <c r="DL160" s="517"/>
      <c r="DM160" s="512"/>
      <c r="DN160" s="313"/>
      <c r="DO160" s="313"/>
      <c r="DP160" s="313"/>
      <c r="DQ160" s="313"/>
      <c r="DR160" s="313"/>
      <c r="DS160" s="313"/>
      <c r="DT160" s="313"/>
      <c r="DU160" s="313"/>
      <c r="DV160" s="313"/>
      <c r="DW160" s="313"/>
    </row>
    <row r="161" spans="1:127" s="2" customFormat="1">
      <c r="A161" s="347"/>
      <c r="B161" s="347"/>
      <c r="C161" s="268"/>
      <c r="D161" s="346"/>
      <c r="E161" s="347"/>
      <c r="F161" s="349"/>
      <c r="G161" s="349"/>
      <c r="H161" s="348"/>
      <c r="I161" s="347"/>
      <c r="J161" s="348"/>
      <c r="K161" s="349"/>
      <c r="L161" s="348"/>
      <c r="M161" s="347"/>
      <c r="N161" s="347"/>
      <c r="O161" s="313"/>
      <c r="P161" s="313"/>
      <c r="Q161" s="313"/>
      <c r="R161" s="313"/>
      <c r="S161" s="313"/>
      <c r="T161" s="348"/>
      <c r="U161" s="349"/>
      <c r="V161" s="349"/>
      <c r="W161" s="348"/>
      <c r="X161" s="348"/>
      <c r="Y161" s="349"/>
      <c r="Z161" s="313"/>
      <c r="AA161" s="313"/>
      <c r="AB161" s="654"/>
      <c r="AC161" s="373"/>
      <c r="AD161" s="373"/>
      <c r="AE161" s="654"/>
      <c r="AF161" s="654"/>
      <c r="AG161" s="373"/>
      <c r="AH161" s="315"/>
      <c r="AI161" s="315"/>
      <c r="AJ161" s="348"/>
      <c r="AK161" s="349"/>
      <c r="AL161" s="349"/>
      <c r="AM161" s="348"/>
      <c r="AN161" s="349"/>
      <c r="AO161" s="349"/>
      <c r="AP161" s="313"/>
      <c r="AQ161" s="313"/>
      <c r="AR161" s="654"/>
      <c r="AS161" s="373"/>
      <c r="AT161" s="373"/>
      <c r="AU161" s="654"/>
      <c r="AV161" s="373"/>
      <c r="AW161" s="373"/>
      <c r="AX161" s="315"/>
      <c r="AY161" s="315"/>
      <c r="AZ161" s="348"/>
      <c r="BA161" s="349"/>
      <c r="BB161" s="349"/>
      <c r="BC161" s="348"/>
      <c r="BD161" s="349"/>
      <c r="BE161" s="349"/>
      <c r="BF161" s="313"/>
      <c r="BG161" s="313"/>
      <c r="BH161" s="654"/>
      <c r="BI161" s="373"/>
      <c r="BJ161" s="373"/>
      <c r="BK161" s="654"/>
      <c r="BL161" s="373"/>
      <c r="BM161" s="373"/>
      <c r="BN161" s="315"/>
      <c r="BO161" s="315"/>
      <c r="BP161" s="313"/>
      <c r="BQ161" s="349"/>
      <c r="BR161" s="349"/>
      <c r="BS161" s="348"/>
      <c r="BT161" s="349"/>
      <c r="BU161" s="349"/>
      <c r="BV161" s="313"/>
      <c r="BW161" s="313"/>
      <c r="BX161" s="315"/>
      <c r="BY161" s="373"/>
      <c r="BZ161" s="373"/>
      <c r="CA161" s="654"/>
      <c r="CB161" s="373"/>
      <c r="CC161" s="373"/>
      <c r="CD161" s="315"/>
      <c r="CE161" s="315"/>
      <c r="CF161" s="313"/>
      <c r="CG161" s="349"/>
      <c r="CH161" s="349"/>
      <c r="CI161" s="313"/>
      <c r="CJ161" s="349"/>
      <c r="CK161" s="349"/>
      <c r="CL161" s="313"/>
      <c r="CM161" s="313"/>
      <c r="CN161" s="315"/>
      <c r="CO161" s="373"/>
      <c r="CP161" s="373"/>
      <c r="CQ161" s="315"/>
      <c r="CR161" s="373"/>
      <c r="CS161" s="373"/>
      <c r="CT161" s="315"/>
      <c r="CU161" s="315"/>
      <c r="CV161" s="353"/>
      <c r="CW161" s="313"/>
      <c r="CX161" s="512"/>
      <c r="CY161" s="516"/>
      <c r="CZ161" s="517"/>
      <c r="DA161" s="516"/>
      <c r="DB161" s="517"/>
      <c r="DC161" s="516"/>
      <c r="DD161" s="517"/>
      <c r="DE161" s="516"/>
      <c r="DF161" s="517"/>
      <c r="DG161" s="516"/>
      <c r="DH161" s="517"/>
      <c r="DI161" s="516"/>
      <c r="DJ161" s="517"/>
      <c r="DK161" s="516"/>
      <c r="DL161" s="517"/>
      <c r="DM161" s="512"/>
      <c r="DN161" s="313"/>
      <c r="DO161" s="313"/>
      <c r="DP161" s="313"/>
      <c r="DQ161" s="313"/>
      <c r="DR161" s="313"/>
      <c r="DS161" s="313"/>
      <c r="DT161" s="313"/>
      <c r="DU161" s="313"/>
      <c r="DV161" s="313"/>
      <c r="DW161" s="313"/>
    </row>
    <row r="162" spans="1:127" s="2" customFormat="1">
      <c r="A162" s="347"/>
      <c r="B162" s="347"/>
      <c r="C162" s="268"/>
      <c r="D162" s="346"/>
      <c r="E162" s="347"/>
      <c r="F162" s="349"/>
      <c r="G162" s="349"/>
      <c r="H162" s="348"/>
      <c r="I162" s="347"/>
      <c r="J162" s="348"/>
      <c r="K162" s="349"/>
      <c r="L162" s="348"/>
      <c r="M162" s="347"/>
      <c r="N162" s="347"/>
      <c r="O162" s="313"/>
      <c r="P162" s="313"/>
      <c r="Q162" s="313"/>
      <c r="R162" s="313"/>
      <c r="S162" s="313"/>
      <c r="T162" s="348"/>
      <c r="U162" s="349"/>
      <c r="V162" s="349"/>
      <c r="W162" s="348"/>
      <c r="X162" s="348"/>
      <c r="Y162" s="349"/>
      <c r="Z162" s="313"/>
      <c r="AA162" s="313"/>
      <c r="AB162" s="654"/>
      <c r="AC162" s="373"/>
      <c r="AD162" s="373"/>
      <c r="AE162" s="654"/>
      <c r="AF162" s="654"/>
      <c r="AG162" s="373"/>
      <c r="AH162" s="315"/>
      <c r="AI162" s="315"/>
      <c r="AJ162" s="348"/>
      <c r="AK162" s="349"/>
      <c r="AL162" s="349"/>
      <c r="AM162" s="348"/>
      <c r="AN162" s="349"/>
      <c r="AO162" s="349"/>
      <c r="AP162" s="313"/>
      <c r="AQ162" s="313"/>
      <c r="AR162" s="654"/>
      <c r="AS162" s="373"/>
      <c r="AT162" s="373"/>
      <c r="AU162" s="654"/>
      <c r="AV162" s="373"/>
      <c r="AW162" s="373"/>
      <c r="AX162" s="315"/>
      <c r="AY162" s="315"/>
      <c r="AZ162" s="348"/>
      <c r="BA162" s="349"/>
      <c r="BB162" s="349"/>
      <c r="BC162" s="348"/>
      <c r="BD162" s="349"/>
      <c r="BE162" s="349"/>
      <c r="BF162" s="313"/>
      <c r="BG162" s="313"/>
      <c r="BH162" s="654"/>
      <c r="BI162" s="373"/>
      <c r="BJ162" s="373"/>
      <c r="BK162" s="654"/>
      <c r="BL162" s="373"/>
      <c r="BM162" s="373"/>
      <c r="BN162" s="315"/>
      <c r="BO162" s="315"/>
      <c r="BP162" s="313"/>
      <c r="BQ162" s="349"/>
      <c r="BR162" s="349"/>
      <c r="BS162" s="348"/>
      <c r="BT162" s="349"/>
      <c r="BU162" s="349"/>
      <c r="BV162" s="313"/>
      <c r="BW162" s="313"/>
      <c r="BX162" s="315"/>
      <c r="BY162" s="373"/>
      <c r="BZ162" s="373"/>
      <c r="CA162" s="654"/>
      <c r="CB162" s="373"/>
      <c r="CC162" s="373"/>
      <c r="CD162" s="315"/>
      <c r="CE162" s="315"/>
      <c r="CF162" s="313"/>
      <c r="CG162" s="349"/>
      <c r="CH162" s="349"/>
      <c r="CI162" s="313"/>
      <c r="CJ162" s="349"/>
      <c r="CK162" s="349"/>
      <c r="CL162" s="313"/>
      <c r="CM162" s="313"/>
      <c r="CN162" s="315"/>
      <c r="CO162" s="373"/>
      <c r="CP162" s="373"/>
      <c r="CQ162" s="315"/>
      <c r="CR162" s="373"/>
      <c r="CS162" s="373"/>
      <c r="CT162" s="315"/>
      <c r="CU162" s="315"/>
      <c r="CV162" s="353"/>
      <c r="CW162" s="313"/>
      <c r="CX162" s="512"/>
      <c r="CY162" s="516"/>
      <c r="CZ162" s="517"/>
      <c r="DA162" s="516"/>
      <c r="DB162" s="517"/>
      <c r="DC162" s="516"/>
      <c r="DD162" s="517"/>
      <c r="DE162" s="516"/>
      <c r="DF162" s="517"/>
      <c r="DG162" s="516"/>
      <c r="DH162" s="517"/>
      <c r="DI162" s="516"/>
      <c r="DJ162" s="517"/>
      <c r="DK162" s="516"/>
      <c r="DL162" s="517"/>
      <c r="DM162" s="512"/>
      <c r="DN162" s="313"/>
      <c r="DO162" s="313"/>
      <c r="DP162" s="313"/>
      <c r="DQ162" s="313"/>
      <c r="DR162" s="313"/>
      <c r="DS162" s="313"/>
      <c r="DT162" s="313"/>
      <c r="DU162" s="313"/>
      <c r="DV162" s="313"/>
      <c r="DW162" s="313"/>
    </row>
    <row r="163" spans="1:127" s="2" customFormat="1">
      <c r="A163" s="347"/>
      <c r="B163" s="347"/>
      <c r="C163" s="268"/>
      <c r="D163" s="346"/>
      <c r="E163" s="347"/>
      <c r="F163" s="349"/>
      <c r="G163" s="349"/>
      <c r="H163" s="348"/>
      <c r="I163" s="347"/>
      <c r="J163" s="348"/>
      <c r="K163" s="349"/>
      <c r="L163" s="348"/>
      <c r="M163" s="347"/>
      <c r="N163" s="347"/>
      <c r="O163" s="313"/>
      <c r="P163" s="313"/>
      <c r="Q163" s="313"/>
      <c r="R163" s="313"/>
      <c r="S163" s="313"/>
      <c r="T163" s="348"/>
      <c r="U163" s="349"/>
      <c r="V163" s="349"/>
      <c r="W163" s="348"/>
      <c r="X163" s="348"/>
      <c r="Y163" s="349"/>
      <c r="Z163" s="313"/>
      <c r="AA163" s="313"/>
      <c r="AB163" s="654"/>
      <c r="AC163" s="373"/>
      <c r="AD163" s="373"/>
      <c r="AE163" s="654"/>
      <c r="AF163" s="654"/>
      <c r="AG163" s="373"/>
      <c r="AH163" s="315"/>
      <c r="AI163" s="315"/>
      <c r="AJ163" s="348"/>
      <c r="AK163" s="349"/>
      <c r="AL163" s="349"/>
      <c r="AM163" s="348"/>
      <c r="AN163" s="349"/>
      <c r="AO163" s="349"/>
      <c r="AP163" s="313"/>
      <c r="AQ163" s="313"/>
      <c r="AR163" s="654"/>
      <c r="AS163" s="373"/>
      <c r="AT163" s="373"/>
      <c r="AU163" s="654"/>
      <c r="AV163" s="373"/>
      <c r="AW163" s="373"/>
      <c r="AX163" s="315"/>
      <c r="AY163" s="315"/>
      <c r="AZ163" s="348"/>
      <c r="BA163" s="349"/>
      <c r="BB163" s="349"/>
      <c r="BC163" s="348"/>
      <c r="BD163" s="349"/>
      <c r="BE163" s="349"/>
      <c r="BF163" s="313"/>
      <c r="BG163" s="313"/>
      <c r="BH163" s="654"/>
      <c r="BI163" s="373"/>
      <c r="BJ163" s="373"/>
      <c r="BK163" s="654"/>
      <c r="BL163" s="373"/>
      <c r="BM163" s="373"/>
      <c r="BN163" s="315"/>
      <c r="BO163" s="315"/>
      <c r="BP163" s="313"/>
      <c r="BQ163" s="349"/>
      <c r="BR163" s="349"/>
      <c r="BS163" s="348"/>
      <c r="BT163" s="349"/>
      <c r="BU163" s="349"/>
      <c r="BV163" s="313"/>
      <c r="BW163" s="313"/>
      <c r="BX163" s="315"/>
      <c r="BY163" s="373"/>
      <c r="BZ163" s="373"/>
      <c r="CA163" s="654"/>
      <c r="CB163" s="373"/>
      <c r="CC163" s="373"/>
      <c r="CD163" s="315"/>
      <c r="CE163" s="315"/>
      <c r="CF163" s="313"/>
      <c r="CG163" s="349"/>
      <c r="CH163" s="349"/>
      <c r="CI163" s="313"/>
      <c r="CJ163" s="349"/>
      <c r="CK163" s="349"/>
      <c r="CL163" s="313"/>
      <c r="CM163" s="313"/>
      <c r="CN163" s="315"/>
      <c r="CO163" s="373"/>
      <c r="CP163" s="373"/>
      <c r="CQ163" s="315"/>
      <c r="CR163" s="373"/>
      <c r="CS163" s="373"/>
      <c r="CT163" s="315"/>
      <c r="CU163" s="315"/>
      <c r="CV163" s="353"/>
      <c r="CW163" s="313"/>
      <c r="CX163" s="512"/>
      <c r="CY163" s="516"/>
      <c r="CZ163" s="517"/>
      <c r="DA163" s="516"/>
      <c r="DB163" s="517"/>
      <c r="DC163" s="516"/>
      <c r="DD163" s="517"/>
      <c r="DE163" s="516"/>
      <c r="DF163" s="517"/>
      <c r="DG163" s="516"/>
      <c r="DH163" s="517"/>
      <c r="DI163" s="516"/>
      <c r="DJ163" s="517"/>
      <c r="DK163" s="516"/>
      <c r="DL163" s="517"/>
      <c r="DM163" s="512"/>
      <c r="DN163" s="313"/>
      <c r="DO163" s="313"/>
      <c r="DP163" s="313"/>
      <c r="DQ163" s="313"/>
      <c r="DR163" s="313"/>
      <c r="DS163" s="313"/>
      <c r="DT163" s="313"/>
      <c r="DU163" s="313"/>
      <c r="DV163" s="313"/>
      <c r="DW163" s="313"/>
    </row>
    <row r="164" spans="1:127" s="2" customFormat="1">
      <c r="A164" s="347"/>
      <c r="B164" s="347"/>
      <c r="C164" s="268"/>
      <c r="D164" s="346"/>
      <c r="E164" s="347"/>
      <c r="F164" s="349"/>
      <c r="G164" s="349"/>
      <c r="H164" s="348"/>
      <c r="I164" s="347"/>
      <c r="J164" s="348"/>
      <c r="K164" s="349"/>
      <c r="L164" s="348"/>
      <c r="M164" s="347"/>
      <c r="N164" s="347"/>
      <c r="O164" s="313"/>
      <c r="P164" s="313"/>
      <c r="Q164" s="313"/>
      <c r="R164" s="313"/>
      <c r="S164" s="313"/>
      <c r="T164" s="348"/>
      <c r="U164" s="349"/>
      <c r="V164" s="349"/>
      <c r="W164" s="348"/>
      <c r="X164" s="348"/>
      <c r="Y164" s="349"/>
      <c r="Z164" s="313"/>
      <c r="AA164" s="313"/>
      <c r="AB164" s="654"/>
      <c r="AC164" s="373"/>
      <c r="AD164" s="373"/>
      <c r="AE164" s="654"/>
      <c r="AF164" s="654"/>
      <c r="AG164" s="373"/>
      <c r="AH164" s="315"/>
      <c r="AI164" s="315"/>
      <c r="AJ164" s="348"/>
      <c r="AK164" s="349"/>
      <c r="AL164" s="349"/>
      <c r="AM164" s="348"/>
      <c r="AN164" s="349"/>
      <c r="AO164" s="349"/>
      <c r="AP164" s="313"/>
      <c r="AQ164" s="313"/>
      <c r="AR164" s="654"/>
      <c r="AS164" s="373"/>
      <c r="AT164" s="373"/>
      <c r="AU164" s="654"/>
      <c r="AV164" s="373"/>
      <c r="AW164" s="373"/>
      <c r="AX164" s="315"/>
      <c r="AY164" s="315"/>
      <c r="AZ164" s="348"/>
      <c r="BA164" s="349"/>
      <c r="BB164" s="349"/>
      <c r="BC164" s="348"/>
      <c r="BD164" s="349"/>
      <c r="BE164" s="349"/>
      <c r="BF164" s="313"/>
      <c r="BG164" s="313"/>
      <c r="BH164" s="654"/>
      <c r="BI164" s="373"/>
      <c r="BJ164" s="373"/>
      <c r="BK164" s="654"/>
      <c r="BL164" s="373"/>
      <c r="BM164" s="373"/>
      <c r="BN164" s="315"/>
      <c r="BO164" s="315"/>
      <c r="BP164" s="313"/>
      <c r="BQ164" s="349"/>
      <c r="BR164" s="349"/>
      <c r="BS164" s="348"/>
      <c r="BT164" s="349"/>
      <c r="BU164" s="349"/>
      <c r="BV164" s="313"/>
      <c r="BW164" s="313"/>
      <c r="BX164" s="315"/>
      <c r="BY164" s="373"/>
      <c r="BZ164" s="373"/>
      <c r="CA164" s="654"/>
      <c r="CB164" s="373"/>
      <c r="CC164" s="373"/>
      <c r="CD164" s="315"/>
      <c r="CE164" s="315"/>
      <c r="CF164" s="313"/>
      <c r="CG164" s="349"/>
      <c r="CH164" s="349"/>
      <c r="CI164" s="313"/>
      <c r="CJ164" s="349"/>
      <c r="CK164" s="349"/>
      <c r="CL164" s="313"/>
      <c r="CM164" s="313"/>
      <c r="CN164" s="315"/>
      <c r="CO164" s="373"/>
      <c r="CP164" s="373"/>
      <c r="CQ164" s="315"/>
      <c r="CR164" s="373"/>
      <c r="CS164" s="373"/>
      <c r="CT164" s="315"/>
      <c r="CU164" s="315"/>
      <c r="CV164" s="353"/>
      <c r="CW164" s="313"/>
      <c r="CX164" s="512"/>
      <c r="CY164" s="516"/>
      <c r="CZ164" s="517"/>
      <c r="DA164" s="516"/>
      <c r="DB164" s="517"/>
      <c r="DC164" s="516"/>
      <c r="DD164" s="517"/>
      <c r="DE164" s="516"/>
      <c r="DF164" s="517"/>
      <c r="DG164" s="516"/>
      <c r="DH164" s="517"/>
      <c r="DI164" s="516"/>
      <c r="DJ164" s="517"/>
      <c r="DK164" s="516"/>
      <c r="DL164" s="517"/>
      <c r="DM164" s="512"/>
      <c r="DN164" s="313"/>
      <c r="DO164" s="313"/>
      <c r="DP164" s="313"/>
      <c r="DQ164" s="313"/>
      <c r="DR164" s="313"/>
      <c r="DS164" s="313"/>
      <c r="DT164" s="313"/>
      <c r="DU164" s="313"/>
      <c r="DV164" s="313"/>
      <c r="DW164" s="313"/>
    </row>
    <row r="165" spans="1:127" s="2" customFormat="1">
      <c r="A165" s="347"/>
      <c r="B165" s="347"/>
      <c r="C165" s="268"/>
      <c r="D165" s="346"/>
      <c r="E165" s="347"/>
      <c r="F165" s="349"/>
      <c r="G165" s="349"/>
      <c r="H165" s="348"/>
      <c r="I165" s="347"/>
      <c r="J165" s="348"/>
      <c r="K165" s="349"/>
      <c r="L165" s="348"/>
      <c r="M165" s="347"/>
      <c r="N165" s="347"/>
      <c r="O165" s="313"/>
      <c r="P165" s="313"/>
      <c r="Q165" s="313"/>
      <c r="R165" s="313"/>
      <c r="S165" s="313"/>
      <c r="T165" s="348"/>
      <c r="U165" s="349"/>
      <c r="V165" s="349"/>
      <c r="W165" s="348"/>
      <c r="X165" s="348"/>
      <c r="Y165" s="349"/>
      <c r="Z165" s="313"/>
      <c r="AA165" s="313"/>
      <c r="AB165" s="654"/>
      <c r="AC165" s="373"/>
      <c r="AD165" s="373"/>
      <c r="AE165" s="654"/>
      <c r="AF165" s="654"/>
      <c r="AG165" s="373"/>
      <c r="AH165" s="315"/>
      <c r="AI165" s="315"/>
      <c r="AJ165" s="348"/>
      <c r="AK165" s="349"/>
      <c r="AL165" s="349"/>
      <c r="AM165" s="348"/>
      <c r="AN165" s="349"/>
      <c r="AO165" s="349"/>
      <c r="AP165" s="313"/>
      <c r="AQ165" s="313"/>
      <c r="AR165" s="654"/>
      <c r="AS165" s="373"/>
      <c r="AT165" s="373"/>
      <c r="AU165" s="654"/>
      <c r="AV165" s="373"/>
      <c r="AW165" s="373"/>
      <c r="AX165" s="315"/>
      <c r="AY165" s="315"/>
      <c r="AZ165" s="348"/>
      <c r="BA165" s="349"/>
      <c r="BB165" s="349"/>
      <c r="BC165" s="348"/>
      <c r="BD165" s="349"/>
      <c r="BE165" s="349"/>
      <c r="BF165" s="313"/>
      <c r="BG165" s="313"/>
      <c r="BH165" s="654"/>
      <c r="BI165" s="373"/>
      <c r="BJ165" s="373"/>
      <c r="BK165" s="654"/>
      <c r="BL165" s="373"/>
      <c r="BM165" s="373"/>
      <c r="BN165" s="315"/>
      <c r="BO165" s="315"/>
      <c r="BP165" s="313"/>
      <c r="BQ165" s="349"/>
      <c r="BR165" s="349"/>
      <c r="BS165" s="348"/>
      <c r="BT165" s="349"/>
      <c r="BU165" s="349"/>
      <c r="BV165" s="313"/>
      <c r="BW165" s="313"/>
      <c r="BX165" s="315"/>
      <c r="BY165" s="373"/>
      <c r="BZ165" s="373"/>
      <c r="CA165" s="654"/>
      <c r="CB165" s="373"/>
      <c r="CC165" s="373"/>
      <c r="CD165" s="315"/>
      <c r="CE165" s="315"/>
      <c r="CF165" s="313"/>
      <c r="CG165" s="349"/>
      <c r="CH165" s="349"/>
      <c r="CI165" s="313"/>
      <c r="CJ165" s="349"/>
      <c r="CK165" s="349"/>
      <c r="CL165" s="313"/>
      <c r="CM165" s="313"/>
      <c r="CN165" s="315"/>
      <c r="CO165" s="373"/>
      <c r="CP165" s="373"/>
      <c r="CQ165" s="315"/>
      <c r="CR165" s="373"/>
      <c r="CS165" s="373"/>
      <c r="CT165" s="315"/>
      <c r="CU165" s="315"/>
      <c r="CV165" s="353"/>
      <c r="CW165" s="313"/>
      <c r="CX165" s="512"/>
      <c r="CY165" s="516"/>
      <c r="CZ165" s="517"/>
      <c r="DA165" s="516"/>
      <c r="DB165" s="517"/>
      <c r="DC165" s="516"/>
      <c r="DD165" s="517"/>
      <c r="DE165" s="516"/>
      <c r="DF165" s="517"/>
      <c r="DG165" s="516"/>
      <c r="DH165" s="517"/>
      <c r="DI165" s="516"/>
      <c r="DJ165" s="517"/>
      <c r="DK165" s="516"/>
      <c r="DL165" s="517"/>
      <c r="DM165" s="512"/>
      <c r="DN165" s="313"/>
      <c r="DO165" s="313"/>
      <c r="DP165" s="313"/>
      <c r="DQ165" s="313"/>
      <c r="DR165" s="313"/>
      <c r="DS165" s="313"/>
      <c r="DT165" s="313"/>
      <c r="DU165" s="313"/>
      <c r="DV165" s="313"/>
      <c r="DW165" s="313"/>
    </row>
    <row r="166" spans="1:127" s="2" customFormat="1">
      <c r="A166" s="347"/>
      <c r="B166" s="347"/>
      <c r="C166" s="268"/>
      <c r="D166" s="346"/>
      <c r="E166" s="347"/>
      <c r="F166" s="349"/>
      <c r="G166" s="349"/>
      <c r="H166" s="348"/>
      <c r="I166" s="347"/>
      <c r="J166" s="348"/>
      <c r="K166" s="349"/>
      <c r="L166" s="348"/>
      <c r="M166" s="347"/>
      <c r="N166" s="347"/>
      <c r="O166" s="313"/>
      <c r="P166" s="313"/>
      <c r="Q166" s="313"/>
      <c r="R166" s="313"/>
      <c r="S166" s="313"/>
      <c r="T166" s="348"/>
      <c r="U166" s="349"/>
      <c r="V166" s="349"/>
      <c r="W166" s="348"/>
      <c r="X166" s="348"/>
      <c r="Y166" s="349"/>
      <c r="Z166" s="313"/>
      <c r="AA166" s="313"/>
      <c r="AB166" s="654"/>
      <c r="AC166" s="373"/>
      <c r="AD166" s="373"/>
      <c r="AE166" s="654"/>
      <c r="AF166" s="654"/>
      <c r="AG166" s="373"/>
      <c r="AH166" s="315"/>
      <c r="AI166" s="315"/>
      <c r="AJ166" s="348"/>
      <c r="AK166" s="349"/>
      <c r="AL166" s="349"/>
      <c r="AM166" s="348"/>
      <c r="AN166" s="349"/>
      <c r="AO166" s="349"/>
      <c r="AP166" s="313"/>
      <c r="AQ166" s="313"/>
      <c r="AR166" s="654"/>
      <c r="AS166" s="373"/>
      <c r="AT166" s="373"/>
      <c r="AU166" s="654"/>
      <c r="AV166" s="373"/>
      <c r="AW166" s="373"/>
      <c r="AX166" s="315"/>
      <c r="AY166" s="315"/>
      <c r="AZ166" s="348"/>
      <c r="BA166" s="349"/>
      <c r="BB166" s="349"/>
      <c r="BC166" s="348"/>
      <c r="BD166" s="349"/>
      <c r="BE166" s="349"/>
      <c r="BF166" s="313"/>
      <c r="BG166" s="313"/>
      <c r="BH166" s="654"/>
      <c r="BI166" s="373"/>
      <c r="BJ166" s="373"/>
      <c r="BK166" s="654"/>
      <c r="BL166" s="373"/>
      <c r="BM166" s="373"/>
      <c r="BN166" s="315"/>
      <c r="BO166" s="315"/>
      <c r="BP166" s="313"/>
      <c r="BQ166" s="349"/>
      <c r="BR166" s="349"/>
      <c r="BS166" s="348"/>
      <c r="BT166" s="349"/>
      <c r="BU166" s="349"/>
      <c r="BV166" s="313"/>
      <c r="BW166" s="313"/>
      <c r="BX166" s="315"/>
      <c r="BY166" s="373"/>
      <c r="BZ166" s="373"/>
      <c r="CA166" s="654"/>
      <c r="CB166" s="373"/>
      <c r="CC166" s="373"/>
      <c r="CD166" s="315"/>
      <c r="CE166" s="315"/>
      <c r="CF166" s="313"/>
      <c r="CG166" s="349"/>
      <c r="CH166" s="349"/>
      <c r="CI166" s="313"/>
      <c r="CJ166" s="349"/>
      <c r="CK166" s="349"/>
      <c r="CL166" s="313"/>
      <c r="CM166" s="313"/>
      <c r="CN166" s="315"/>
      <c r="CO166" s="373"/>
      <c r="CP166" s="373"/>
      <c r="CQ166" s="315"/>
      <c r="CR166" s="373"/>
      <c r="CS166" s="373"/>
      <c r="CT166" s="315"/>
      <c r="CU166" s="315"/>
      <c r="CV166" s="353"/>
      <c r="CW166" s="313"/>
      <c r="CX166" s="512"/>
      <c r="CY166" s="516"/>
      <c r="CZ166" s="517"/>
      <c r="DA166" s="516"/>
      <c r="DB166" s="517"/>
      <c r="DC166" s="516"/>
      <c r="DD166" s="517"/>
      <c r="DE166" s="516"/>
      <c r="DF166" s="517"/>
      <c r="DG166" s="516"/>
      <c r="DH166" s="517"/>
      <c r="DI166" s="516"/>
      <c r="DJ166" s="517"/>
      <c r="DK166" s="516"/>
      <c r="DL166" s="517"/>
      <c r="DM166" s="512"/>
      <c r="DN166" s="313"/>
      <c r="DO166" s="313"/>
      <c r="DP166" s="313"/>
      <c r="DQ166" s="313"/>
      <c r="DR166" s="313"/>
      <c r="DS166" s="313"/>
      <c r="DT166" s="313"/>
      <c r="DU166" s="313"/>
      <c r="DV166" s="313"/>
      <c r="DW166" s="313"/>
    </row>
    <row r="167" spans="1:127" s="2" customFormat="1">
      <c r="A167" s="347"/>
      <c r="B167" s="347"/>
      <c r="C167" s="268"/>
      <c r="D167" s="346"/>
      <c r="E167" s="347"/>
      <c r="F167" s="349"/>
      <c r="G167" s="349"/>
      <c r="H167" s="348"/>
      <c r="I167" s="347"/>
      <c r="J167" s="348"/>
      <c r="K167" s="349"/>
      <c r="L167" s="348"/>
      <c r="M167" s="347"/>
      <c r="N167" s="347"/>
      <c r="O167" s="313"/>
      <c r="P167" s="313"/>
      <c r="Q167" s="313"/>
      <c r="R167" s="313"/>
      <c r="S167" s="313"/>
      <c r="T167" s="348"/>
      <c r="U167" s="349"/>
      <c r="V167" s="349"/>
      <c r="W167" s="348"/>
      <c r="X167" s="348"/>
      <c r="Y167" s="349"/>
      <c r="Z167" s="313"/>
      <c r="AA167" s="313"/>
      <c r="AB167" s="654"/>
      <c r="AC167" s="373"/>
      <c r="AD167" s="373"/>
      <c r="AE167" s="654"/>
      <c r="AF167" s="654"/>
      <c r="AG167" s="373"/>
      <c r="AH167" s="315"/>
      <c r="AI167" s="315"/>
      <c r="AJ167" s="348"/>
      <c r="AK167" s="349"/>
      <c r="AL167" s="349"/>
      <c r="AM167" s="348"/>
      <c r="AN167" s="349"/>
      <c r="AO167" s="349"/>
      <c r="AP167" s="313"/>
      <c r="AQ167" s="313"/>
      <c r="AR167" s="654"/>
      <c r="AS167" s="373"/>
      <c r="AT167" s="373"/>
      <c r="AU167" s="654"/>
      <c r="AV167" s="373"/>
      <c r="AW167" s="373"/>
      <c r="AX167" s="315"/>
      <c r="AY167" s="315"/>
      <c r="AZ167" s="348"/>
      <c r="BA167" s="349"/>
      <c r="BB167" s="349"/>
      <c r="BC167" s="348"/>
      <c r="BD167" s="349"/>
      <c r="BE167" s="349"/>
      <c r="BF167" s="313"/>
      <c r="BG167" s="313"/>
      <c r="BH167" s="654"/>
      <c r="BI167" s="373"/>
      <c r="BJ167" s="373"/>
      <c r="BK167" s="654"/>
      <c r="BL167" s="373"/>
      <c r="BM167" s="373"/>
      <c r="BN167" s="315"/>
      <c r="BO167" s="315"/>
      <c r="BP167" s="313"/>
      <c r="BQ167" s="349"/>
      <c r="BR167" s="349"/>
      <c r="BS167" s="348"/>
      <c r="BT167" s="349"/>
      <c r="BU167" s="349"/>
      <c r="BV167" s="313"/>
      <c r="BW167" s="313"/>
      <c r="BX167" s="315"/>
      <c r="BY167" s="373"/>
      <c r="BZ167" s="373"/>
      <c r="CA167" s="654"/>
      <c r="CB167" s="373"/>
      <c r="CC167" s="373"/>
      <c r="CD167" s="315"/>
      <c r="CE167" s="315"/>
      <c r="CF167" s="313"/>
      <c r="CG167" s="349"/>
      <c r="CH167" s="349"/>
      <c r="CI167" s="313"/>
      <c r="CJ167" s="349"/>
      <c r="CK167" s="349"/>
      <c r="CL167" s="313"/>
      <c r="CM167" s="313"/>
      <c r="CN167" s="315"/>
      <c r="CO167" s="373"/>
      <c r="CP167" s="373"/>
      <c r="CQ167" s="315"/>
      <c r="CR167" s="373"/>
      <c r="CS167" s="373"/>
      <c r="CT167" s="315"/>
      <c r="CU167" s="315"/>
      <c r="CV167" s="353"/>
      <c r="CW167" s="313"/>
      <c r="CX167" s="512"/>
      <c r="CY167" s="516"/>
      <c r="CZ167" s="517"/>
      <c r="DA167" s="516"/>
      <c r="DB167" s="517"/>
      <c r="DC167" s="516"/>
      <c r="DD167" s="517"/>
      <c r="DE167" s="516"/>
      <c r="DF167" s="517"/>
      <c r="DG167" s="516"/>
      <c r="DH167" s="517"/>
      <c r="DI167" s="516"/>
      <c r="DJ167" s="517"/>
      <c r="DK167" s="516"/>
      <c r="DL167" s="517"/>
      <c r="DM167" s="512"/>
      <c r="DN167" s="313"/>
      <c r="DO167" s="313"/>
      <c r="DP167" s="313"/>
      <c r="DQ167" s="313"/>
      <c r="DR167" s="313"/>
      <c r="DS167" s="313"/>
      <c r="DT167" s="313"/>
      <c r="DU167" s="313"/>
      <c r="DV167" s="313"/>
      <c r="DW167" s="313"/>
    </row>
    <row r="168" spans="1:127" s="2" customFormat="1">
      <c r="A168" s="347"/>
      <c r="B168" s="347"/>
      <c r="C168" s="268"/>
      <c r="D168" s="346"/>
      <c r="E168" s="347"/>
      <c r="F168" s="349"/>
      <c r="G168" s="349"/>
      <c r="H168" s="348"/>
      <c r="I168" s="347"/>
      <c r="J168" s="348"/>
      <c r="K168" s="349"/>
      <c r="L168" s="348"/>
      <c r="M168" s="347"/>
      <c r="N168" s="347"/>
      <c r="O168" s="313"/>
      <c r="P168" s="313"/>
      <c r="Q168" s="313"/>
      <c r="R168" s="313"/>
      <c r="S168" s="313"/>
      <c r="T168" s="348"/>
      <c r="U168" s="349"/>
      <c r="V168" s="349"/>
      <c r="W168" s="348"/>
      <c r="X168" s="348"/>
      <c r="Y168" s="349"/>
      <c r="Z168" s="313"/>
      <c r="AA168" s="313"/>
      <c r="AB168" s="654"/>
      <c r="AC168" s="373"/>
      <c r="AD168" s="373"/>
      <c r="AE168" s="654"/>
      <c r="AF168" s="654"/>
      <c r="AG168" s="373"/>
      <c r="AH168" s="315"/>
      <c r="AI168" s="315"/>
      <c r="AJ168" s="348"/>
      <c r="AK168" s="349"/>
      <c r="AL168" s="349"/>
      <c r="AM168" s="348"/>
      <c r="AN168" s="349"/>
      <c r="AO168" s="349"/>
      <c r="AP168" s="313"/>
      <c r="AQ168" s="313"/>
      <c r="AR168" s="654"/>
      <c r="AS168" s="373"/>
      <c r="AT168" s="373"/>
      <c r="AU168" s="654"/>
      <c r="AV168" s="373"/>
      <c r="AW168" s="373"/>
      <c r="AX168" s="315"/>
      <c r="AY168" s="315"/>
      <c r="AZ168" s="348"/>
      <c r="BA168" s="349"/>
      <c r="BB168" s="349"/>
      <c r="BC168" s="348"/>
      <c r="BD168" s="349"/>
      <c r="BE168" s="349"/>
      <c r="BF168" s="313"/>
      <c r="BG168" s="313"/>
      <c r="BH168" s="654"/>
      <c r="BI168" s="373"/>
      <c r="BJ168" s="373"/>
      <c r="BK168" s="654"/>
      <c r="BL168" s="373"/>
      <c r="BM168" s="373"/>
      <c r="BN168" s="315"/>
      <c r="BO168" s="315"/>
      <c r="BP168" s="313"/>
      <c r="BQ168" s="349"/>
      <c r="BR168" s="349"/>
      <c r="BS168" s="348"/>
      <c r="BT168" s="349"/>
      <c r="BU168" s="349"/>
      <c r="BV168" s="313"/>
      <c r="BW168" s="313"/>
      <c r="BX168" s="315"/>
      <c r="BY168" s="373"/>
      <c r="BZ168" s="373"/>
      <c r="CA168" s="654"/>
      <c r="CB168" s="373"/>
      <c r="CC168" s="373"/>
      <c r="CD168" s="315"/>
      <c r="CE168" s="315"/>
      <c r="CF168" s="313"/>
      <c r="CG168" s="349"/>
      <c r="CH168" s="349"/>
      <c r="CI168" s="313"/>
      <c r="CJ168" s="349"/>
      <c r="CK168" s="349"/>
      <c r="CL168" s="313"/>
      <c r="CM168" s="313"/>
      <c r="CN168" s="315"/>
      <c r="CO168" s="373"/>
      <c r="CP168" s="373"/>
      <c r="CQ168" s="315"/>
      <c r="CR168" s="373"/>
      <c r="CS168" s="373"/>
      <c r="CT168" s="315"/>
      <c r="CU168" s="315"/>
      <c r="CV168" s="353"/>
      <c r="CW168" s="313"/>
      <c r="CX168" s="512"/>
      <c r="CY168" s="516"/>
      <c r="CZ168" s="517"/>
      <c r="DA168" s="516"/>
      <c r="DB168" s="517"/>
      <c r="DC168" s="516"/>
      <c r="DD168" s="517"/>
      <c r="DE168" s="516"/>
      <c r="DF168" s="517"/>
      <c r="DG168" s="516"/>
      <c r="DH168" s="517"/>
      <c r="DI168" s="516"/>
      <c r="DJ168" s="517"/>
      <c r="DK168" s="516"/>
      <c r="DL168" s="517"/>
      <c r="DM168" s="512"/>
      <c r="DN168" s="313"/>
      <c r="DO168" s="313"/>
      <c r="DP168" s="313"/>
      <c r="DQ168" s="313"/>
      <c r="DR168" s="313"/>
      <c r="DS168" s="313"/>
      <c r="DT168" s="313"/>
      <c r="DU168" s="313"/>
      <c r="DV168" s="313"/>
      <c r="DW168" s="313"/>
    </row>
    <row r="169" spans="1:127" s="2" customFormat="1">
      <c r="A169" s="347"/>
      <c r="B169" s="347"/>
      <c r="C169" s="268"/>
      <c r="D169" s="346"/>
      <c r="E169" s="347"/>
      <c r="F169" s="349"/>
      <c r="G169" s="349"/>
      <c r="H169" s="348"/>
      <c r="I169" s="347"/>
      <c r="J169" s="348"/>
      <c r="K169" s="349"/>
      <c r="L169" s="348"/>
      <c r="M169" s="347"/>
      <c r="N169" s="347"/>
      <c r="O169" s="313"/>
      <c r="P169" s="313"/>
      <c r="Q169" s="313"/>
      <c r="R169" s="313"/>
      <c r="S169" s="313"/>
      <c r="T169" s="348"/>
      <c r="U169" s="349"/>
      <c r="V169" s="349"/>
      <c r="W169" s="348"/>
      <c r="X169" s="348"/>
      <c r="Y169" s="349"/>
      <c r="Z169" s="313"/>
      <c r="AA169" s="313"/>
      <c r="AB169" s="654"/>
      <c r="AC169" s="373"/>
      <c r="AD169" s="373"/>
      <c r="AE169" s="654"/>
      <c r="AF169" s="654"/>
      <c r="AG169" s="373"/>
      <c r="AH169" s="315"/>
      <c r="AI169" s="315"/>
      <c r="AJ169" s="348"/>
      <c r="AK169" s="349"/>
      <c r="AL169" s="349"/>
      <c r="AM169" s="348"/>
      <c r="AN169" s="349"/>
      <c r="AO169" s="349"/>
      <c r="AP169" s="313"/>
      <c r="AQ169" s="313"/>
      <c r="AR169" s="654"/>
      <c r="AS169" s="373"/>
      <c r="AT169" s="373"/>
      <c r="AU169" s="654"/>
      <c r="AV169" s="373"/>
      <c r="AW169" s="373"/>
      <c r="AX169" s="315"/>
      <c r="AY169" s="315"/>
      <c r="AZ169" s="348"/>
      <c r="BA169" s="349"/>
      <c r="BB169" s="349"/>
      <c r="BC169" s="348"/>
      <c r="BD169" s="349"/>
      <c r="BE169" s="349"/>
      <c r="BF169" s="313"/>
      <c r="BG169" s="313"/>
      <c r="BH169" s="654"/>
      <c r="BI169" s="373"/>
      <c r="BJ169" s="373"/>
      <c r="BK169" s="654"/>
      <c r="BL169" s="373"/>
      <c r="BM169" s="373"/>
      <c r="BN169" s="315"/>
      <c r="BO169" s="315"/>
      <c r="BP169" s="313"/>
      <c r="BQ169" s="349"/>
      <c r="BR169" s="349"/>
      <c r="BS169" s="348"/>
      <c r="BT169" s="349"/>
      <c r="BU169" s="349"/>
      <c r="BV169" s="313"/>
      <c r="BW169" s="313"/>
      <c r="BX169" s="315"/>
      <c r="BY169" s="373"/>
      <c r="BZ169" s="373"/>
      <c r="CA169" s="654"/>
      <c r="CB169" s="373"/>
      <c r="CC169" s="373"/>
      <c r="CD169" s="315"/>
      <c r="CE169" s="315"/>
      <c r="CF169" s="313"/>
      <c r="CG169" s="349"/>
      <c r="CH169" s="349"/>
      <c r="CI169" s="313"/>
      <c r="CJ169" s="349"/>
      <c r="CK169" s="349"/>
      <c r="CL169" s="313"/>
      <c r="CM169" s="313"/>
      <c r="CN169" s="315"/>
      <c r="CO169" s="373"/>
      <c r="CP169" s="373"/>
      <c r="CQ169" s="315"/>
      <c r="CR169" s="373"/>
      <c r="CS169" s="373"/>
      <c r="CT169" s="315"/>
      <c r="CU169" s="315"/>
      <c r="CV169" s="353"/>
      <c r="CW169" s="313"/>
      <c r="CX169" s="512"/>
      <c r="CY169" s="516"/>
      <c r="CZ169" s="517"/>
      <c r="DA169" s="516"/>
      <c r="DB169" s="517"/>
      <c r="DC169" s="516"/>
      <c r="DD169" s="517"/>
      <c r="DE169" s="516"/>
      <c r="DF169" s="517"/>
      <c r="DG169" s="516"/>
      <c r="DH169" s="517"/>
      <c r="DI169" s="516"/>
      <c r="DJ169" s="517"/>
      <c r="DK169" s="516"/>
      <c r="DL169" s="517"/>
      <c r="DM169" s="512"/>
      <c r="DN169" s="313"/>
      <c r="DO169" s="313"/>
      <c r="DP169" s="313"/>
      <c r="DQ169" s="313"/>
      <c r="DR169" s="313"/>
      <c r="DS169" s="313"/>
      <c r="DT169" s="313"/>
      <c r="DU169" s="313"/>
      <c r="DV169" s="313"/>
      <c r="DW169" s="313"/>
    </row>
    <row r="170" spans="1:127" s="2" customFormat="1">
      <c r="A170" s="347"/>
      <c r="B170" s="347"/>
      <c r="C170" s="268"/>
      <c r="D170" s="346"/>
      <c r="E170" s="347"/>
      <c r="F170" s="349"/>
      <c r="G170" s="349"/>
      <c r="H170" s="348"/>
      <c r="I170" s="347"/>
      <c r="J170" s="348"/>
      <c r="K170" s="349"/>
      <c r="L170" s="348"/>
      <c r="M170" s="347"/>
      <c r="N170" s="347"/>
      <c r="O170" s="313"/>
      <c r="P170" s="313"/>
      <c r="Q170" s="313"/>
      <c r="R170" s="313"/>
      <c r="S170" s="313"/>
      <c r="T170" s="348"/>
      <c r="U170" s="349"/>
      <c r="V170" s="349"/>
      <c r="W170" s="348"/>
      <c r="X170" s="348"/>
      <c r="Y170" s="349"/>
      <c r="Z170" s="313"/>
      <c r="AA170" s="313"/>
      <c r="AB170" s="654"/>
      <c r="AC170" s="373"/>
      <c r="AD170" s="373"/>
      <c r="AE170" s="654"/>
      <c r="AF170" s="654"/>
      <c r="AG170" s="373"/>
      <c r="AH170" s="315"/>
      <c r="AI170" s="315"/>
      <c r="AJ170" s="348"/>
      <c r="AK170" s="349"/>
      <c r="AL170" s="349"/>
      <c r="AM170" s="348"/>
      <c r="AN170" s="349"/>
      <c r="AO170" s="349"/>
      <c r="AP170" s="313"/>
      <c r="AQ170" s="313"/>
      <c r="AR170" s="654"/>
      <c r="AS170" s="373"/>
      <c r="AT170" s="373"/>
      <c r="AU170" s="654"/>
      <c r="AV170" s="373"/>
      <c r="AW170" s="373"/>
      <c r="AX170" s="315"/>
      <c r="AY170" s="315"/>
      <c r="AZ170" s="348"/>
      <c r="BA170" s="349"/>
      <c r="BB170" s="349"/>
      <c r="BC170" s="348"/>
      <c r="BD170" s="349"/>
      <c r="BE170" s="349"/>
      <c r="BF170" s="313"/>
      <c r="BG170" s="313"/>
      <c r="BH170" s="654"/>
      <c r="BI170" s="373"/>
      <c r="BJ170" s="373"/>
      <c r="BK170" s="654"/>
      <c r="BL170" s="373"/>
      <c r="BM170" s="373"/>
      <c r="BN170" s="315"/>
      <c r="BO170" s="315"/>
      <c r="BP170" s="313"/>
      <c r="BQ170" s="349"/>
      <c r="BR170" s="349"/>
      <c r="BS170" s="348"/>
      <c r="BT170" s="349"/>
      <c r="BU170" s="349"/>
      <c r="BV170" s="313"/>
      <c r="BW170" s="313"/>
      <c r="BX170" s="315"/>
      <c r="BY170" s="373"/>
      <c r="BZ170" s="373"/>
      <c r="CA170" s="654"/>
      <c r="CB170" s="373"/>
      <c r="CC170" s="373"/>
      <c r="CD170" s="315"/>
      <c r="CE170" s="315"/>
      <c r="CF170" s="313"/>
      <c r="CG170" s="349"/>
      <c r="CH170" s="349"/>
      <c r="CI170" s="313"/>
      <c r="CJ170" s="349"/>
      <c r="CK170" s="349"/>
      <c r="CL170" s="313"/>
      <c r="CM170" s="313"/>
      <c r="CN170" s="315"/>
      <c r="CO170" s="373"/>
      <c r="CP170" s="373"/>
      <c r="CQ170" s="315"/>
      <c r="CR170" s="373"/>
      <c r="CS170" s="373"/>
      <c r="CT170" s="315"/>
      <c r="CU170" s="315"/>
      <c r="CV170" s="353"/>
      <c r="CW170" s="313"/>
      <c r="CX170" s="512"/>
      <c r="CY170" s="516"/>
      <c r="CZ170" s="517"/>
      <c r="DA170" s="516"/>
      <c r="DB170" s="517"/>
      <c r="DC170" s="516"/>
      <c r="DD170" s="517"/>
      <c r="DE170" s="516"/>
      <c r="DF170" s="517"/>
      <c r="DG170" s="516"/>
      <c r="DH170" s="517"/>
      <c r="DI170" s="516"/>
      <c r="DJ170" s="517"/>
      <c r="DK170" s="516"/>
      <c r="DL170" s="517"/>
      <c r="DM170" s="512"/>
      <c r="DN170" s="313"/>
      <c r="DO170" s="313"/>
      <c r="DP170" s="313"/>
      <c r="DQ170" s="313"/>
      <c r="DR170" s="313"/>
      <c r="DS170" s="313"/>
      <c r="DT170" s="313"/>
      <c r="DU170" s="313"/>
      <c r="DV170" s="313"/>
      <c r="DW170" s="313"/>
    </row>
    <row r="171" spans="1:127" s="2" customFormat="1">
      <c r="A171" s="347"/>
      <c r="B171" s="347"/>
      <c r="C171" s="268"/>
      <c r="D171" s="346"/>
      <c r="E171" s="347"/>
      <c r="F171" s="349"/>
      <c r="G171" s="349"/>
      <c r="H171" s="348"/>
      <c r="I171" s="347"/>
      <c r="J171" s="348"/>
      <c r="K171" s="349"/>
      <c r="L171" s="348"/>
      <c r="M171" s="347"/>
      <c r="N171" s="347"/>
      <c r="O171" s="313"/>
      <c r="P171" s="313"/>
      <c r="Q171" s="313"/>
      <c r="R171" s="313"/>
      <c r="S171" s="313"/>
      <c r="T171" s="348"/>
      <c r="U171" s="349"/>
      <c r="V171" s="349"/>
      <c r="W171" s="348"/>
      <c r="X171" s="348"/>
      <c r="Y171" s="349"/>
      <c r="Z171" s="313"/>
      <c r="AA171" s="313"/>
      <c r="AB171" s="654"/>
      <c r="AC171" s="373"/>
      <c r="AD171" s="373"/>
      <c r="AE171" s="654"/>
      <c r="AF171" s="654"/>
      <c r="AG171" s="373"/>
      <c r="AH171" s="315"/>
      <c r="AI171" s="315"/>
      <c r="AJ171" s="348"/>
      <c r="AK171" s="349"/>
      <c r="AL171" s="349"/>
      <c r="AM171" s="348"/>
      <c r="AN171" s="349"/>
      <c r="AO171" s="349"/>
      <c r="AP171" s="313"/>
      <c r="AQ171" s="313"/>
      <c r="AR171" s="654"/>
      <c r="AS171" s="373"/>
      <c r="AT171" s="373"/>
      <c r="AU171" s="654"/>
      <c r="AV171" s="373"/>
      <c r="AW171" s="373"/>
      <c r="AX171" s="315"/>
      <c r="AY171" s="315"/>
      <c r="AZ171" s="348"/>
      <c r="BA171" s="349"/>
      <c r="BB171" s="349"/>
      <c r="BC171" s="348"/>
      <c r="BD171" s="349"/>
      <c r="BE171" s="349"/>
      <c r="BF171" s="313"/>
      <c r="BG171" s="313"/>
      <c r="BH171" s="654"/>
      <c r="BI171" s="373"/>
      <c r="BJ171" s="373"/>
      <c r="BK171" s="654"/>
      <c r="BL171" s="373"/>
      <c r="BM171" s="373"/>
      <c r="BN171" s="315"/>
      <c r="BO171" s="315"/>
      <c r="BP171" s="313"/>
      <c r="BQ171" s="349"/>
      <c r="BR171" s="349"/>
      <c r="BS171" s="348"/>
      <c r="BT171" s="349"/>
      <c r="BU171" s="349"/>
      <c r="BV171" s="313"/>
      <c r="BW171" s="313"/>
      <c r="BX171" s="315"/>
      <c r="BY171" s="373"/>
      <c r="BZ171" s="373"/>
      <c r="CA171" s="654"/>
      <c r="CB171" s="373"/>
      <c r="CC171" s="373"/>
      <c r="CD171" s="315"/>
      <c r="CE171" s="315"/>
      <c r="CF171" s="313"/>
      <c r="CG171" s="349"/>
      <c r="CH171" s="349"/>
      <c r="CI171" s="313"/>
      <c r="CJ171" s="349"/>
      <c r="CK171" s="349"/>
      <c r="CL171" s="313"/>
      <c r="CM171" s="313"/>
      <c r="CN171" s="315"/>
      <c r="CO171" s="373"/>
      <c r="CP171" s="373"/>
      <c r="CQ171" s="315"/>
      <c r="CR171" s="373"/>
      <c r="CS171" s="373"/>
      <c r="CT171" s="315"/>
      <c r="CU171" s="315"/>
      <c r="CV171" s="353"/>
      <c r="CW171" s="313"/>
      <c r="CX171" s="512"/>
      <c r="CY171" s="516"/>
      <c r="CZ171" s="517"/>
      <c r="DA171" s="516"/>
      <c r="DB171" s="517"/>
      <c r="DC171" s="516"/>
      <c r="DD171" s="517"/>
      <c r="DE171" s="516"/>
      <c r="DF171" s="517"/>
      <c r="DG171" s="516"/>
      <c r="DH171" s="517"/>
      <c r="DI171" s="516"/>
      <c r="DJ171" s="517"/>
      <c r="DK171" s="516"/>
      <c r="DL171" s="517"/>
      <c r="DM171" s="512"/>
      <c r="DN171" s="313"/>
      <c r="DO171" s="313"/>
      <c r="DP171" s="313"/>
      <c r="DQ171" s="313"/>
      <c r="DR171" s="313"/>
      <c r="DS171" s="313"/>
      <c r="DT171" s="313"/>
      <c r="DU171" s="313"/>
      <c r="DV171" s="313"/>
      <c r="DW171" s="313"/>
    </row>
    <row r="172" spans="1:127" s="2" customFormat="1">
      <c r="A172" s="347"/>
      <c r="B172" s="347"/>
      <c r="C172" s="268"/>
      <c r="D172" s="346"/>
      <c r="E172" s="347"/>
      <c r="F172" s="349"/>
      <c r="G172" s="349"/>
      <c r="H172" s="348"/>
      <c r="I172" s="347"/>
      <c r="J172" s="348"/>
      <c r="K172" s="349"/>
      <c r="L172" s="348"/>
      <c r="M172" s="347"/>
      <c r="N172" s="347"/>
      <c r="O172" s="313"/>
      <c r="P172" s="313"/>
      <c r="Q172" s="313"/>
      <c r="R172" s="313"/>
      <c r="S172" s="313"/>
      <c r="T172" s="348"/>
      <c r="U172" s="349"/>
      <c r="V172" s="349"/>
      <c r="W172" s="348"/>
      <c r="X172" s="348"/>
      <c r="Y172" s="349"/>
      <c r="Z172" s="313"/>
      <c r="AA172" s="313"/>
      <c r="AB172" s="654"/>
      <c r="AC172" s="373"/>
      <c r="AD172" s="373"/>
      <c r="AE172" s="654"/>
      <c r="AF172" s="654"/>
      <c r="AG172" s="373"/>
      <c r="AH172" s="315"/>
      <c r="AI172" s="315"/>
      <c r="AJ172" s="348"/>
      <c r="AK172" s="349"/>
      <c r="AL172" s="349"/>
      <c r="AM172" s="348"/>
      <c r="AN172" s="349"/>
      <c r="AO172" s="349"/>
      <c r="AP172" s="313"/>
      <c r="AQ172" s="313"/>
      <c r="AR172" s="654"/>
      <c r="AS172" s="373"/>
      <c r="AT172" s="373"/>
      <c r="AU172" s="654"/>
      <c r="AV172" s="373"/>
      <c r="AW172" s="373"/>
      <c r="AX172" s="315"/>
      <c r="AY172" s="315"/>
      <c r="AZ172" s="348"/>
      <c r="BA172" s="349"/>
      <c r="BB172" s="349"/>
      <c r="BC172" s="348"/>
      <c r="BD172" s="349"/>
      <c r="BE172" s="349"/>
      <c r="BF172" s="313"/>
      <c r="BG172" s="313"/>
      <c r="BH172" s="654"/>
      <c r="BI172" s="373"/>
      <c r="BJ172" s="373"/>
      <c r="BK172" s="654"/>
      <c r="BL172" s="373"/>
      <c r="BM172" s="373"/>
      <c r="BN172" s="315"/>
      <c r="BO172" s="315"/>
      <c r="BP172" s="313"/>
      <c r="BQ172" s="349"/>
      <c r="BR172" s="349"/>
      <c r="BS172" s="348"/>
      <c r="BT172" s="349"/>
      <c r="BU172" s="349"/>
      <c r="BV172" s="313"/>
      <c r="BW172" s="313"/>
      <c r="BX172" s="315"/>
      <c r="BY172" s="373"/>
      <c r="BZ172" s="373"/>
      <c r="CA172" s="654"/>
      <c r="CB172" s="373"/>
      <c r="CC172" s="373"/>
      <c r="CD172" s="315"/>
      <c r="CE172" s="315"/>
      <c r="CF172" s="313"/>
      <c r="CG172" s="349"/>
      <c r="CH172" s="349"/>
      <c r="CI172" s="313"/>
      <c r="CJ172" s="349"/>
      <c r="CK172" s="349"/>
      <c r="CL172" s="313"/>
      <c r="CM172" s="313"/>
      <c r="CN172" s="315"/>
      <c r="CO172" s="373"/>
      <c r="CP172" s="373"/>
      <c r="CQ172" s="315"/>
      <c r="CR172" s="373"/>
      <c r="CS172" s="373"/>
      <c r="CT172" s="315"/>
      <c r="CU172" s="315"/>
      <c r="CV172" s="353"/>
      <c r="CW172" s="313"/>
      <c r="CX172" s="512"/>
      <c r="CY172" s="516"/>
      <c r="CZ172" s="517"/>
      <c r="DA172" s="516"/>
      <c r="DB172" s="517"/>
      <c r="DC172" s="516"/>
      <c r="DD172" s="517"/>
      <c r="DE172" s="516"/>
      <c r="DF172" s="517"/>
      <c r="DG172" s="516"/>
      <c r="DH172" s="517"/>
      <c r="DI172" s="516"/>
      <c r="DJ172" s="517"/>
      <c r="DK172" s="516"/>
      <c r="DL172" s="517"/>
      <c r="DM172" s="512"/>
      <c r="DN172" s="313"/>
      <c r="DO172" s="313"/>
      <c r="DP172" s="313"/>
      <c r="DQ172" s="313"/>
      <c r="DR172" s="313"/>
      <c r="DS172" s="313"/>
      <c r="DT172" s="313"/>
      <c r="DU172" s="313"/>
      <c r="DV172" s="313"/>
      <c r="DW172" s="313"/>
    </row>
    <row r="173" spans="1:127" s="2" customFormat="1">
      <c r="A173" s="347"/>
      <c r="B173" s="347"/>
      <c r="C173" s="268"/>
      <c r="D173" s="346"/>
      <c r="E173" s="347"/>
      <c r="F173" s="349"/>
      <c r="G173" s="349"/>
      <c r="H173" s="348"/>
      <c r="I173" s="347"/>
      <c r="J173" s="348"/>
      <c r="K173" s="349"/>
      <c r="L173" s="348"/>
      <c r="M173" s="347"/>
      <c r="N173" s="347"/>
      <c r="O173" s="313"/>
      <c r="P173" s="313"/>
      <c r="Q173" s="313"/>
      <c r="R173" s="313"/>
      <c r="S173" s="313"/>
      <c r="T173" s="348"/>
      <c r="U173" s="349"/>
      <c r="V173" s="349"/>
      <c r="W173" s="348"/>
      <c r="X173" s="348"/>
      <c r="Y173" s="349"/>
      <c r="Z173" s="313"/>
      <c r="AA173" s="313"/>
      <c r="AB173" s="654"/>
      <c r="AC173" s="373"/>
      <c r="AD173" s="373"/>
      <c r="AE173" s="654"/>
      <c r="AF173" s="654"/>
      <c r="AG173" s="373"/>
      <c r="AH173" s="315"/>
      <c r="AI173" s="315"/>
      <c r="AJ173" s="348"/>
      <c r="AK173" s="349"/>
      <c r="AL173" s="349"/>
      <c r="AM173" s="348"/>
      <c r="AN173" s="349"/>
      <c r="AO173" s="349"/>
      <c r="AP173" s="313"/>
      <c r="AQ173" s="313"/>
      <c r="AR173" s="654"/>
      <c r="AS173" s="373"/>
      <c r="AT173" s="373"/>
      <c r="AU173" s="654"/>
      <c r="AV173" s="373"/>
      <c r="AW173" s="373"/>
      <c r="AX173" s="315"/>
      <c r="AY173" s="315"/>
      <c r="AZ173" s="348"/>
      <c r="BA173" s="349"/>
      <c r="BB173" s="349"/>
      <c r="BC173" s="348"/>
      <c r="BD173" s="349"/>
      <c r="BE173" s="349"/>
      <c r="BF173" s="313"/>
      <c r="BG173" s="313"/>
      <c r="BH173" s="654"/>
      <c r="BI173" s="373"/>
      <c r="BJ173" s="373"/>
      <c r="BK173" s="654"/>
      <c r="BL173" s="373"/>
      <c r="BM173" s="373"/>
      <c r="BN173" s="315"/>
      <c r="BO173" s="315"/>
      <c r="BP173" s="313"/>
      <c r="BQ173" s="349"/>
      <c r="BR173" s="349"/>
      <c r="BS173" s="348"/>
      <c r="BT173" s="349"/>
      <c r="BU173" s="349"/>
      <c r="BV173" s="313"/>
      <c r="BW173" s="313"/>
      <c r="BX173" s="315"/>
      <c r="BY173" s="373"/>
      <c r="BZ173" s="373"/>
      <c r="CA173" s="654"/>
      <c r="CB173" s="373"/>
      <c r="CC173" s="373"/>
      <c r="CD173" s="315"/>
      <c r="CE173" s="315"/>
      <c r="CF173" s="313"/>
      <c r="CG173" s="349"/>
      <c r="CH173" s="349"/>
      <c r="CI173" s="313"/>
      <c r="CJ173" s="349"/>
      <c r="CK173" s="349"/>
      <c r="CL173" s="313"/>
      <c r="CM173" s="313"/>
      <c r="CN173" s="315"/>
      <c r="CO173" s="373"/>
      <c r="CP173" s="373"/>
      <c r="CQ173" s="315"/>
      <c r="CR173" s="373"/>
      <c r="CS173" s="373"/>
      <c r="CT173" s="315"/>
      <c r="CU173" s="315"/>
      <c r="CV173" s="353"/>
      <c r="CW173" s="313"/>
      <c r="CX173" s="512"/>
      <c r="CY173" s="516"/>
      <c r="CZ173" s="517"/>
      <c r="DA173" s="516"/>
      <c r="DB173" s="517"/>
      <c r="DC173" s="516"/>
      <c r="DD173" s="517"/>
      <c r="DE173" s="516"/>
      <c r="DF173" s="517"/>
      <c r="DG173" s="516"/>
      <c r="DH173" s="517"/>
      <c r="DI173" s="516"/>
      <c r="DJ173" s="517"/>
      <c r="DK173" s="516"/>
      <c r="DL173" s="517"/>
      <c r="DM173" s="512"/>
      <c r="DN173" s="313"/>
      <c r="DO173" s="313"/>
      <c r="DP173" s="313"/>
      <c r="DQ173" s="313"/>
      <c r="DR173" s="313"/>
      <c r="DS173" s="313"/>
      <c r="DT173" s="313"/>
      <c r="DU173" s="313"/>
      <c r="DV173" s="313"/>
      <c r="DW173" s="313"/>
    </row>
    <row r="174" spans="1:127" s="2" customFormat="1">
      <c r="A174" s="347"/>
      <c r="B174" s="347"/>
      <c r="C174" s="268"/>
      <c r="D174" s="346"/>
      <c r="E174" s="347"/>
      <c r="F174" s="349"/>
      <c r="G174" s="349"/>
      <c r="H174" s="348"/>
      <c r="I174" s="347"/>
      <c r="J174" s="348"/>
      <c r="K174" s="349"/>
      <c r="L174" s="348"/>
      <c r="M174" s="347"/>
      <c r="N174" s="347"/>
      <c r="O174" s="313"/>
      <c r="P174" s="313"/>
      <c r="Q174" s="313"/>
      <c r="R174" s="313"/>
      <c r="S174" s="313"/>
      <c r="T174" s="348"/>
      <c r="U174" s="349"/>
      <c r="V174" s="349"/>
      <c r="W174" s="348"/>
      <c r="X174" s="348"/>
      <c r="Y174" s="349"/>
      <c r="Z174" s="313"/>
      <c r="AA174" s="313"/>
      <c r="AB174" s="654"/>
      <c r="AC174" s="373"/>
      <c r="AD174" s="373"/>
      <c r="AE174" s="654"/>
      <c r="AF174" s="654"/>
      <c r="AG174" s="373"/>
      <c r="AH174" s="315"/>
      <c r="AI174" s="315"/>
      <c r="AJ174" s="348"/>
      <c r="AK174" s="349"/>
      <c r="AL174" s="349"/>
      <c r="AM174" s="348"/>
      <c r="AN174" s="349"/>
      <c r="AO174" s="349"/>
      <c r="AP174" s="313"/>
      <c r="AQ174" s="313"/>
      <c r="AR174" s="654"/>
      <c r="AS174" s="373"/>
      <c r="AT174" s="373"/>
      <c r="AU174" s="654"/>
      <c r="AV174" s="373"/>
      <c r="AW174" s="373"/>
      <c r="AX174" s="315"/>
      <c r="AY174" s="315"/>
      <c r="AZ174" s="348"/>
      <c r="BA174" s="349"/>
      <c r="BB174" s="349"/>
      <c r="BC174" s="348"/>
      <c r="BD174" s="349"/>
      <c r="BE174" s="349"/>
      <c r="BF174" s="313"/>
      <c r="BG174" s="313"/>
      <c r="BH174" s="654"/>
      <c r="BI174" s="373"/>
      <c r="BJ174" s="373"/>
      <c r="BK174" s="654"/>
      <c r="BL174" s="373"/>
      <c r="BM174" s="373"/>
      <c r="BN174" s="315"/>
      <c r="BO174" s="315"/>
      <c r="BP174" s="313"/>
      <c r="BQ174" s="349"/>
      <c r="BR174" s="349"/>
      <c r="BS174" s="348"/>
      <c r="BT174" s="349"/>
      <c r="BU174" s="349"/>
      <c r="BV174" s="313"/>
      <c r="BW174" s="313"/>
      <c r="BX174" s="315"/>
      <c r="BY174" s="373"/>
      <c r="BZ174" s="373"/>
      <c r="CA174" s="654"/>
      <c r="CB174" s="373"/>
      <c r="CC174" s="373"/>
      <c r="CD174" s="315"/>
      <c r="CE174" s="315"/>
      <c r="CF174" s="313"/>
      <c r="CG174" s="349"/>
      <c r="CH174" s="349"/>
      <c r="CI174" s="313"/>
      <c r="CJ174" s="349"/>
      <c r="CK174" s="349"/>
      <c r="CL174" s="313"/>
      <c r="CM174" s="313"/>
      <c r="CN174" s="315"/>
      <c r="CO174" s="373"/>
      <c r="CP174" s="373"/>
      <c r="CQ174" s="315"/>
      <c r="CR174" s="373"/>
      <c r="CS174" s="373"/>
      <c r="CT174" s="315"/>
      <c r="CU174" s="315"/>
      <c r="CV174" s="353"/>
      <c r="CW174" s="313"/>
      <c r="CX174" s="512"/>
      <c r="CY174" s="516"/>
      <c r="CZ174" s="517"/>
      <c r="DA174" s="516"/>
      <c r="DB174" s="517"/>
      <c r="DC174" s="516"/>
      <c r="DD174" s="517"/>
      <c r="DE174" s="516"/>
      <c r="DF174" s="517"/>
      <c r="DG174" s="516"/>
      <c r="DH174" s="517"/>
      <c r="DI174" s="516"/>
      <c r="DJ174" s="517"/>
      <c r="DK174" s="516"/>
      <c r="DL174" s="517"/>
      <c r="DM174" s="512"/>
      <c r="DN174" s="313"/>
      <c r="DO174" s="313"/>
      <c r="DP174" s="313"/>
      <c r="DQ174" s="313"/>
      <c r="DR174" s="313"/>
      <c r="DS174" s="313"/>
      <c r="DT174" s="313"/>
      <c r="DU174" s="313"/>
      <c r="DV174" s="313"/>
      <c r="DW174" s="313"/>
    </row>
    <row r="175" spans="1:127" s="2" customFormat="1">
      <c r="A175" s="347"/>
      <c r="B175" s="347"/>
      <c r="C175" s="268"/>
      <c r="D175" s="346"/>
      <c r="E175" s="347"/>
      <c r="F175" s="349"/>
      <c r="G175" s="349"/>
      <c r="H175" s="348"/>
      <c r="I175" s="347"/>
      <c r="J175" s="348"/>
      <c r="K175" s="349"/>
      <c r="L175" s="348"/>
      <c r="M175" s="347"/>
      <c r="N175" s="347"/>
      <c r="O175" s="313"/>
      <c r="P175" s="313"/>
      <c r="Q175" s="313"/>
      <c r="R175" s="313"/>
      <c r="S175" s="313"/>
      <c r="T175" s="348"/>
      <c r="U175" s="349"/>
      <c r="V175" s="349"/>
      <c r="W175" s="348"/>
      <c r="X175" s="348"/>
      <c r="Y175" s="349"/>
      <c r="Z175" s="313"/>
      <c r="AA175" s="313"/>
      <c r="AB175" s="654"/>
      <c r="AC175" s="373"/>
      <c r="AD175" s="373"/>
      <c r="AE175" s="654"/>
      <c r="AF175" s="654"/>
      <c r="AG175" s="373"/>
      <c r="AH175" s="315"/>
      <c r="AI175" s="315"/>
      <c r="AJ175" s="348"/>
      <c r="AK175" s="349"/>
      <c r="AL175" s="349"/>
      <c r="AM175" s="348"/>
      <c r="AN175" s="349"/>
      <c r="AO175" s="349"/>
      <c r="AP175" s="313"/>
      <c r="AQ175" s="313"/>
      <c r="AR175" s="654"/>
      <c r="AS175" s="373"/>
      <c r="AT175" s="373"/>
      <c r="AU175" s="654"/>
      <c r="AV175" s="373"/>
      <c r="AW175" s="373"/>
      <c r="AX175" s="315"/>
      <c r="AY175" s="315"/>
      <c r="AZ175" s="348"/>
      <c r="BA175" s="349"/>
      <c r="BB175" s="349"/>
      <c r="BC175" s="348"/>
      <c r="BD175" s="349"/>
      <c r="BE175" s="349"/>
      <c r="BF175" s="313"/>
      <c r="BG175" s="313"/>
      <c r="BH175" s="654"/>
      <c r="BI175" s="373"/>
      <c r="BJ175" s="373"/>
      <c r="BK175" s="654"/>
      <c r="BL175" s="373"/>
      <c r="BM175" s="373"/>
      <c r="BN175" s="315"/>
      <c r="BO175" s="315"/>
      <c r="BP175" s="313"/>
      <c r="BQ175" s="349"/>
      <c r="BR175" s="349"/>
      <c r="BS175" s="348"/>
      <c r="BT175" s="349"/>
      <c r="BU175" s="349"/>
      <c r="BV175" s="313"/>
      <c r="BW175" s="313"/>
      <c r="BX175" s="315"/>
      <c r="BY175" s="373"/>
      <c r="BZ175" s="373"/>
      <c r="CA175" s="654"/>
      <c r="CB175" s="373"/>
      <c r="CC175" s="373"/>
      <c r="CD175" s="315"/>
      <c r="CE175" s="315"/>
      <c r="CF175" s="313"/>
      <c r="CG175" s="349"/>
      <c r="CH175" s="349"/>
      <c r="CI175" s="313"/>
      <c r="CJ175" s="349"/>
      <c r="CK175" s="349"/>
      <c r="CL175" s="313"/>
      <c r="CM175" s="313"/>
      <c r="CN175" s="315"/>
      <c r="CO175" s="373"/>
      <c r="CP175" s="373"/>
      <c r="CQ175" s="315"/>
      <c r="CR175" s="373"/>
      <c r="CS175" s="373"/>
      <c r="CT175" s="315"/>
      <c r="CU175" s="315"/>
      <c r="CV175" s="353"/>
      <c r="CW175" s="313"/>
      <c r="CX175" s="512"/>
      <c r="CY175" s="516"/>
      <c r="CZ175" s="517"/>
      <c r="DA175" s="516"/>
      <c r="DB175" s="517"/>
      <c r="DC175" s="516"/>
      <c r="DD175" s="517"/>
      <c r="DE175" s="516"/>
      <c r="DF175" s="517"/>
      <c r="DG175" s="516"/>
      <c r="DH175" s="517"/>
      <c r="DI175" s="516"/>
      <c r="DJ175" s="517"/>
      <c r="DK175" s="516"/>
      <c r="DL175" s="517"/>
      <c r="DM175" s="512"/>
      <c r="DN175" s="313"/>
      <c r="DO175" s="313"/>
      <c r="DP175" s="313"/>
      <c r="DQ175" s="313"/>
      <c r="DR175" s="313"/>
      <c r="DS175" s="313"/>
      <c r="DT175" s="313"/>
      <c r="DU175" s="313"/>
      <c r="DV175" s="313"/>
      <c r="DW175" s="313"/>
    </row>
    <row r="176" spans="1:127" s="2" customFormat="1">
      <c r="A176" s="347"/>
      <c r="B176" s="347"/>
      <c r="C176" s="268"/>
      <c r="D176" s="346"/>
      <c r="E176" s="347"/>
      <c r="F176" s="349"/>
      <c r="G176" s="349"/>
      <c r="H176" s="348"/>
      <c r="I176" s="347"/>
      <c r="J176" s="348"/>
      <c r="K176" s="349"/>
      <c r="L176" s="348"/>
      <c r="M176" s="347"/>
      <c r="N176" s="347"/>
      <c r="O176" s="313"/>
      <c r="P176" s="313"/>
      <c r="Q176" s="313"/>
      <c r="R176" s="313"/>
      <c r="S176" s="313"/>
      <c r="T176" s="348"/>
      <c r="U176" s="349"/>
      <c r="V176" s="349"/>
      <c r="W176" s="348"/>
      <c r="X176" s="348"/>
      <c r="Y176" s="349"/>
      <c r="Z176" s="313"/>
      <c r="AA176" s="313"/>
      <c r="AB176" s="654"/>
      <c r="AC176" s="373"/>
      <c r="AD176" s="373"/>
      <c r="AE176" s="654"/>
      <c r="AF176" s="654"/>
      <c r="AG176" s="373"/>
      <c r="AH176" s="315"/>
      <c r="AI176" s="315"/>
      <c r="AJ176" s="348"/>
      <c r="AK176" s="349"/>
      <c r="AL176" s="349"/>
      <c r="AM176" s="348"/>
      <c r="AN176" s="349"/>
      <c r="AO176" s="349"/>
      <c r="AP176" s="313"/>
      <c r="AQ176" s="313"/>
      <c r="AR176" s="654"/>
      <c r="AS176" s="373"/>
      <c r="AT176" s="373"/>
      <c r="AU176" s="654"/>
      <c r="AV176" s="373"/>
      <c r="AW176" s="373"/>
      <c r="AX176" s="315"/>
      <c r="AY176" s="315"/>
      <c r="AZ176" s="348"/>
      <c r="BA176" s="349"/>
      <c r="BB176" s="349"/>
      <c r="BC176" s="348"/>
      <c r="BD176" s="349"/>
      <c r="BE176" s="349"/>
      <c r="BF176" s="313"/>
      <c r="BG176" s="313"/>
      <c r="BH176" s="654"/>
      <c r="BI176" s="373"/>
      <c r="BJ176" s="373"/>
      <c r="BK176" s="654"/>
      <c r="BL176" s="373"/>
      <c r="BM176" s="373"/>
      <c r="BN176" s="315"/>
      <c r="BO176" s="315"/>
      <c r="BP176" s="313"/>
      <c r="BQ176" s="349"/>
      <c r="BR176" s="349"/>
      <c r="BS176" s="348"/>
      <c r="BT176" s="349"/>
      <c r="BU176" s="349"/>
      <c r="BV176" s="313"/>
      <c r="BW176" s="313"/>
      <c r="BX176" s="315"/>
      <c r="BY176" s="373"/>
      <c r="BZ176" s="373"/>
      <c r="CA176" s="654"/>
      <c r="CB176" s="373"/>
      <c r="CC176" s="373"/>
      <c r="CD176" s="315"/>
      <c r="CE176" s="315"/>
      <c r="CF176" s="313"/>
      <c r="CG176" s="349"/>
      <c r="CH176" s="349"/>
      <c r="CI176" s="313"/>
      <c r="CJ176" s="349"/>
      <c r="CK176" s="349"/>
      <c r="CL176" s="313"/>
      <c r="CM176" s="313"/>
      <c r="CN176" s="315"/>
      <c r="CO176" s="373"/>
      <c r="CP176" s="373"/>
      <c r="CQ176" s="315"/>
      <c r="CR176" s="373"/>
      <c r="CS176" s="373"/>
      <c r="CT176" s="315"/>
      <c r="CU176" s="315"/>
      <c r="CV176" s="353"/>
      <c r="CW176" s="313"/>
      <c r="CX176" s="512"/>
      <c r="CY176" s="516"/>
      <c r="CZ176" s="517"/>
      <c r="DA176" s="516"/>
      <c r="DB176" s="517"/>
      <c r="DC176" s="516"/>
      <c r="DD176" s="517"/>
      <c r="DE176" s="516"/>
      <c r="DF176" s="517"/>
      <c r="DG176" s="516"/>
      <c r="DH176" s="517"/>
      <c r="DI176" s="516"/>
      <c r="DJ176" s="517"/>
      <c r="DK176" s="516"/>
      <c r="DL176" s="517"/>
      <c r="DM176" s="512"/>
      <c r="DN176" s="313"/>
      <c r="DO176" s="313"/>
      <c r="DP176" s="313"/>
      <c r="DQ176" s="313"/>
      <c r="DR176" s="313"/>
      <c r="DS176" s="313"/>
      <c r="DT176" s="313"/>
      <c r="DU176" s="313"/>
      <c r="DV176" s="313"/>
      <c r="DW176" s="313"/>
    </row>
    <row r="177" spans="1:127" s="2" customFormat="1">
      <c r="A177" s="347"/>
      <c r="B177" s="347"/>
      <c r="C177" s="268"/>
      <c r="D177" s="346"/>
      <c r="E177" s="347"/>
      <c r="F177" s="349"/>
      <c r="G177" s="349"/>
      <c r="H177" s="348"/>
      <c r="I177" s="347"/>
      <c r="J177" s="348"/>
      <c r="K177" s="349"/>
      <c r="L177" s="348"/>
      <c r="M177" s="347"/>
      <c r="N177" s="347"/>
      <c r="O177" s="313"/>
      <c r="P177" s="313"/>
      <c r="Q177" s="313"/>
      <c r="R177" s="313"/>
      <c r="S177" s="313"/>
      <c r="T177" s="348"/>
      <c r="U177" s="349"/>
      <c r="V177" s="349"/>
      <c r="W177" s="348"/>
      <c r="X177" s="348"/>
      <c r="Y177" s="349"/>
      <c r="Z177" s="313"/>
      <c r="AA177" s="313"/>
      <c r="AB177" s="654"/>
      <c r="AC177" s="373"/>
      <c r="AD177" s="373"/>
      <c r="AE177" s="654"/>
      <c r="AF177" s="654"/>
      <c r="AG177" s="373"/>
      <c r="AH177" s="315"/>
      <c r="AI177" s="315"/>
      <c r="AJ177" s="348"/>
      <c r="AK177" s="349"/>
      <c r="AL177" s="349"/>
      <c r="AM177" s="348"/>
      <c r="AN177" s="349"/>
      <c r="AO177" s="349"/>
      <c r="AP177" s="313"/>
      <c r="AQ177" s="313"/>
      <c r="AR177" s="654"/>
      <c r="AS177" s="373"/>
      <c r="AT177" s="373"/>
      <c r="AU177" s="654"/>
      <c r="AV177" s="373"/>
      <c r="AW177" s="373"/>
      <c r="AX177" s="315"/>
      <c r="AY177" s="315"/>
      <c r="AZ177" s="348"/>
      <c r="BA177" s="349"/>
      <c r="BB177" s="349"/>
      <c r="BC177" s="348"/>
      <c r="BD177" s="349"/>
      <c r="BE177" s="349"/>
      <c r="BF177" s="313"/>
      <c r="BG177" s="313"/>
      <c r="BH177" s="654"/>
      <c r="BI177" s="373"/>
      <c r="BJ177" s="373"/>
      <c r="BK177" s="654"/>
      <c r="BL177" s="373"/>
      <c r="BM177" s="373"/>
      <c r="BN177" s="315"/>
      <c r="BO177" s="315"/>
      <c r="BP177" s="313"/>
      <c r="BQ177" s="349"/>
      <c r="BR177" s="349"/>
      <c r="BS177" s="348"/>
      <c r="BT177" s="349"/>
      <c r="BU177" s="349"/>
      <c r="BV177" s="313"/>
      <c r="BW177" s="313"/>
      <c r="BX177" s="315"/>
      <c r="BY177" s="373"/>
      <c r="BZ177" s="373"/>
      <c r="CA177" s="654"/>
      <c r="CB177" s="373"/>
      <c r="CC177" s="373"/>
      <c r="CD177" s="315"/>
      <c r="CE177" s="315"/>
      <c r="CF177" s="313"/>
      <c r="CG177" s="349"/>
      <c r="CH177" s="349"/>
      <c r="CI177" s="313"/>
      <c r="CJ177" s="349"/>
      <c r="CK177" s="349"/>
      <c r="CL177" s="313"/>
      <c r="CM177" s="313"/>
      <c r="CN177" s="315"/>
      <c r="CO177" s="373"/>
      <c r="CP177" s="373"/>
      <c r="CQ177" s="315"/>
      <c r="CR177" s="373"/>
      <c r="CS177" s="373"/>
      <c r="CT177" s="315"/>
      <c r="CU177" s="315"/>
      <c r="CV177" s="353"/>
      <c r="CW177" s="313"/>
      <c r="CX177" s="512"/>
      <c r="CY177" s="516"/>
      <c r="CZ177" s="517"/>
      <c r="DA177" s="516"/>
      <c r="DB177" s="517"/>
      <c r="DC177" s="516"/>
      <c r="DD177" s="517"/>
      <c r="DE177" s="516"/>
      <c r="DF177" s="517"/>
      <c r="DG177" s="516"/>
      <c r="DH177" s="517"/>
      <c r="DI177" s="516"/>
      <c r="DJ177" s="517"/>
      <c r="DK177" s="516"/>
      <c r="DL177" s="517"/>
      <c r="DM177" s="512"/>
      <c r="DN177" s="313"/>
      <c r="DO177" s="313"/>
      <c r="DP177" s="313"/>
      <c r="DQ177" s="313"/>
      <c r="DR177" s="313"/>
      <c r="DS177" s="313"/>
      <c r="DT177" s="313"/>
      <c r="DU177" s="313"/>
      <c r="DV177" s="313"/>
      <c r="DW177" s="313"/>
    </row>
    <row r="178" spans="1:127" s="2" customFormat="1">
      <c r="A178" s="347"/>
      <c r="B178" s="347"/>
      <c r="C178" s="268"/>
      <c r="D178" s="346"/>
      <c r="E178" s="347"/>
      <c r="F178" s="349"/>
      <c r="G178" s="349"/>
      <c r="H178" s="348"/>
      <c r="I178" s="347"/>
      <c r="J178" s="348"/>
      <c r="K178" s="349"/>
      <c r="L178" s="348"/>
      <c r="M178" s="347"/>
      <c r="N178" s="347"/>
      <c r="O178" s="313"/>
      <c r="P178" s="313"/>
      <c r="Q178" s="313"/>
      <c r="R178" s="313"/>
      <c r="S178" s="313"/>
      <c r="T178" s="348"/>
      <c r="U178" s="349"/>
      <c r="V178" s="349"/>
      <c r="W178" s="348"/>
      <c r="X178" s="348"/>
      <c r="Y178" s="349"/>
      <c r="Z178" s="313"/>
      <c r="AA178" s="313"/>
      <c r="AB178" s="654"/>
      <c r="AC178" s="373"/>
      <c r="AD178" s="373"/>
      <c r="AE178" s="654"/>
      <c r="AF178" s="654"/>
      <c r="AG178" s="373"/>
      <c r="AH178" s="315"/>
      <c r="AI178" s="315"/>
      <c r="AJ178" s="348"/>
      <c r="AK178" s="349"/>
      <c r="AL178" s="349"/>
      <c r="AM178" s="348"/>
      <c r="AN178" s="349"/>
      <c r="AO178" s="349"/>
      <c r="AP178" s="313"/>
      <c r="AQ178" s="313"/>
      <c r="AR178" s="654"/>
      <c r="AS178" s="373"/>
      <c r="AT178" s="373"/>
      <c r="AU178" s="654"/>
      <c r="AV178" s="373"/>
      <c r="AW178" s="373"/>
      <c r="AX178" s="315"/>
      <c r="AY178" s="315"/>
      <c r="AZ178" s="348"/>
      <c r="BA178" s="349"/>
      <c r="BB178" s="349"/>
      <c r="BC178" s="348"/>
      <c r="BD178" s="349"/>
      <c r="BE178" s="349"/>
      <c r="BF178" s="313"/>
      <c r="BG178" s="313"/>
      <c r="BH178" s="654"/>
      <c r="BI178" s="373"/>
      <c r="BJ178" s="373"/>
      <c r="BK178" s="654"/>
      <c r="BL178" s="373"/>
      <c r="BM178" s="373"/>
      <c r="BN178" s="315"/>
      <c r="BO178" s="315"/>
      <c r="BP178" s="313"/>
      <c r="BQ178" s="349"/>
      <c r="BR178" s="349"/>
      <c r="BS178" s="348"/>
      <c r="BT178" s="349"/>
      <c r="BU178" s="349"/>
      <c r="BV178" s="313"/>
      <c r="BW178" s="313"/>
      <c r="BX178" s="315"/>
      <c r="BY178" s="373"/>
      <c r="BZ178" s="373"/>
      <c r="CA178" s="654"/>
      <c r="CB178" s="373"/>
      <c r="CC178" s="373"/>
      <c r="CD178" s="315"/>
      <c r="CE178" s="315"/>
      <c r="CF178" s="313"/>
      <c r="CG178" s="349"/>
      <c r="CH178" s="349"/>
      <c r="CI178" s="313"/>
      <c r="CJ178" s="349"/>
      <c r="CK178" s="349"/>
      <c r="CL178" s="313"/>
      <c r="CM178" s="313"/>
      <c r="CN178" s="315"/>
      <c r="CO178" s="373"/>
      <c r="CP178" s="373"/>
      <c r="CQ178" s="315"/>
      <c r="CR178" s="373"/>
      <c r="CS178" s="373"/>
      <c r="CT178" s="315"/>
      <c r="CU178" s="315"/>
      <c r="CV178" s="353"/>
      <c r="CW178" s="313"/>
      <c r="CX178" s="512"/>
      <c r="CY178" s="516"/>
      <c r="CZ178" s="517"/>
      <c r="DA178" s="516"/>
      <c r="DB178" s="517"/>
      <c r="DC178" s="516"/>
      <c r="DD178" s="517"/>
      <c r="DE178" s="516"/>
      <c r="DF178" s="517"/>
      <c r="DG178" s="516"/>
      <c r="DH178" s="517"/>
      <c r="DI178" s="516"/>
      <c r="DJ178" s="517"/>
      <c r="DK178" s="516"/>
      <c r="DL178" s="517"/>
      <c r="DM178" s="512"/>
      <c r="DN178" s="313"/>
      <c r="DO178" s="313"/>
      <c r="DP178" s="313"/>
      <c r="DQ178" s="313"/>
      <c r="DR178" s="313"/>
      <c r="DS178" s="313"/>
      <c r="DT178" s="313"/>
      <c r="DU178" s="313"/>
      <c r="DV178" s="313"/>
      <c r="DW178" s="313"/>
    </row>
    <row r="179" spans="1:127" s="2" customFormat="1">
      <c r="A179" s="347"/>
      <c r="B179" s="347"/>
      <c r="C179" s="268"/>
      <c r="D179" s="346"/>
      <c r="E179" s="347"/>
      <c r="F179" s="349"/>
      <c r="G179" s="349"/>
      <c r="H179" s="348"/>
      <c r="I179" s="347"/>
      <c r="J179" s="348"/>
      <c r="K179" s="349"/>
      <c r="L179" s="348"/>
      <c r="M179" s="347"/>
      <c r="N179" s="347"/>
      <c r="O179" s="313"/>
      <c r="P179" s="313"/>
      <c r="Q179" s="313"/>
      <c r="R179" s="313"/>
      <c r="S179" s="313"/>
      <c r="T179" s="348"/>
      <c r="U179" s="349"/>
      <c r="V179" s="349"/>
      <c r="W179" s="348"/>
      <c r="X179" s="348"/>
      <c r="Y179" s="349"/>
      <c r="Z179" s="313"/>
      <c r="AA179" s="313"/>
      <c r="AB179" s="654"/>
      <c r="AC179" s="373"/>
      <c r="AD179" s="373"/>
      <c r="AE179" s="654"/>
      <c r="AF179" s="654"/>
      <c r="AG179" s="373"/>
      <c r="AH179" s="315"/>
      <c r="AI179" s="315"/>
      <c r="AJ179" s="348"/>
      <c r="AK179" s="349"/>
      <c r="AL179" s="349"/>
      <c r="AM179" s="348"/>
      <c r="AN179" s="349"/>
      <c r="AO179" s="349"/>
      <c r="AP179" s="313"/>
      <c r="AQ179" s="313"/>
      <c r="AR179" s="654"/>
      <c r="AS179" s="373"/>
      <c r="AT179" s="373"/>
      <c r="AU179" s="654"/>
      <c r="AV179" s="373"/>
      <c r="AW179" s="373"/>
      <c r="AX179" s="315"/>
      <c r="AY179" s="315"/>
      <c r="AZ179" s="348"/>
      <c r="BA179" s="349"/>
      <c r="BB179" s="349"/>
      <c r="BC179" s="348"/>
      <c r="BD179" s="349"/>
      <c r="BE179" s="349"/>
      <c r="BF179" s="313"/>
      <c r="BG179" s="313"/>
      <c r="BH179" s="654"/>
      <c r="BI179" s="373"/>
      <c r="BJ179" s="373"/>
      <c r="BK179" s="654"/>
      <c r="BL179" s="373"/>
      <c r="BM179" s="373"/>
      <c r="BN179" s="315"/>
      <c r="BO179" s="315"/>
      <c r="BP179" s="313"/>
      <c r="BQ179" s="349"/>
      <c r="BR179" s="349"/>
      <c r="BS179" s="348"/>
      <c r="BT179" s="349"/>
      <c r="BU179" s="349"/>
      <c r="BV179" s="313"/>
      <c r="BW179" s="313"/>
      <c r="BX179" s="315"/>
      <c r="BY179" s="373"/>
      <c r="BZ179" s="373"/>
      <c r="CA179" s="654"/>
      <c r="CB179" s="373"/>
      <c r="CC179" s="373"/>
      <c r="CD179" s="315"/>
      <c r="CE179" s="315"/>
      <c r="CF179" s="313"/>
      <c r="CG179" s="349"/>
      <c r="CH179" s="349"/>
      <c r="CI179" s="313"/>
      <c r="CJ179" s="349"/>
      <c r="CK179" s="349"/>
      <c r="CL179" s="313"/>
      <c r="CM179" s="313"/>
      <c r="CN179" s="315"/>
      <c r="CO179" s="373"/>
      <c r="CP179" s="373"/>
      <c r="CQ179" s="315"/>
      <c r="CR179" s="373"/>
      <c r="CS179" s="373"/>
      <c r="CT179" s="315"/>
      <c r="CU179" s="315"/>
      <c r="CV179" s="353"/>
      <c r="CW179" s="313"/>
      <c r="CX179" s="512"/>
      <c r="CY179" s="516"/>
      <c r="CZ179" s="517"/>
      <c r="DA179" s="516"/>
      <c r="DB179" s="517"/>
      <c r="DC179" s="516"/>
      <c r="DD179" s="517"/>
      <c r="DE179" s="516"/>
      <c r="DF179" s="517"/>
      <c r="DG179" s="516"/>
      <c r="DH179" s="517"/>
      <c r="DI179" s="516"/>
      <c r="DJ179" s="517"/>
      <c r="DK179" s="516"/>
      <c r="DL179" s="517"/>
      <c r="DM179" s="512"/>
      <c r="DN179" s="313"/>
      <c r="DO179" s="313"/>
      <c r="DP179" s="313"/>
      <c r="DQ179" s="313"/>
      <c r="DR179" s="313"/>
      <c r="DS179" s="313"/>
      <c r="DT179" s="313"/>
      <c r="DU179" s="313"/>
      <c r="DV179" s="313"/>
      <c r="DW179" s="313"/>
    </row>
    <row r="180" spans="1:127" s="2" customFormat="1">
      <c r="A180" s="347"/>
      <c r="B180" s="347"/>
      <c r="C180" s="268"/>
      <c r="D180" s="346"/>
      <c r="E180" s="347"/>
      <c r="F180" s="349"/>
      <c r="G180" s="349"/>
      <c r="H180" s="348"/>
      <c r="I180" s="347"/>
      <c r="J180" s="348"/>
      <c r="K180" s="349"/>
      <c r="L180" s="348"/>
      <c r="M180" s="347"/>
      <c r="N180" s="347"/>
      <c r="O180" s="313"/>
      <c r="P180" s="313"/>
      <c r="Q180" s="313"/>
      <c r="R180" s="313"/>
      <c r="S180" s="313"/>
      <c r="T180" s="348"/>
      <c r="U180" s="349"/>
      <c r="V180" s="349"/>
      <c r="W180" s="348"/>
      <c r="X180" s="348"/>
      <c r="Y180" s="349"/>
      <c r="Z180" s="313"/>
      <c r="AA180" s="313"/>
      <c r="AB180" s="654"/>
      <c r="AC180" s="373"/>
      <c r="AD180" s="373"/>
      <c r="AE180" s="654"/>
      <c r="AF180" s="654"/>
      <c r="AG180" s="373"/>
      <c r="AH180" s="315"/>
      <c r="AI180" s="315"/>
      <c r="AJ180" s="348"/>
      <c r="AK180" s="349"/>
      <c r="AL180" s="349"/>
      <c r="AM180" s="348"/>
      <c r="AN180" s="349"/>
      <c r="AO180" s="349"/>
      <c r="AP180" s="313"/>
      <c r="AQ180" s="313"/>
      <c r="AR180" s="654"/>
      <c r="AS180" s="373"/>
      <c r="AT180" s="373"/>
      <c r="AU180" s="654"/>
      <c r="AV180" s="373"/>
      <c r="AW180" s="373"/>
      <c r="AX180" s="315"/>
      <c r="AY180" s="315"/>
      <c r="AZ180" s="348"/>
      <c r="BA180" s="349"/>
      <c r="BB180" s="349"/>
      <c r="BC180" s="348"/>
      <c r="BD180" s="349"/>
      <c r="BE180" s="349"/>
      <c r="BF180" s="313"/>
      <c r="BG180" s="313"/>
      <c r="BH180" s="654"/>
      <c r="BI180" s="373"/>
      <c r="BJ180" s="373"/>
      <c r="BK180" s="654"/>
      <c r="BL180" s="373"/>
      <c r="BM180" s="373"/>
      <c r="BN180" s="315"/>
      <c r="BO180" s="315"/>
      <c r="BP180" s="313"/>
      <c r="BQ180" s="349"/>
      <c r="BR180" s="349"/>
      <c r="BS180" s="348"/>
      <c r="BT180" s="349"/>
      <c r="BU180" s="349"/>
      <c r="BV180" s="313"/>
      <c r="BW180" s="313"/>
      <c r="BX180" s="315"/>
      <c r="BY180" s="373"/>
      <c r="BZ180" s="373"/>
      <c r="CA180" s="654"/>
      <c r="CB180" s="373"/>
      <c r="CC180" s="373"/>
      <c r="CD180" s="315"/>
      <c r="CE180" s="315"/>
      <c r="CF180" s="313"/>
      <c r="CG180" s="349"/>
      <c r="CH180" s="349"/>
      <c r="CI180" s="313"/>
      <c r="CJ180" s="349"/>
      <c r="CK180" s="349"/>
      <c r="CL180" s="313"/>
      <c r="CM180" s="313"/>
      <c r="CN180" s="315"/>
      <c r="CO180" s="373"/>
      <c r="CP180" s="373"/>
      <c r="CQ180" s="315"/>
      <c r="CR180" s="373"/>
      <c r="CS180" s="373"/>
      <c r="CT180" s="315"/>
      <c r="CU180" s="315"/>
      <c r="CV180" s="353"/>
      <c r="CW180" s="313"/>
      <c r="CX180" s="512"/>
      <c r="CY180" s="516"/>
      <c r="CZ180" s="517"/>
      <c r="DA180" s="516"/>
      <c r="DB180" s="517"/>
      <c r="DC180" s="516"/>
      <c r="DD180" s="517"/>
      <c r="DE180" s="516"/>
      <c r="DF180" s="517"/>
      <c r="DG180" s="516"/>
      <c r="DH180" s="517"/>
      <c r="DI180" s="516"/>
      <c r="DJ180" s="517"/>
      <c r="DK180" s="516"/>
      <c r="DL180" s="517"/>
      <c r="DM180" s="512"/>
      <c r="DN180" s="313"/>
      <c r="DO180" s="313"/>
      <c r="DP180" s="313"/>
      <c r="DQ180" s="313"/>
      <c r="DR180" s="313"/>
      <c r="DS180" s="313"/>
      <c r="DT180" s="313"/>
      <c r="DU180" s="313"/>
      <c r="DV180" s="313"/>
      <c r="DW180" s="313"/>
    </row>
    <row r="181" spans="1:127" s="2" customFormat="1">
      <c r="A181" s="347"/>
      <c r="B181" s="347"/>
      <c r="C181" s="268"/>
      <c r="D181" s="346"/>
      <c r="E181" s="347"/>
      <c r="F181" s="349"/>
      <c r="G181" s="349"/>
      <c r="H181" s="348"/>
      <c r="I181" s="347"/>
      <c r="J181" s="348"/>
      <c r="K181" s="349"/>
      <c r="L181" s="348"/>
      <c r="M181" s="347"/>
      <c r="N181" s="347"/>
      <c r="O181" s="313"/>
      <c r="P181" s="313"/>
      <c r="Q181" s="313"/>
      <c r="R181" s="313"/>
      <c r="S181" s="313"/>
      <c r="T181" s="348"/>
      <c r="U181" s="349"/>
      <c r="V181" s="349"/>
      <c r="W181" s="348"/>
      <c r="X181" s="348"/>
      <c r="Y181" s="349"/>
      <c r="Z181" s="313"/>
      <c r="AA181" s="313"/>
      <c r="AB181" s="654"/>
      <c r="AC181" s="373"/>
      <c r="AD181" s="373"/>
      <c r="AE181" s="654"/>
      <c r="AF181" s="654"/>
      <c r="AG181" s="373"/>
      <c r="AH181" s="315"/>
      <c r="AI181" s="315"/>
      <c r="AJ181" s="348"/>
      <c r="AK181" s="349"/>
      <c r="AL181" s="349"/>
      <c r="AM181" s="348"/>
      <c r="AN181" s="349"/>
      <c r="AO181" s="349"/>
      <c r="AP181" s="313"/>
      <c r="AQ181" s="313"/>
      <c r="AR181" s="654"/>
      <c r="AS181" s="373"/>
      <c r="AT181" s="373"/>
      <c r="AU181" s="654"/>
      <c r="AV181" s="373"/>
      <c r="AW181" s="373"/>
      <c r="AX181" s="315"/>
      <c r="AY181" s="315"/>
      <c r="AZ181" s="348"/>
      <c r="BA181" s="349"/>
      <c r="BB181" s="349"/>
      <c r="BC181" s="348"/>
      <c r="BD181" s="349"/>
      <c r="BE181" s="349"/>
      <c r="BF181" s="313"/>
      <c r="BG181" s="313"/>
      <c r="BH181" s="654"/>
      <c r="BI181" s="373"/>
      <c r="BJ181" s="373"/>
      <c r="BK181" s="654"/>
      <c r="BL181" s="373"/>
      <c r="BM181" s="373"/>
      <c r="BN181" s="315"/>
      <c r="BO181" s="315"/>
      <c r="BP181" s="313"/>
      <c r="BQ181" s="349"/>
      <c r="BR181" s="349"/>
      <c r="BS181" s="348"/>
      <c r="BT181" s="349"/>
      <c r="BU181" s="349"/>
      <c r="BV181" s="313"/>
      <c r="BW181" s="313"/>
      <c r="BX181" s="315"/>
      <c r="BY181" s="373"/>
      <c r="BZ181" s="373"/>
      <c r="CA181" s="654"/>
      <c r="CB181" s="373"/>
      <c r="CC181" s="373"/>
      <c r="CD181" s="315"/>
      <c r="CE181" s="315"/>
      <c r="CF181" s="313"/>
      <c r="CG181" s="349"/>
      <c r="CH181" s="349"/>
      <c r="CI181" s="313"/>
      <c r="CJ181" s="349"/>
      <c r="CK181" s="349"/>
      <c r="CL181" s="313"/>
      <c r="CM181" s="313"/>
      <c r="CN181" s="315"/>
      <c r="CO181" s="373"/>
      <c r="CP181" s="373"/>
      <c r="CQ181" s="315"/>
      <c r="CR181" s="373"/>
      <c r="CS181" s="373"/>
      <c r="CT181" s="315"/>
      <c r="CU181" s="315"/>
      <c r="CV181" s="353"/>
      <c r="CW181" s="313"/>
      <c r="CX181" s="512"/>
      <c r="CY181" s="516"/>
      <c r="CZ181" s="517"/>
      <c r="DA181" s="516"/>
      <c r="DB181" s="517"/>
      <c r="DC181" s="516"/>
      <c r="DD181" s="517"/>
      <c r="DE181" s="516"/>
      <c r="DF181" s="517"/>
      <c r="DG181" s="516"/>
      <c r="DH181" s="517"/>
      <c r="DI181" s="516"/>
      <c r="DJ181" s="517"/>
      <c r="DK181" s="516"/>
      <c r="DL181" s="517"/>
      <c r="DM181" s="512"/>
      <c r="DN181" s="313"/>
      <c r="DO181" s="313"/>
      <c r="DP181" s="313"/>
      <c r="DQ181" s="313"/>
      <c r="DR181" s="313"/>
      <c r="DS181" s="313"/>
      <c r="DT181" s="313"/>
      <c r="DU181" s="313"/>
      <c r="DV181" s="313"/>
      <c r="DW181" s="313"/>
    </row>
    <row r="182" spans="1:127" s="2" customFormat="1">
      <c r="A182" s="347"/>
      <c r="B182" s="347"/>
      <c r="C182" s="268"/>
      <c r="D182" s="346"/>
      <c r="E182" s="347"/>
      <c r="F182" s="349"/>
      <c r="G182" s="349"/>
      <c r="H182" s="348"/>
      <c r="I182" s="347"/>
      <c r="J182" s="348"/>
      <c r="K182" s="349"/>
      <c r="L182" s="348"/>
      <c r="M182" s="347"/>
      <c r="N182" s="347"/>
      <c r="O182" s="313"/>
      <c r="P182" s="313"/>
      <c r="Q182" s="313"/>
      <c r="R182" s="313"/>
      <c r="S182" s="313"/>
      <c r="T182" s="348"/>
      <c r="U182" s="349"/>
      <c r="V182" s="349"/>
      <c r="W182" s="348"/>
      <c r="X182" s="348"/>
      <c r="Y182" s="349"/>
      <c r="Z182" s="313"/>
      <c r="AA182" s="313"/>
      <c r="AB182" s="654"/>
      <c r="AC182" s="373"/>
      <c r="AD182" s="373"/>
      <c r="AE182" s="654"/>
      <c r="AF182" s="654"/>
      <c r="AG182" s="373"/>
      <c r="AH182" s="315"/>
      <c r="AI182" s="315"/>
      <c r="AJ182" s="348"/>
      <c r="AK182" s="349"/>
      <c r="AL182" s="349"/>
      <c r="AM182" s="348"/>
      <c r="AN182" s="349"/>
      <c r="AO182" s="349"/>
      <c r="AP182" s="313"/>
      <c r="AQ182" s="313"/>
      <c r="AR182" s="654"/>
      <c r="AS182" s="373"/>
      <c r="AT182" s="373"/>
      <c r="AU182" s="654"/>
      <c r="AV182" s="373"/>
      <c r="AW182" s="373"/>
      <c r="AX182" s="315"/>
      <c r="AY182" s="315"/>
      <c r="AZ182" s="348"/>
      <c r="BA182" s="349"/>
      <c r="BB182" s="349"/>
      <c r="BC182" s="348"/>
      <c r="BD182" s="349"/>
      <c r="BE182" s="349"/>
      <c r="BF182" s="313"/>
      <c r="BG182" s="313"/>
      <c r="BH182" s="654"/>
      <c r="BI182" s="373"/>
      <c r="BJ182" s="373"/>
      <c r="BK182" s="654"/>
      <c r="BL182" s="373"/>
      <c r="BM182" s="373"/>
      <c r="BN182" s="315"/>
      <c r="BO182" s="315"/>
      <c r="BP182" s="313"/>
      <c r="BQ182" s="349"/>
      <c r="BR182" s="349"/>
      <c r="BS182" s="348"/>
      <c r="BT182" s="349"/>
      <c r="BU182" s="349"/>
      <c r="BV182" s="313"/>
      <c r="BW182" s="313"/>
      <c r="BX182" s="315"/>
      <c r="BY182" s="373"/>
      <c r="BZ182" s="373"/>
      <c r="CA182" s="654"/>
      <c r="CB182" s="373"/>
      <c r="CC182" s="373"/>
      <c r="CD182" s="315"/>
      <c r="CE182" s="315"/>
      <c r="CF182" s="313"/>
      <c r="CG182" s="349"/>
      <c r="CH182" s="349"/>
      <c r="CI182" s="313"/>
      <c r="CJ182" s="349"/>
      <c r="CK182" s="349"/>
      <c r="CL182" s="313"/>
      <c r="CM182" s="313"/>
      <c r="CN182" s="315"/>
      <c r="CO182" s="373"/>
      <c r="CP182" s="373"/>
      <c r="CQ182" s="315"/>
      <c r="CR182" s="373"/>
      <c r="CS182" s="373"/>
      <c r="CT182" s="315"/>
      <c r="CU182" s="315"/>
      <c r="CV182" s="353"/>
      <c r="CW182" s="313"/>
      <c r="CX182" s="512"/>
      <c r="CY182" s="516"/>
      <c r="CZ182" s="517"/>
      <c r="DA182" s="516"/>
      <c r="DB182" s="517"/>
      <c r="DC182" s="516"/>
      <c r="DD182" s="517"/>
      <c r="DE182" s="516"/>
      <c r="DF182" s="517"/>
      <c r="DG182" s="516"/>
      <c r="DH182" s="517"/>
      <c r="DI182" s="516"/>
      <c r="DJ182" s="517"/>
      <c r="DK182" s="516"/>
      <c r="DL182" s="517"/>
      <c r="DM182" s="512"/>
      <c r="DN182" s="313"/>
      <c r="DO182" s="313"/>
      <c r="DP182" s="313"/>
      <c r="DQ182" s="313"/>
      <c r="DR182" s="313"/>
      <c r="DS182" s="313"/>
      <c r="DT182" s="313"/>
      <c r="DU182" s="313"/>
      <c r="DV182" s="313"/>
      <c r="DW182" s="313"/>
    </row>
    <row r="183" spans="1:127" s="2" customFormat="1">
      <c r="A183" s="347"/>
      <c r="B183" s="347"/>
      <c r="C183" s="268"/>
      <c r="D183" s="346"/>
      <c r="E183" s="347"/>
      <c r="F183" s="349"/>
      <c r="G183" s="349"/>
      <c r="H183" s="348"/>
      <c r="I183" s="347"/>
      <c r="J183" s="348"/>
      <c r="K183" s="349"/>
      <c r="L183" s="348"/>
      <c r="M183" s="347"/>
      <c r="N183" s="347"/>
      <c r="O183" s="313"/>
      <c r="P183" s="313"/>
      <c r="Q183" s="313"/>
      <c r="R183" s="313"/>
      <c r="S183" s="313"/>
      <c r="T183" s="348"/>
      <c r="U183" s="349"/>
      <c r="V183" s="349"/>
      <c r="W183" s="348"/>
      <c r="X183" s="348"/>
      <c r="Y183" s="349"/>
      <c r="Z183" s="313"/>
      <c r="AA183" s="313"/>
      <c r="AB183" s="654"/>
      <c r="AC183" s="373"/>
      <c r="AD183" s="373"/>
      <c r="AE183" s="654"/>
      <c r="AF183" s="654"/>
      <c r="AG183" s="373"/>
      <c r="AH183" s="315"/>
      <c r="AI183" s="315"/>
      <c r="AJ183" s="348"/>
      <c r="AK183" s="349"/>
      <c r="AL183" s="349"/>
      <c r="AM183" s="348"/>
      <c r="AN183" s="349"/>
      <c r="AO183" s="349"/>
      <c r="AP183" s="313"/>
      <c r="AQ183" s="313"/>
      <c r="AR183" s="654"/>
      <c r="AS183" s="373"/>
      <c r="AT183" s="373"/>
      <c r="AU183" s="654"/>
      <c r="AV183" s="373"/>
      <c r="AW183" s="373"/>
      <c r="AX183" s="315"/>
      <c r="AY183" s="315"/>
      <c r="AZ183" s="348"/>
      <c r="BA183" s="349"/>
      <c r="BB183" s="349"/>
      <c r="BC183" s="348"/>
      <c r="BD183" s="349"/>
      <c r="BE183" s="349"/>
      <c r="BF183" s="313"/>
      <c r="BG183" s="313"/>
      <c r="BH183" s="654"/>
      <c r="BI183" s="373"/>
      <c r="BJ183" s="373"/>
      <c r="BK183" s="654"/>
      <c r="BL183" s="373"/>
      <c r="BM183" s="373"/>
      <c r="BN183" s="315"/>
      <c r="BO183" s="315"/>
      <c r="BP183" s="313"/>
      <c r="BQ183" s="349"/>
      <c r="BR183" s="349"/>
      <c r="BS183" s="348"/>
      <c r="BT183" s="349"/>
      <c r="BU183" s="349"/>
      <c r="BV183" s="313"/>
      <c r="BW183" s="313"/>
      <c r="BX183" s="315"/>
      <c r="BY183" s="373"/>
      <c r="BZ183" s="373"/>
      <c r="CA183" s="654"/>
      <c r="CB183" s="373"/>
      <c r="CC183" s="373"/>
      <c r="CD183" s="315"/>
      <c r="CE183" s="315"/>
      <c r="CF183" s="313"/>
      <c r="CG183" s="349"/>
      <c r="CH183" s="349"/>
      <c r="CI183" s="313"/>
      <c r="CJ183" s="349"/>
      <c r="CK183" s="349"/>
      <c r="CL183" s="313"/>
      <c r="CM183" s="313"/>
      <c r="CN183" s="315"/>
      <c r="CO183" s="373"/>
      <c r="CP183" s="373"/>
      <c r="CQ183" s="315"/>
      <c r="CR183" s="373"/>
      <c r="CS183" s="373"/>
      <c r="CT183" s="315"/>
      <c r="CU183" s="315"/>
      <c r="CV183" s="353"/>
      <c r="CW183" s="313"/>
      <c r="CX183" s="512"/>
      <c r="CY183" s="516"/>
      <c r="CZ183" s="517"/>
      <c r="DA183" s="516"/>
      <c r="DB183" s="517"/>
      <c r="DC183" s="516"/>
      <c r="DD183" s="517"/>
      <c r="DE183" s="516"/>
      <c r="DF183" s="517"/>
      <c r="DG183" s="516"/>
      <c r="DH183" s="517"/>
      <c r="DI183" s="516"/>
      <c r="DJ183" s="517"/>
      <c r="DK183" s="516"/>
      <c r="DL183" s="517"/>
      <c r="DM183" s="512"/>
      <c r="DN183" s="313"/>
      <c r="DO183" s="313"/>
      <c r="DP183" s="313"/>
      <c r="DQ183" s="313"/>
      <c r="DR183" s="313"/>
      <c r="DS183" s="313"/>
      <c r="DT183" s="313"/>
      <c r="DU183" s="313"/>
      <c r="DV183" s="313"/>
      <c r="DW183" s="313"/>
    </row>
    <row r="184" spans="1:127" s="2" customFormat="1">
      <c r="A184" s="347"/>
      <c r="B184" s="347"/>
      <c r="C184" s="268"/>
      <c r="D184" s="346"/>
      <c r="E184" s="347"/>
      <c r="F184" s="349"/>
      <c r="G184" s="349"/>
      <c r="H184" s="348"/>
      <c r="I184" s="347"/>
      <c r="J184" s="348"/>
      <c r="K184" s="349"/>
      <c r="L184" s="348"/>
      <c r="M184" s="347"/>
      <c r="N184" s="347"/>
      <c r="O184" s="313"/>
      <c r="P184" s="313"/>
      <c r="Q184" s="313"/>
      <c r="R184" s="313"/>
      <c r="S184" s="313"/>
      <c r="T184" s="348"/>
      <c r="U184" s="349"/>
      <c r="V184" s="349"/>
      <c r="W184" s="348"/>
      <c r="X184" s="348"/>
      <c r="Y184" s="349"/>
      <c r="Z184" s="313"/>
      <c r="AA184" s="313"/>
      <c r="AB184" s="654"/>
      <c r="AC184" s="373"/>
      <c r="AD184" s="373"/>
      <c r="AE184" s="654"/>
      <c r="AF184" s="654"/>
      <c r="AG184" s="373"/>
      <c r="AH184" s="315"/>
      <c r="AI184" s="315"/>
      <c r="AJ184" s="348"/>
      <c r="AK184" s="349"/>
      <c r="AL184" s="349"/>
      <c r="AM184" s="348"/>
      <c r="AN184" s="349"/>
      <c r="AO184" s="349"/>
      <c r="AP184" s="313"/>
      <c r="AQ184" s="313"/>
      <c r="AR184" s="654"/>
      <c r="AS184" s="373"/>
      <c r="AT184" s="373"/>
      <c r="AU184" s="654"/>
      <c r="AV184" s="373"/>
      <c r="AW184" s="373"/>
      <c r="AX184" s="315"/>
      <c r="AY184" s="315"/>
      <c r="AZ184" s="348"/>
      <c r="BA184" s="349"/>
      <c r="BB184" s="349"/>
      <c r="BC184" s="348"/>
      <c r="BD184" s="349"/>
      <c r="BE184" s="349"/>
      <c r="BF184" s="313"/>
      <c r="BG184" s="313"/>
      <c r="BH184" s="654"/>
      <c r="BI184" s="373"/>
      <c r="BJ184" s="373"/>
      <c r="BK184" s="654"/>
      <c r="BL184" s="373"/>
      <c r="BM184" s="373"/>
      <c r="BN184" s="315"/>
      <c r="BO184" s="315"/>
      <c r="BP184" s="313"/>
      <c r="BQ184" s="349"/>
      <c r="BR184" s="349"/>
      <c r="BS184" s="348"/>
      <c r="BT184" s="349"/>
      <c r="BU184" s="349"/>
      <c r="BV184" s="313"/>
      <c r="BW184" s="313"/>
      <c r="BX184" s="315"/>
      <c r="BY184" s="373"/>
      <c r="BZ184" s="373"/>
      <c r="CA184" s="654"/>
      <c r="CB184" s="373"/>
      <c r="CC184" s="373"/>
      <c r="CD184" s="315"/>
      <c r="CE184" s="315"/>
      <c r="CF184" s="313"/>
      <c r="CG184" s="349"/>
      <c r="CH184" s="349"/>
      <c r="CI184" s="313"/>
      <c r="CJ184" s="349"/>
      <c r="CK184" s="349"/>
      <c r="CL184" s="313"/>
      <c r="CM184" s="313"/>
      <c r="CN184" s="315"/>
      <c r="CO184" s="373"/>
      <c r="CP184" s="373"/>
      <c r="CQ184" s="315"/>
      <c r="CR184" s="373"/>
      <c r="CS184" s="373"/>
      <c r="CT184" s="315"/>
      <c r="CU184" s="315"/>
      <c r="CV184" s="353"/>
      <c r="CW184" s="313"/>
      <c r="CX184" s="512"/>
      <c r="CY184" s="516"/>
      <c r="CZ184" s="517"/>
      <c r="DA184" s="516"/>
      <c r="DB184" s="517"/>
      <c r="DC184" s="516"/>
      <c r="DD184" s="517"/>
      <c r="DE184" s="516"/>
      <c r="DF184" s="517"/>
      <c r="DG184" s="516"/>
      <c r="DH184" s="517"/>
      <c r="DI184" s="516"/>
      <c r="DJ184" s="517"/>
      <c r="DK184" s="516"/>
      <c r="DL184" s="517"/>
      <c r="DM184" s="512"/>
      <c r="DN184" s="313"/>
      <c r="DO184" s="313"/>
      <c r="DP184" s="313"/>
      <c r="DQ184" s="313"/>
      <c r="DR184" s="313"/>
      <c r="DS184" s="313"/>
      <c r="DT184" s="313"/>
      <c r="DU184" s="313"/>
      <c r="DV184" s="313"/>
      <c r="DW184" s="313"/>
    </row>
    <row r="185" spans="1:127" s="2" customFormat="1">
      <c r="A185" s="347"/>
      <c r="B185" s="347"/>
      <c r="C185" s="268"/>
      <c r="D185" s="346"/>
      <c r="E185" s="347"/>
      <c r="F185" s="349"/>
      <c r="G185" s="349"/>
      <c r="H185" s="348"/>
      <c r="I185" s="347"/>
      <c r="J185" s="348"/>
      <c r="K185" s="349"/>
      <c r="L185" s="348"/>
      <c r="M185" s="347"/>
      <c r="N185" s="347"/>
      <c r="O185" s="313"/>
      <c r="P185" s="313"/>
      <c r="Q185" s="313"/>
      <c r="R185" s="313"/>
      <c r="S185" s="313"/>
      <c r="T185" s="348"/>
      <c r="U185" s="349"/>
      <c r="V185" s="349"/>
      <c r="W185" s="348"/>
      <c r="X185" s="348"/>
      <c r="Y185" s="349"/>
      <c r="Z185" s="313"/>
      <c r="AA185" s="313"/>
      <c r="AB185" s="654"/>
      <c r="AC185" s="373"/>
      <c r="AD185" s="373"/>
      <c r="AE185" s="654"/>
      <c r="AF185" s="654"/>
      <c r="AG185" s="373"/>
      <c r="AH185" s="315"/>
      <c r="AI185" s="315"/>
      <c r="AJ185" s="348"/>
      <c r="AK185" s="349"/>
      <c r="AL185" s="349"/>
      <c r="AM185" s="348"/>
      <c r="AN185" s="349"/>
      <c r="AO185" s="349"/>
      <c r="AP185" s="313"/>
      <c r="AQ185" s="313"/>
      <c r="AR185" s="654"/>
      <c r="AS185" s="373"/>
      <c r="AT185" s="373"/>
      <c r="AU185" s="654"/>
      <c r="AV185" s="373"/>
      <c r="AW185" s="373"/>
      <c r="AX185" s="315"/>
      <c r="AY185" s="315"/>
      <c r="AZ185" s="348"/>
      <c r="BA185" s="349"/>
      <c r="BB185" s="349"/>
      <c r="BC185" s="348"/>
      <c r="BD185" s="349"/>
      <c r="BE185" s="349"/>
      <c r="BF185" s="313"/>
      <c r="BG185" s="313"/>
      <c r="BH185" s="654"/>
      <c r="BI185" s="373"/>
      <c r="BJ185" s="373"/>
      <c r="BK185" s="654"/>
      <c r="BL185" s="373"/>
      <c r="BM185" s="373"/>
      <c r="BN185" s="315"/>
      <c r="BO185" s="315"/>
      <c r="BP185" s="313"/>
      <c r="BQ185" s="349"/>
      <c r="BR185" s="349"/>
      <c r="BS185" s="348"/>
      <c r="BT185" s="349"/>
      <c r="BU185" s="349"/>
      <c r="BV185" s="313"/>
      <c r="BW185" s="313"/>
      <c r="BX185" s="315"/>
      <c r="BY185" s="373"/>
      <c r="BZ185" s="373"/>
      <c r="CA185" s="654"/>
      <c r="CB185" s="373"/>
      <c r="CC185" s="373"/>
      <c r="CD185" s="315"/>
      <c r="CE185" s="315"/>
      <c r="CF185" s="313"/>
      <c r="CG185" s="349"/>
      <c r="CH185" s="349"/>
      <c r="CI185" s="313"/>
      <c r="CJ185" s="349"/>
      <c r="CK185" s="349"/>
      <c r="CL185" s="313"/>
      <c r="CM185" s="313"/>
      <c r="CN185" s="315"/>
      <c r="CO185" s="373"/>
      <c r="CP185" s="373"/>
      <c r="CQ185" s="315"/>
      <c r="CR185" s="373"/>
      <c r="CS185" s="373"/>
      <c r="CT185" s="315"/>
      <c r="CU185" s="315"/>
      <c r="CV185" s="353"/>
      <c r="CW185" s="313"/>
      <c r="CX185" s="512"/>
      <c r="CY185" s="516"/>
      <c r="CZ185" s="517"/>
      <c r="DA185" s="516"/>
      <c r="DB185" s="517"/>
      <c r="DC185" s="516"/>
      <c r="DD185" s="517"/>
      <c r="DE185" s="516"/>
      <c r="DF185" s="517"/>
      <c r="DG185" s="516"/>
      <c r="DH185" s="517"/>
      <c r="DI185" s="516"/>
      <c r="DJ185" s="517"/>
      <c r="DK185" s="516"/>
      <c r="DL185" s="517"/>
      <c r="DM185" s="512"/>
      <c r="DN185" s="313"/>
      <c r="DO185" s="313"/>
      <c r="DP185" s="313"/>
      <c r="DQ185" s="313"/>
      <c r="DR185" s="313"/>
      <c r="DS185" s="313"/>
      <c r="DT185" s="313"/>
      <c r="DU185" s="313"/>
      <c r="DV185" s="313"/>
      <c r="DW185" s="313"/>
    </row>
    <row r="186" spans="1:127" s="2" customFormat="1">
      <c r="A186" s="347"/>
      <c r="B186" s="347"/>
      <c r="C186" s="268"/>
      <c r="D186" s="346"/>
      <c r="E186" s="347"/>
      <c r="F186" s="349"/>
      <c r="G186" s="349"/>
      <c r="H186" s="348"/>
      <c r="I186" s="347"/>
      <c r="J186" s="348"/>
      <c r="K186" s="349"/>
      <c r="L186" s="348"/>
      <c r="M186" s="347"/>
      <c r="N186" s="347"/>
      <c r="O186" s="313"/>
      <c r="P186" s="313"/>
      <c r="Q186" s="313"/>
      <c r="R186" s="313"/>
      <c r="S186" s="313"/>
      <c r="T186" s="348"/>
      <c r="U186" s="349"/>
      <c r="V186" s="349"/>
      <c r="W186" s="348"/>
      <c r="X186" s="348"/>
      <c r="Y186" s="349"/>
      <c r="Z186" s="313"/>
      <c r="AA186" s="313"/>
      <c r="AB186" s="654"/>
      <c r="AC186" s="373"/>
      <c r="AD186" s="373"/>
      <c r="AE186" s="654"/>
      <c r="AF186" s="654"/>
      <c r="AG186" s="373"/>
      <c r="AH186" s="315"/>
      <c r="AI186" s="315"/>
      <c r="AJ186" s="348"/>
      <c r="AK186" s="349"/>
      <c r="AL186" s="349"/>
      <c r="AM186" s="348"/>
      <c r="AN186" s="349"/>
      <c r="AO186" s="349"/>
      <c r="AP186" s="313"/>
      <c r="AQ186" s="313"/>
      <c r="AR186" s="654"/>
      <c r="AS186" s="373"/>
      <c r="AT186" s="373"/>
      <c r="AU186" s="654"/>
      <c r="AV186" s="373"/>
      <c r="AW186" s="373"/>
      <c r="AX186" s="315"/>
      <c r="AY186" s="315"/>
      <c r="AZ186" s="348"/>
      <c r="BA186" s="349"/>
      <c r="BB186" s="349"/>
      <c r="BC186" s="348"/>
      <c r="BD186" s="349"/>
      <c r="BE186" s="349"/>
      <c r="BF186" s="313"/>
      <c r="BG186" s="313"/>
      <c r="BH186" s="654"/>
      <c r="BI186" s="373"/>
      <c r="BJ186" s="373"/>
      <c r="BK186" s="654"/>
      <c r="BL186" s="373"/>
      <c r="BM186" s="373"/>
      <c r="BN186" s="315"/>
      <c r="BO186" s="315"/>
      <c r="BP186" s="313"/>
      <c r="BQ186" s="349"/>
      <c r="BR186" s="349"/>
      <c r="BS186" s="348"/>
      <c r="BT186" s="349"/>
      <c r="BU186" s="349"/>
      <c r="BV186" s="313"/>
      <c r="BW186" s="313"/>
      <c r="BX186" s="315"/>
      <c r="BY186" s="373"/>
      <c r="BZ186" s="373"/>
      <c r="CA186" s="654"/>
      <c r="CB186" s="373"/>
      <c r="CC186" s="373"/>
      <c r="CD186" s="315"/>
      <c r="CE186" s="315"/>
      <c r="CF186" s="313"/>
      <c r="CG186" s="349"/>
      <c r="CH186" s="349"/>
      <c r="CI186" s="313"/>
      <c r="CJ186" s="349"/>
      <c r="CK186" s="349"/>
      <c r="CL186" s="313"/>
      <c r="CM186" s="313"/>
      <c r="CN186" s="315"/>
      <c r="CO186" s="373"/>
      <c r="CP186" s="373"/>
      <c r="CQ186" s="315"/>
      <c r="CR186" s="373"/>
      <c r="CS186" s="373"/>
      <c r="CT186" s="315"/>
      <c r="CU186" s="315"/>
      <c r="CV186" s="353"/>
      <c r="CW186" s="313"/>
      <c r="CX186" s="512"/>
      <c r="CY186" s="516"/>
      <c r="CZ186" s="517"/>
      <c r="DA186" s="516"/>
      <c r="DB186" s="517"/>
      <c r="DC186" s="516"/>
      <c r="DD186" s="517"/>
      <c r="DE186" s="516"/>
      <c r="DF186" s="517"/>
      <c r="DG186" s="516"/>
      <c r="DH186" s="517"/>
      <c r="DI186" s="516"/>
      <c r="DJ186" s="517"/>
      <c r="DK186" s="516"/>
      <c r="DL186" s="517"/>
      <c r="DM186" s="512"/>
      <c r="DN186" s="313"/>
      <c r="DO186" s="313"/>
      <c r="DP186" s="313"/>
      <c r="DQ186" s="313"/>
      <c r="DR186" s="313"/>
      <c r="DS186" s="313"/>
      <c r="DT186" s="313"/>
      <c r="DU186" s="313"/>
      <c r="DV186" s="313"/>
      <c r="DW186" s="313"/>
    </row>
    <row r="187" spans="1:127" s="2" customFormat="1">
      <c r="A187" s="347"/>
      <c r="B187" s="347"/>
      <c r="C187" s="268"/>
      <c r="D187" s="346"/>
      <c r="E187" s="347"/>
      <c r="F187" s="349"/>
      <c r="G187" s="349"/>
      <c r="H187" s="348"/>
      <c r="I187" s="347"/>
      <c r="J187" s="348"/>
      <c r="K187" s="349"/>
      <c r="L187" s="348"/>
      <c r="M187" s="347"/>
      <c r="N187" s="347"/>
      <c r="O187" s="313"/>
      <c r="P187" s="313"/>
      <c r="Q187" s="313"/>
      <c r="R187" s="313"/>
      <c r="S187" s="313"/>
      <c r="T187" s="348"/>
      <c r="U187" s="349"/>
      <c r="V187" s="349"/>
      <c r="W187" s="348"/>
      <c r="X187" s="348"/>
      <c r="Y187" s="349"/>
      <c r="Z187" s="313"/>
      <c r="AA187" s="313"/>
      <c r="AB187" s="654"/>
      <c r="AC187" s="373"/>
      <c r="AD187" s="373"/>
      <c r="AE187" s="654"/>
      <c r="AF187" s="654"/>
      <c r="AG187" s="373"/>
      <c r="AH187" s="315"/>
      <c r="AI187" s="315"/>
      <c r="AJ187" s="348"/>
      <c r="AK187" s="349"/>
      <c r="AL187" s="349"/>
      <c r="AM187" s="348"/>
      <c r="AN187" s="349"/>
      <c r="AO187" s="349"/>
      <c r="AP187" s="313"/>
      <c r="AQ187" s="313"/>
      <c r="AR187" s="654"/>
      <c r="AS187" s="373"/>
      <c r="AT187" s="373"/>
      <c r="AU187" s="654"/>
      <c r="AV187" s="373"/>
      <c r="AW187" s="373"/>
      <c r="AX187" s="315"/>
      <c r="AY187" s="315"/>
      <c r="AZ187" s="348"/>
      <c r="BA187" s="349"/>
      <c r="BB187" s="349"/>
      <c r="BC187" s="348"/>
      <c r="BD187" s="349"/>
      <c r="BE187" s="349"/>
      <c r="BF187" s="313"/>
      <c r="BG187" s="313"/>
      <c r="BH187" s="654"/>
      <c r="BI187" s="373"/>
      <c r="BJ187" s="373"/>
      <c r="BK187" s="654"/>
      <c r="BL187" s="373"/>
      <c r="BM187" s="373"/>
      <c r="BN187" s="315"/>
      <c r="BO187" s="315"/>
      <c r="BP187" s="313"/>
      <c r="BQ187" s="349"/>
      <c r="BR187" s="349"/>
      <c r="BS187" s="348"/>
      <c r="BT187" s="349"/>
      <c r="BU187" s="349"/>
      <c r="BV187" s="313"/>
      <c r="BW187" s="313"/>
      <c r="BX187" s="315"/>
      <c r="BY187" s="373"/>
      <c r="BZ187" s="373"/>
      <c r="CA187" s="654"/>
      <c r="CB187" s="373"/>
      <c r="CC187" s="373"/>
      <c r="CD187" s="315"/>
      <c r="CE187" s="315"/>
      <c r="CF187" s="313"/>
      <c r="CG187" s="349"/>
      <c r="CH187" s="349"/>
      <c r="CI187" s="313"/>
      <c r="CJ187" s="349"/>
      <c r="CK187" s="349"/>
      <c r="CL187" s="313"/>
      <c r="CM187" s="313"/>
      <c r="CN187" s="315"/>
      <c r="CO187" s="373"/>
      <c r="CP187" s="373"/>
      <c r="CQ187" s="315"/>
      <c r="CR187" s="373"/>
      <c r="CS187" s="373"/>
      <c r="CT187" s="315"/>
      <c r="CU187" s="315"/>
      <c r="CV187" s="353"/>
      <c r="CW187" s="313"/>
      <c r="CX187" s="512"/>
      <c r="CY187" s="516"/>
      <c r="CZ187" s="517"/>
      <c r="DA187" s="516"/>
      <c r="DB187" s="517"/>
      <c r="DC187" s="516"/>
      <c r="DD187" s="517"/>
      <c r="DE187" s="516"/>
      <c r="DF187" s="517"/>
      <c r="DG187" s="516"/>
      <c r="DH187" s="517"/>
      <c r="DI187" s="516"/>
      <c r="DJ187" s="517"/>
      <c r="DK187" s="516"/>
      <c r="DL187" s="517"/>
      <c r="DM187" s="512"/>
      <c r="DN187" s="313"/>
      <c r="DO187" s="313"/>
      <c r="DP187" s="313"/>
      <c r="DQ187" s="313"/>
      <c r="DR187" s="313"/>
      <c r="DS187" s="313"/>
      <c r="DT187" s="313"/>
      <c r="DU187" s="313"/>
      <c r="DV187" s="313"/>
      <c r="DW187" s="313"/>
    </row>
    <row r="188" spans="1:127" s="2" customFormat="1">
      <c r="A188" s="347"/>
      <c r="B188" s="347"/>
      <c r="C188" s="268"/>
      <c r="D188" s="346"/>
      <c r="E188" s="347"/>
      <c r="F188" s="349"/>
      <c r="G188" s="349"/>
      <c r="H188" s="348"/>
      <c r="I188" s="347"/>
      <c r="J188" s="348"/>
      <c r="K188" s="349"/>
      <c r="L188" s="348"/>
      <c r="M188" s="347"/>
      <c r="N188" s="347"/>
      <c r="O188" s="313"/>
      <c r="P188" s="313"/>
      <c r="Q188" s="313"/>
      <c r="R188" s="313"/>
      <c r="S188" s="313"/>
      <c r="T188" s="348"/>
      <c r="U188" s="349"/>
      <c r="V188" s="349"/>
      <c r="W188" s="348"/>
      <c r="X188" s="348"/>
      <c r="Y188" s="349"/>
      <c r="Z188" s="313"/>
      <c r="AA188" s="313"/>
      <c r="AB188" s="654"/>
      <c r="AC188" s="373"/>
      <c r="AD188" s="373"/>
      <c r="AE188" s="654"/>
      <c r="AF188" s="654"/>
      <c r="AG188" s="373"/>
      <c r="AH188" s="315"/>
      <c r="AI188" s="315"/>
      <c r="AJ188" s="348"/>
      <c r="AK188" s="349"/>
      <c r="AL188" s="349"/>
      <c r="AM188" s="348"/>
      <c r="AN188" s="349"/>
      <c r="AO188" s="349"/>
      <c r="AP188" s="313"/>
      <c r="AQ188" s="313"/>
      <c r="AR188" s="654"/>
      <c r="AS188" s="373"/>
      <c r="AT188" s="373"/>
      <c r="AU188" s="654"/>
      <c r="AV188" s="373"/>
      <c r="AW188" s="373"/>
      <c r="AX188" s="315"/>
      <c r="AY188" s="315"/>
      <c r="AZ188" s="348"/>
      <c r="BA188" s="349"/>
      <c r="BB188" s="349"/>
      <c r="BC188" s="348"/>
      <c r="BD188" s="349"/>
      <c r="BE188" s="349"/>
      <c r="BF188" s="313"/>
      <c r="BG188" s="313"/>
      <c r="BH188" s="654"/>
      <c r="BI188" s="373"/>
      <c r="BJ188" s="373"/>
      <c r="BK188" s="654"/>
      <c r="BL188" s="373"/>
      <c r="BM188" s="373"/>
      <c r="BN188" s="315"/>
      <c r="BO188" s="315"/>
      <c r="BP188" s="313"/>
      <c r="BQ188" s="349"/>
      <c r="BR188" s="349"/>
      <c r="BS188" s="348"/>
      <c r="BT188" s="349"/>
      <c r="BU188" s="349"/>
      <c r="BV188" s="313"/>
      <c r="BW188" s="313"/>
      <c r="BX188" s="315"/>
      <c r="BY188" s="373"/>
      <c r="BZ188" s="373"/>
      <c r="CA188" s="654"/>
      <c r="CB188" s="373"/>
      <c r="CC188" s="373"/>
      <c r="CD188" s="315"/>
      <c r="CE188" s="315"/>
      <c r="CF188" s="313"/>
      <c r="CG188" s="349"/>
      <c r="CH188" s="349"/>
      <c r="CI188" s="313"/>
      <c r="CJ188" s="349"/>
      <c r="CK188" s="349"/>
      <c r="CL188" s="313"/>
      <c r="CM188" s="313"/>
      <c r="CN188" s="315"/>
      <c r="CO188" s="373"/>
      <c r="CP188" s="373"/>
      <c r="CQ188" s="315"/>
      <c r="CR188" s="373"/>
      <c r="CS188" s="373"/>
      <c r="CT188" s="315"/>
      <c r="CU188" s="315"/>
      <c r="CV188" s="353"/>
      <c r="CW188" s="313"/>
      <c r="CX188" s="512"/>
      <c r="CY188" s="516"/>
      <c r="CZ188" s="517"/>
      <c r="DA188" s="516"/>
      <c r="DB188" s="517"/>
      <c r="DC188" s="516"/>
      <c r="DD188" s="517"/>
      <c r="DE188" s="516"/>
      <c r="DF188" s="517"/>
      <c r="DG188" s="516"/>
      <c r="DH188" s="517"/>
      <c r="DI188" s="516"/>
      <c r="DJ188" s="517"/>
      <c r="DK188" s="516"/>
      <c r="DL188" s="517"/>
      <c r="DM188" s="512"/>
      <c r="DN188" s="313"/>
      <c r="DO188" s="313"/>
      <c r="DP188" s="313"/>
      <c r="DQ188" s="313"/>
      <c r="DR188" s="313"/>
      <c r="DS188" s="313"/>
      <c r="DT188" s="313"/>
      <c r="DU188" s="313"/>
      <c r="DV188" s="313"/>
      <c r="DW188" s="313"/>
    </row>
    <row r="189" spans="1:127" s="2" customFormat="1">
      <c r="A189" s="347"/>
      <c r="B189" s="347"/>
      <c r="C189" s="268"/>
      <c r="D189" s="346"/>
      <c r="E189" s="347"/>
      <c r="F189" s="349"/>
      <c r="G189" s="349"/>
      <c r="H189" s="348"/>
      <c r="I189" s="347"/>
      <c r="J189" s="348"/>
      <c r="K189" s="349"/>
      <c r="L189" s="348"/>
      <c r="M189" s="347"/>
      <c r="N189" s="347"/>
      <c r="O189" s="313"/>
      <c r="P189" s="313"/>
      <c r="Q189" s="313"/>
      <c r="R189" s="313"/>
      <c r="S189" s="313"/>
      <c r="T189" s="348"/>
      <c r="U189" s="349"/>
      <c r="V189" s="349"/>
      <c r="W189" s="348"/>
      <c r="X189" s="348"/>
      <c r="Y189" s="349"/>
      <c r="Z189" s="313"/>
      <c r="AA189" s="313"/>
      <c r="AB189" s="654"/>
      <c r="AC189" s="373"/>
      <c r="AD189" s="373"/>
      <c r="AE189" s="654"/>
      <c r="AF189" s="654"/>
      <c r="AG189" s="373"/>
      <c r="AH189" s="315"/>
      <c r="AI189" s="315"/>
      <c r="AJ189" s="348"/>
      <c r="AK189" s="349"/>
      <c r="AL189" s="349"/>
      <c r="AM189" s="348"/>
      <c r="AN189" s="349"/>
      <c r="AO189" s="349"/>
      <c r="AP189" s="313"/>
      <c r="AQ189" s="313"/>
      <c r="AR189" s="654"/>
      <c r="AS189" s="373"/>
      <c r="AT189" s="373"/>
      <c r="AU189" s="654"/>
      <c r="AV189" s="373"/>
      <c r="AW189" s="373"/>
      <c r="AX189" s="315"/>
      <c r="AY189" s="315"/>
      <c r="AZ189" s="348"/>
      <c r="BA189" s="349"/>
      <c r="BB189" s="349"/>
      <c r="BC189" s="348"/>
      <c r="BD189" s="349"/>
      <c r="BE189" s="349"/>
      <c r="BF189" s="313"/>
      <c r="BG189" s="313"/>
      <c r="BH189" s="654"/>
      <c r="BI189" s="373"/>
      <c r="BJ189" s="373"/>
      <c r="BK189" s="654"/>
      <c r="BL189" s="373"/>
      <c r="BM189" s="373"/>
      <c r="BN189" s="315"/>
      <c r="BO189" s="315"/>
      <c r="BP189" s="313"/>
      <c r="BQ189" s="349"/>
      <c r="BR189" s="349"/>
      <c r="BS189" s="348"/>
      <c r="BT189" s="349"/>
      <c r="BU189" s="349"/>
      <c r="BV189" s="313"/>
      <c r="BW189" s="313"/>
      <c r="BX189" s="315"/>
      <c r="BY189" s="373"/>
      <c r="BZ189" s="373"/>
      <c r="CA189" s="654"/>
      <c r="CB189" s="373"/>
      <c r="CC189" s="373"/>
      <c r="CD189" s="315"/>
      <c r="CE189" s="315"/>
      <c r="CF189" s="313"/>
      <c r="CG189" s="349"/>
      <c r="CH189" s="349"/>
      <c r="CI189" s="313"/>
      <c r="CJ189" s="349"/>
      <c r="CK189" s="349"/>
      <c r="CL189" s="313"/>
      <c r="CM189" s="313"/>
      <c r="CN189" s="315"/>
      <c r="CO189" s="373"/>
      <c r="CP189" s="373"/>
      <c r="CQ189" s="315"/>
      <c r="CR189" s="373"/>
      <c r="CS189" s="373"/>
      <c r="CT189" s="315"/>
      <c r="CU189" s="315"/>
      <c r="CV189" s="353"/>
      <c r="CW189" s="313"/>
      <c r="CX189" s="512"/>
      <c r="CY189" s="516"/>
      <c r="CZ189" s="517"/>
      <c r="DA189" s="516"/>
      <c r="DB189" s="517"/>
      <c r="DC189" s="516"/>
      <c r="DD189" s="517"/>
      <c r="DE189" s="516"/>
      <c r="DF189" s="517"/>
      <c r="DG189" s="516"/>
      <c r="DH189" s="517"/>
      <c r="DI189" s="516"/>
      <c r="DJ189" s="517"/>
      <c r="DK189" s="516"/>
      <c r="DL189" s="517"/>
      <c r="DM189" s="512"/>
      <c r="DN189" s="313"/>
      <c r="DO189" s="313"/>
      <c r="DP189" s="313"/>
      <c r="DQ189" s="313"/>
      <c r="DR189" s="313"/>
      <c r="DS189" s="313"/>
      <c r="DT189" s="313"/>
      <c r="DU189" s="313"/>
      <c r="DV189" s="313"/>
      <c r="DW189" s="313"/>
    </row>
    <row r="190" spans="1:127" s="2" customFormat="1">
      <c r="A190" s="347"/>
      <c r="B190" s="347"/>
      <c r="C190" s="268"/>
      <c r="D190" s="346"/>
      <c r="E190" s="347"/>
      <c r="F190" s="349"/>
      <c r="G190" s="349"/>
      <c r="H190" s="348"/>
      <c r="I190" s="347"/>
      <c r="J190" s="348"/>
      <c r="K190" s="349"/>
      <c r="L190" s="348"/>
      <c r="M190" s="347"/>
      <c r="N190" s="347"/>
      <c r="O190" s="313"/>
      <c r="P190" s="313"/>
      <c r="Q190" s="313"/>
      <c r="R190" s="313"/>
      <c r="S190" s="313"/>
      <c r="T190" s="348"/>
      <c r="U190" s="349"/>
      <c r="V190" s="349"/>
      <c r="W190" s="348"/>
      <c r="X190" s="348"/>
      <c r="Y190" s="349"/>
      <c r="Z190" s="313"/>
      <c r="AA190" s="313"/>
      <c r="AB190" s="654"/>
      <c r="AC190" s="373"/>
      <c r="AD190" s="373"/>
      <c r="AE190" s="654"/>
      <c r="AF190" s="654"/>
      <c r="AG190" s="373"/>
      <c r="AH190" s="315"/>
      <c r="AI190" s="315"/>
      <c r="AJ190" s="348"/>
      <c r="AK190" s="349"/>
      <c r="AL190" s="349"/>
      <c r="AM190" s="348"/>
      <c r="AN190" s="349"/>
      <c r="AO190" s="349"/>
      <c r="AP190" s="313"/>
      <c r="AQ190" s="313"/>
      <c r="AR190" s="654"/>
      <c r="AS190" s="373"/>
      <c r="AT190" s="373"/>
      <c r="AU190" s="654"/>
      <c r="AV190" s="373"/>
      <c r="AW190" s="373"/>
      <c r="AX190" s="315"/>
      <c r="AY190" s="315"/>
      <c r="AZ190" s="348"/>
      <c r="BA190" s="349"/>
      <c r="BB190" s="349"/>
      <c r="BC190" s="348"/>
      <c r="BD190" s="349"/>
      <c r="BE190" s="349"/>
      <c r="BF190" s="313"/>
      <c r="BG190" s="313"/>
      <c r="BH190" s="654"/>
      <c r="BI190" s="373"/>
      <c r="BJ190" s="373"/>
      <c r="BK190" s="654"/>
      <c r="BL190" s="373"/>
      <c r="BM190" s="373"/>
      <c r="BN190" s="315"/>
      <c r="BO190" s="315"/>
      <c r="BP190" s="313"/>
      <c r="BQ190" s="349"/>
      <c r="BR190" s="349"/>
      <c r="BS190" s="348"/>
      <c r="BT190" s="349"/>
      <c r="BU190" s="349"/>
      <c r="BV190" s="313"/>
      <c r="BW190" s="313"/>
      <c r="BX190" s="315"/>
      <c r="BY190" s="373"/>
      <c r="BZ190" s="373"/>
      <c r="CA190" s="654"/>
      <c r="CB190" s="373"/>
      <c r="CC190" s="373"/>
      <c r="CD190" s="315"/>
      <c r="CE190" s="315"/>
      <c r="CF190" s="313"/>
      <c r="CG190" s="349"/>
      <c r="CH190" s="349"/>
      <c r="CI190" s="313"/>
      <c r="CJ190" s="349"/>
      <c r="CK190" s="349"/>
      <c r="CL190" s="313"/>
      <c r="CM190" s="313"/>
      <c r="CN190" s="315"/>
      <c r="CO190" s="373"/>
      <c r="CP190" s="373"/>
      <c r="CQ190" s="315"/>
      <c r="CR190" s="373"/>
      <c r="CS190" s="373"/>
      <c r="CT190" s="315"/>
      <c r="CU190" s="315"/>
      <c r="CV190" s="353"/>
      <c r="CW190" s="313"/>
      <c r="CX190" s="512"/>
      <c r="CY190" s="516"/>
      <c r="CZ190" s="517"/>
      <c r="DA190" s="516"/>
      <c r="DB190" s="517"/>
      <c r="DC190" s="516"/>
      <c r="DD190" s="517"/>
      <c r="DE190" s="516"/>
      <c r="DF190" s="517"/>
      <c r="DG190" s="516"/>
      <c r="DH190" s="517"/>
      <c r="DI190" s="516"/>
      <c r="DJ190" s="517"/>
      <c r="DK190" s="516"/>
      <c r="DL190" s="517"/>
      <c r="DM190" s="512"/>
      <c r="DN190" s="313"/>
      <c r="DO190" s="313"/>
      <c r="DP190" s="313"/>
      <c r="DQ190" s="313"/>
      <c r="DR190" s="313"/>
      <c r="DS190" s="313"/>
      <c r="DT190" s="313"/>
      <c r="DU190" s="313"/>
      <c r="DV190" s="313"/>
      <c r="DW190" s="313"/>
    </row>
    <row r="191" spans="1:127" s="2" customFormat="1">
      <c r="A191" s="347"/>
      <c r="B191" s="347"/>
      <c r="C191" s="268"/>
      <c r="D191" s="346"/>
      <c r="E191" s="347"/>
      <c r="F191" s="349"/>
      <c r="G191" s="349"/>
      <c r="H191" s="348"/>
      <c r="I191" s="347"/>
      <c r="J191" s="348"/>
      <c r="K191" s="349"/>
      <c r="L191" s="348"/>
      <c r="M191" s="347"/>
      <c r="N191" s="347"/>
      <c r="O191" s="313"/>
      <c r="P191" s="313"/>
      <c r="Q191" s="313"/>
      <c r="R191" s="313"/>
      <c r="S191" s="313"/>
      <c r="T191" s="348"/>
      <c r="U191" s="349"/>
      <c r="V191" s="349"/>
      <c r="W191" s="348"/>
      <c r="X191" s="348"/>
      <c r="Y191" s="349"/>
      <c r="Z191" s="313"/>
      <c r="AA191" s="313"/>
      <c r="AB191" s="654"/>
      <c r="AC191" s="373"/>
      <c r="AD191" s="373"/>
      <c r="AE191" s="654"/>
      <c r="AF191" s="654"/>
      <c r="AG191" s="373"/>
      <c r="AH191" s="315"/>
      <c r="AI191" s="315"/>
      <c r="AJ191" s="348"/>
      <c r="AK191" s="349"/>
      <c r="AL191" s="349"/>
      <c r="AM191" s="348"/>
      <c r="AN191" s="349"/>
      <c r="AO191" s="349"/>
      <c r="AP191" s="313"/>
      <c r="AQ191" s="313"/>
      <c r="AR191" s="654"/>
      <c r="AS191" s="373"/>
      <c r="AT191" s="373"/>
      <c r="AU191" s="654"/>
      <c r="AV191" s="373"/>
      <c r="AW191" s="373"/>
      <c r="AX191" s="315"/>
      <c r="AY191" s="315"/>
      <c r="AZ191" s="348"/>
      <c r="BA191" s="349"/>
      <c r="BB191" s="349"/>
      <c r="BC191" s="348"/>
      <c r="BD191" s="349"/>
      <c r="BE191" s="349"/>
      <c r="BF191" s="313"/>
      <c r="BG191" s="313"/>
      <c r="BH191" s="654"/>
      <c r="BI191" s="373"/>
      <c r="BJ191" s="373"/>
      <c r="BK191" s="654"/>
      <c r="BL191" s="373"/>
      <c r="BM191" s="373"/>
      <c r="BN191" s="315"/>
      <c r="BO191" s="315"/>
      <c r="BP191" s="313"/>
      <c r="BQ191" s="349"/>
      <c r="BR191" s="349"/>
      <c r="BS191" s="348"/>
      <c r="BT191" s="349"/>
      <c r="BU191" s="349"/>
      <c r="BV191" s="313"/>
      <c r="BW191" s="313"/>
      <c r="BX191" s="315"/>
      <c r="BY191" s="373"/>
      <c r="BZ191" s="373"/>
      <c r="CA191" s="654"/>
      <c r="CB191" s="373"/>
      <c r="CC191" s="373"/>
      <c r="CD191" s="315"/>
      <c r="CE191" s="315"/>
      <c r="CF191" s="313"/>
      <c r="CG191" s="349"/>
      <c r="CH191" s="349"/>
      <c r="CI191" s="313"/>
      <c r="CJ191" s="349"/>
      <c r="CK191" s="349"/>
      <c r="CL191" s="313"/>
      <c r="CM191" s="313"/>
      <c r="CN191" s="315"/>
      <c r="CO191" s="373"/>
      <c r="CP191" s="373"/>
      <c r="CQ191" s="315"/>
      <c r="CR191" s="373"/>
      <c r="CS191" s="373"/>
      <c r="CT191" s="315"/>
      <c r="CU191" s="315"/>
      <c r="CV191" s="353"/>
      <c r="CW191" s="313"/>
      <c r="CX191" s="512"/>
      <c r="CY191" s="516"/>
      <c r="CZ191" s="517"/>
      <c r="DA191" s="516"/>
      <c r="DB191" s="517"/>
      <c r="DC191" s="516"/>
      <c r="DD191" s="517"/>
      <c r="DE191" s="516"/>
      <c r="DF191" s="517"/>
      <c r="DG191" s="516"/>
      <c r="DH191" s="517"/>
      <c r="DI191" s="516"/>
      <c r="DJ191" s="517"/>
      <c r="DK191" s="516"/>
      <c r="DL191" s="517"/>
      <c r="DM191" s="512"/>
      <c r="DN191" s="313"/>
      <c r="DO191" s="313"/>
      <c r="DP191" s="313"/>
      <c r="DQ191" s="313"/>
      <c r="DR191" s="313"/>
      <c r="DS191" s="313"/>
      <c r="DT191" s="313"/>
      <c r="DU191" s="313"/>
      <c r="DV191" s="313"/>
      <c r="DW191" s="313"/>
    </row>
    <row r="192" spans="1:127" s="2" customFormat="1">
      <c r="A192" s="347"/>
      <c r="B192" s="347"/>
      <c r="C192" s="268"/>
      <c r="D192" s="346"/>
      <c r="E192" s="347"/>
      <c r="F192" s="349"/>
      <c r="G192" s="349"/>
      <c r="H192" s="348"/>
      <c r="I192" s="347"/>
      <c r="J192" s="348"/>
      <c r="K192" s="349"/>
      <c r="L192" s="348"/>
      <c r="M192" s="347"/>
      <c r="N192" s="347"/>
      <c r="O192" s="313"/>
      <c r="P192" s="313"/>
      <c r="Q192" s="313"/>
      <c r="R192" s="313"/>
      <c r="S192" s="313"/>
      <c r="T192" s="348"/>
      <c r="U192" s="349"/>
      <c r="V192" s="349"/>
      <c r="W192" s="348"/>
      <c r="X192" s="348"/>
      <c r="Y192" s="349"/>
      <c r="Z192" s="313"/>
      <c r="AA192" s="313"/>
      <c r="AB192" s="654"/>
      <c r="AC192" s="373"/>
      <c r="AD192" s="373"/>
      <c r="AE192" s="654"/>
      <c r="AF192" s="654"/>
      <c r="AG192" s="373"/>
      <c r="AH192" s="315"/>
      <c r="AI192" s="315"/>
      <c r="AJ192" s="348"/>
      <c r="AK192" s="349"/>
      <c r="AL192" s="349"/>
      <c r="AM192" s="348"/>
      <c r="AN192" s="349"/>
      <c r="AO192" s="349"/>
      <c r="AP192" s="313"/>
      <c r="AQ192" s="313"/>
      <c r="AR192" s="654"/>
      <c r="AS192" s="373"/>
      <c r="AT192" s="373"/>
      <c r="AU192" s="654"/>
      <c r="AV192" s="373"/>
      <c r="AW192" s="373"/>
      <c r="AX192" s="315"/>
      <c r="AY192" s="315"/>
      <c r="AZ192" s="348"/>
      <c r="BA192" s="349"/>
      <c r="BB192" s="349"/>
      <c r="BC192" s="348"/>
      <c r="BD192" s="349"/>
      <c r="BE192" s="349"/>
      <c r="BF192" s="313"/>
      <c r="BG192" s="313"/>
      <c r="BH192" s="654"/>
      <c r="BI192" s="373"/>
      <c r="BJ192" s="373"/>
      <c r="BK192" s="654"/>
      <c r="BL192" s="373"/>
      <c r="BM192" s="373"/>
      <c r="BN192" s="315"/>
      <c r="BO192" s="315"/>
      <c r="BP192" s="313"/>
      <c r="BQ192" s="349"/>
      <c r="BR192" s="349"/>
      <c r="BS192" s="348"/>
      <c r="BT192" s="349"/>
      <c r="BU192" s="349"/>
      <c r="BV192" s="313"/>
      <c r="BW192" s="313"/>
      <c r="BX192" s="315"/>
      <c r="BY192" s="373"/>
      <c r="BZ192" s="373"/>
      <c r="CA192" s="654"/>
      <c r="CB192" s="373"/>
      <c r="CC192" s="373"/>
      <c r="CD192" s="315"/>
      <c r="CE192" s="315"/>
      <c r="CF192" s="313"/>
      <c r="CG192" s="349"/>
      <c r="CH192" s="349"/>
      <c r="CI192" s="313"/>
      <c r="CJ192" s="349"/>
      <c r="CK192" s="349"/>
      <c r="CL192" s="313"/>
      <c r="CM192" s="313"/>
      <c r="CN192" s="315"/>
      <c r="CO192" s="373"/>
      <c r="CP192" s="373"/>
      <c r="CQ192" s="315"/>
      <c r="CR192" s="373"/>
      <c r="CS192" s="373"/>
      <c r="CT192" s="315"/>
      <c r="CU192" s="315"/>
      <c r="CV192" s="353"/>
      <c r="CW192" s="313"/>
      <c r="CX192" s="512"/>
      <c r="CY192" s="516"/>
      <c r="CZ192" s="517"/>
      <c r="DA192" s="516"/>
      <c r="DB192" s="517"/>
      <c r="DC192" s="516"/>
      <c r="DD192" s="517"/>
      <c r="DE192" s="516"/>
      <c r="DF192" s="517"/>
      <c r="DG192" s="516"/>
      <c r="DH192" s="517"/>
      <c r="DI192" s="516"/>
      <c r="DJ192" s="517"/>
      <c r="DK192" s="516"/>
      <c r="DL192" s="517"/>
      <c r="DM192" s="512"/>
      <c r="DN192" s="313"/>
      <c r="DO192" s="313"/>
      <c r="DP192" s="313"/>
      <c r="DQ192" s="313"/>
      <c r="DR192" s="313"/>
      <c r="DS192" s="313"/>
      <c r="DT192" s="313"/>
      <c r="DU192" s="313"/>
      <c r="DV192" s="313"/>
      <c r="DW192" s="313"/>
    </row>
    <row r="193" spans="1:127" s="2" customFormat="1">
      <c r="A193" s="347"/>
      <c r="B193" s="347"/>
      <c r="C193" s="268"/>
      <c r="D193" s="346"/>
      <c r="E193" s="347"/>
      <c r="F193" s="349"/>
      <c r="G193" s="349"/>
      <c r="H193" s="348"/>
      <c r="I193" s="347"/>
      <c r="J193" s="348"/>
      <c r="K193" s="349"/>
      <c r="L193" s="348"/>
      <c r="M193" s="347"/>
      <c r="N193" s="347"/>
      <c r="O193" s="313"/>
      <c r="P193" s="313"/>
      <c r="Q193" s="313"/>
      <c r="R193" s="313"/>
      <c r="S193" s="313"/>
      <c r="T193" s="348"/>
      <c r="U193" s="349"/>
      <c r="V193" s="349"/>
      <c r="W193" s="348"/>
      <c r="X193" s="348"/>
      <c r="Y193" s="349"/>
      <c r="Z193" s="313"/>
      <c r="AA193" s="313"/>
      <c r="AB193" s="654"/>
      <c r="AC193" s="373"/>
      <c r="AD193" s="373"/>
      <c r="AE193" s="654"/>
      <c r="AF193" s="654"/>
      <c r="AG193" s="373"/>
      <c r="AH193" s="315"/>
      <c r="AI193" s="315"/>
      <c r="AJ193" s="348"/>
      <c r="AK193" s="349"/>
      <c r="AL193" s="349"/>
      <c r="AM193" s="348"/>
      <c r="AN193" s="349"/>
      <c r="AO193" s="349"/>
      <c r="AP193" s="313"/>
      <c r="AQ193" s="313"/>
      <c r="AR193" s="654"/>
      <c r="AS193" s="373"/>
      <c r="AT193" s="373"/>
      <c r="AU193" s="654"/>
      <c r="AV193" s="373"/>
      <c r="AW193" s="373"/>
      <c r="AX193" s="315"/>
      <c r="AY193" s="315"/>
      <c r="AZ193" s="348"/>
      <c r="BA193" s="349"/>
      <c r="BB193" s="349"/>
      <c r="BC193" s="348"/>
      <c r="BD193" s="349"/>
      <c r="BE193" s="349"/>
      <c r="BF193" s="313"/>
      <c r="BG193" s="313"/>
      <c r="BH193" s="654"/>
      <c r="BI193" s="373"/>
      <c r="BJ193" s="373"/>
      <c r="BK193" s="654"/>
      <c r="BL193" s="373"/>
      <c r="BM193" s="373"/>
      <c r="BN193" s="315"/>
      <c r="BO193" s="315"/>
      <c r="BP193" s="313"/>
      <c r="BQ193" s="349"/>
      <c r="BR193" s="349"/>
      <c r="BS193" s="348"/>
      <c r="BT193" s="349"/>
      <c r="BU193" s="349"/>
      <c r="BV193" s="313"/>
      <c r="BW193" s="313"/>
      <c r="BX193" s="315"/>
      <c r="BY193" s="373"/>
      <c r="BZ193" s="373"/>
      <c r="CA193" s="654"/>
      <c r="CB193" s="373"/>
      <c r="CC193" s="373"/>
      <c r="CD193" s="315"/>
      <c r="CE193" s="315"/>
      <c r="CF193" s="313"/>
      <c r="CG193" s="349"/>
      <c r="CH193" s="349"/>
      <c r="CI193" s="313"/>
      <c r="CJ193" s="349"/>
      <c r="CK193" s="349"/>
      <c r="CL193" s="313"/>
      <c r="CM193" s="313"/>
      <c r="CN193" s="315"/>
      <c r="CO193" s="373"/>
      <c r="CP193" s="373"/>
      <c r="CQ193" s="315"/>
      <c r="CR193" s="373"/>
      <c r="CS193" s="373"/>
      <c r="CT193" s="315"/>
      <c r="CU193" s="315"/>
      <c r="CV193" s="353"/>
      <c r="CW193" s="313"/>
      <c r="CX193" s="512"/>
      <c r="CY193" s="516"/>
      <c r="CZ193" s="517"/>
      <c r="DA193" s="516"/>
      <c r="DB193" s="517"/>
      <c r="DC193" s="516"/>
      <c r="DD193" s="517"/>
      <c r="DE193" s="516"/>
      <c r="DF193" s="517"/>
      <c r="DG193" s="516"/>
      <c r="DH193" s="517"/>
      <c r="DI193" s="516"/>
      <c r="DJ193" s="517"/>
      <c r="DK193" s="516"/>
      <c r="DL193" s="517"/>
      <c r="DM193" s="512"/>
      <c r="DN193" s="313"/>
      <c r="DO193" s="313"/>
      <c r="DP193" s="313"/>
      <c r="DQ193" s="313"/>
      <c r="DR193" s="313"/>
      <c r="DS193" s="313"/>
      <c r="DT193" s="313"/>
      <c r="DU193" s="313"/>
      <c r="DV193" s="313"/>
      <c r="DW193" s="313"/>
    </row>
    <row r="194" spans="1:127" s="2" customFormat="1">
      <c r="A194" s="347"/>
      <c r="B194" s="347"/>
      <c r="C194" s="268"/>
      <c r="D194" s="346"/>
      <c r="E194" s="347"/>
      <c r="F194" s="349"/>
      <c r="G194" s="349"/>
      <c r="H194" s="348"/>
      <c r="I194" s="347"/>
      <c r="J194" s="348"/>
      <c r="K194" s="349"/>
      <c r="L194" s="348"/>
      <c r="M194" s="347"/>
      <c r="N194" s="347"/>
      <c r="O194" s="313"/>
      <c r="P194" s="313"/>
      <c r="Q194" s="313"/>
      <c r="R194" s="313"/>
      <c r="S194" s="313"/>
      <c r="T194" s="348"/>
      <c r="U194" s="349"/>
      <c r="V194" s="349"/>
      <c r="W194" s="348"/>
      <c r="X194" s="348"/>
      <c r="Y194" s="349"/>
      <c r="Z194" s="313"/>
      <c r="AA194" s="313"/>
      <c r="AB194" s="654"/>
      <c r="AC194" s="373"/>
      <c r="AD194" s="373"/>
      <c r="AE194" s="654"/>
      <c r="AF194" s="654"/>
      <c r="AG194" s="373"/>
      <c r="AH194" s="315"/>
      <c r="AI194" s="315"/>
      <c r="AJ194" s="348"/>
      <c r="AK194" s="349"/>
      <c r="AL194" s="349"/>
      <c r="AM194" s="348"/>
      <c r="AN194" s="349"/>
      <c r="AO194" s="349"/>
      <c r="AP194" s="313"/>
      <c r="AQ194" s="313"/>
      <c r="AR194" s="654"/>
      <c r="AS194" s="373"/>
      <c r="AT194" s="373"/>
      <c r="AU194" s="654"/>
      <c r="AV194" s="373"/>
      <c r="AW194" s="373"/>
      <c r="AX194" s="315"/>
      <c r="AY194" s="315"/>
      <c r="AZ194" s="348"/>
      <c r="BA194" s="349"/>
      <c r="BB194" s="349"/>
      <c r="BC194" s="348"/>
      <c r="BD194" s="349"/>
      <c r="BE194" s="349"/>
      <c r="BF194" s="313"/>
      <c r="BG194" s="313"/>
      <c r="BH194" s="654"/>
      <c r="BI194" s="373"/>
      <c r="BJ194" s="373"/>
      <c r="BK194" s="654"/>
      <c r="BL194" s="373"/>
      <c r="BM194" s="373"/>
      <c r="BN194" s="315"/>
      <c r="BO194" s="315"/>
      <c r="BP194" s="313"/>
      <c r="BQ194" s="349"/>
      <c r="BR194" s="349"/>
      <c r="BS194" s="348"/>
      <c r="BT194" s="349"/>
      <c r="BU194" s="349"/>
      <c r="BV194" s="313"/>
      <c r="BW194" s="313"/>
      <c r="BX194" s="315"/>
      <c r="BY194" s="373"/>
      <c r="BZ194" s="373"/>
      <c r="CA194" s="654"/>
      <c r="CB194" s="373"/>
      <c r="CC194" s="373"/>
      <c r="CD194" s="315"/>
      <c r="CE194" s="315"/>
      <c r="CF194" s="313"/>
      <c r="CG194" s="349"/>
      <c r="CH194" s="349"/>
      <c r="CI194" s="313"/>
      <c r="CJ194" s="349"/>
      <c r="CK194" s="349"/>
      <c r="CL194" s="313"/>
      <c r="CM194" s="313"/>
      <c r="CN194" s="315"/>
      <c r="CO194" s="373"/>
      <c r="CP194" s="373"/>
      <c r="CQ194" s="315"/>
      <c r="CR194" s="373"/>
      <c r="CS194" s="373"/>
      <c r="CT194" s="315"/>
      <c r="CU194" s="315"/>
      <c r="CV194" s="353"/>
      <c r="CW194" s="313"/>
      <c r="CX194" s="512"/>
      <c r="CY194" s="516"/>
      <c r="CZ194" s="517"/>
      <c r="DA194" s="516"/>
      <c r="DB194" s="517"/>
      <c r="DC194" s="516"/>
      <c r="DD194" s="517"/>
      <c r="DE194" s="516"/>
      <c r="DF194" s="517"/>
      <c r="DG194" s="516"/>
      <c r="DH194" s="517"/>
      <c r="DI194" s="516"/>
      <c r="DJ194" s="517"/>
      <c r="DK194" s="516"/>
      <c r="DL194" s="517"/>
      <c r="DM194" s="512"/>
      <c r="DN194" s="313"/>
      <c r="DO194" s="313"/>
      <c r="DP194" s="313"/>
      <c r="DQ194" s="313"/>
      <c r="DR194" s="313"/>
      <c r="DS194" s="313"/>
      <c r="DT194" s="313"/>
      <c r="DU194" s="313"/>
      <c r="DV194" s="313"/>
      <c r="DW194" s="313"/>
    </row>
    <row r="195" spans="1:127" s="2" customFormat="1">
      <c r="A195" s="347"/>
      <c r="B195" s="347"/>
      <c r="C195" s="268"/>
      <c r="D195" s="346"/>
      <c r="E195" s="347"/>
      <c r="F195" s="349"/>
      <c r="G195" s="349"/>
      <c r="H195" s="348"/>
      <c r="I195" s="347"/>
      <c r="J195" s="348"/>
      <c r="K195" s="349"/>
      <c r="L195" s="348"/>
      <c r="M195" s="347"/>
      <c r="N195" s="347"/>
      <c r="O195" s="313"/>
      <c r="P195" s="313"/>
      <c r="Q195" s="313"/>
      <c r="R195" s="313"/>
      <c r="S195" s="313"/>
      <c r="T195" s="348"/>
      <c r="U195" s="349"/>
      <c r="V195" s="349"/>
      <c r="W195" s="348"/>
      <c r="X195" s="348"/>
      <c r="Y195" s="349"/>
      <c r="Z195" s="313"/>
      <c r="AA195" s="313"/>
      <c r="AB195" s="654"/>
      <c r="AC195" s="373"/>
      <c r="AD195" s="373"/>
      <c r="AE195" s="654"/>
      <c r="AF195" s="654"/>
      <c r="AG195" s="373"/>
      <c r="AH195" s="315"/>
      <c r="AI195" s="315"/>
      <c r="AJ195" s="348"/>
      <c r="AK195" s="349"/>
      <c r="AL195" s="349"/>
      <c r="AM195" s="348"/>
      <c r="AN195" s="349"/>
      <c r="AO195" s="349"/>
      <c r="AP195" s="313"/>
      <c r="AQ195" s="313"/>
      <c r="AR195" s="654"/>
      <c r="AS195" s="373"/>
      <c r="AT195" s="373"/>
      <c r="AU195" s="654"/>
      <c r="AV195" s="373"/>
      <c r="AW195" s="373"/>
      <c r="AX195" s="315"/>
      <c r="AY195" s="315"/>
      <c r="AZ195" s="348"/>
      <c r="BA195" s="349"/>
      <c r="BB195" s="349"/>
      <c r="BC195" s="348"/>
      <c r="BD195" s="349"/>
      <c r="BE195" s="349"/>
      <c r="BF195" s="313"/>
      <c r="BG195" s="313"/>
      <c r="BH195" s="654"/>
      <c r="BI195" s="373"/>
      <c r="BJ195" s="373"/>
      <c r="BK195" s="654"/>
      <c r="BL195" s="373"/>
      <c r="BM195" s="373"/>
      <c r="BN195" s="315"/>
      <c r="BO195" s="315"/>
      <c r="BP195" s="313"/>
      <c r="BQ195" s="349"/>
      <c r="BR195" s="349"/>
      <c r="BS195" s="348"/>
      <c r="BT195" s="349"/>
      <c r="BU195" s="349"/>
      <c r="BV195" s="313"/>
      <c r="BW195" s="313"/>
      <c r="BX195" s="315"/>
      <c r="BY195" s="373"/>
      <c r="BZ195" s="373"/>
      <c r="CA195" s="654"/>
      <c r="CB195" s="373"/>
      <c r="CC195" s="373"/>
      <c r="CD195" s="315"/>
      <c r="CE195" s="315"/>
      <c r="CF195" s="313"/>
      <c r="CG195" s="349"/>
      <c r="CH195" s="349"/>
      <c r="CI195" s="313"/>
      <c r="CJ195" s="349"/>
      <c r="CK195" s="349"/>
      <c r="CL195" s="313"/>
      <c r="CM195" s="313"/>
      <c r="CN195" s="315"/>
      <c r="CO195" s="373"/>
      <c r="CP195" s="373"/>
      <c r="CQ195" s="315"/>
      <c r="CR195" s="373"/>
      <c r="CS195" s="373"/>
      <c r="CT195" s="315"/>
      <c r="CU195" s="315"/>
      <c r="CV195" s="353"/>
      <c r="CW195" s="313"/>
      <c r="CX195" s="512"/>
      <c r="CY195" s="516"/>
      <c r="CZ195" s="517"/>
      <c r="DA195" s="516"/>
      <c r="DB195" s="517"/>
      <c r="DC195" s="516"/>
      <c r="DD195" s="517"/>
      <c r="DE195" s="516"/>
      <c r="DF195" s="517"/>
      <c r="DG195" s="516"/>
      <c r="DH195" s="517"/>
      <c r="DI195" s="516"/>
      <c r="DJ195" s="517"/>
      <c r="DK195" s="516"/>
      <c r="DL195" s="517"/>
      <c r="DM195" s="512"/>
      <c r="DN195" s="313"/>
      <c r="DO195" s="313"/>
      <c r="DP195" s="313"/>
      <c r="DQ195" s="313"/>
      <c r="DR195" s="313"/>
      <c r="DS195" s="313"/>
      <c r="DT195" s="313"/>
      <c r="DU195" s="313"/>
      <c r="DV195" s="313"/>
      <c r="DW195" s="313"/>
    </row>
    <row r="196" spans="1:127" s="2" customFormat="1">
      <c r="A196" s="347"/>
      <c r="B196" s="347"/>
      <c r="C196" s="268"/>
      <c r="D196" s="346"/>
      <c r="E196" s="347"/>
      <c r="F196" s="349"/>
      <c r="G196" s="349"/>
      <c r="H196" s="348"/>
      <c r="I196" s="347"/>
      <c r="J196" s="348"/>
      <c r="K196" s="349"/>
      <c r="L196" s="348"/>
      <c r="M196" s="347"/>
      <c r="N196" s="347"/>
      <c r="O196" s="313"/>
      <c r="P196" s="313"/>
      <c r="Q196" s="313"/>
      <c r="R196" s="313"/>
      <c r="S196" s="313"/>
      <c r="T196" s="348"/>
      <c r="U196" s="349"/>
      <c r="V196" s="349"/>
      <c r="W196" s="348"/>
      <c r="X196" s="348"/>
      <c r="Y196" s="349"/>
      <c r="Z196" s="313"/>
      <c r="AA196" s="313"/>
      <c r="AB196" s="654"/>
      <c r="AC196" s="373"/>
      <c r="AD196" s="373"/>
      <c r="AE196" s="654"/>
      <c r="AF196" s="654"/>
      <c r="AG196" s="373"/>
      <c r="AH196" s="315"/>
      <c r="AI196" s="315"/>
      <c r="AJ196" s="348"/>
      <c r="AK196" s="349"/>
      <c r="AL196" s="349"/>
      <c r="AM196" s="348"/>
      <c r="AN196" s="349"/>
      <c r="AO196" s="349"/>
      <c r="AP196" s="313"/>
      <c r="AQ196" s="313"/>
      <c r="AR196" s="654"/>
      <c r="AS196" s="373"/>
      <c r="AT196" s="373"/>
      <c r="AU196" s="654"/>
      <c r="AV196" s="373"/>
      <c r="AW196" s="373"/>
      <c r="AX196" s="315"/>
      <c r="AY196" s="315"/>
      <c r="AZ196" s="348"/>
      <c r="BA196" s="349"/>
      <c r="BB196" s="349"/>
      <c r="BC196" s="348"/>
      <c r="BD196" s="349"/>
      <c r="BE196" s="349"/>
      <c r="BF196" s="313"/>
      <c r="BG196" s="313"/>
      <c r="BH196" s="654"/>
      <c r="BI196" s="373"/>
      <c r="BJ196" s="373"/>
      <c r="BK196" s="654"/>
      <c r="BL196" s="373"/>
      <c r="BM196" s="373"/>
      <c r="BN196" s="315"/>
      <c r="BO196" s="315"/>
      <c r="BP196" s="313"/>
      <c r="BQ196" s="349"/>
      <c r="BR196" s="349"/>
      <c r="BS196" s="348"/>
      <c r="BT196" s="349"/>
      <c r="BU196" s="349"/>
      <c r="BV196" s="313"/>
      <c r="BW196" s="313"/>
      <c r="BX196" s="315"/>
      <c r="BY196" s="373"/>
      <c r="BZ196" s="373"/>
      <c r="CA196" s="654"/>
      <c r="CB196" s="373"/>
      <c r="CC196" s="373"/>
      <c r="CD196" s="315"/>
      <c r="CE196" s="315"/>
      <c r="CF196" s="313"/>
      <c r="CG196" s="349"/>
      <c r="CH196" s="349"/>
      <c r="CI196" s="313"/>
      <c r="CJ196" s="349"/>
      <c r="CK196" s="349"/>
      <c r="CL196" s="313"/>
      <c r="CM196" s="313"/>
      <c r="CN196" s="315"/>
      <c r="CO196" s="373"/>
      <c r="CP196" s="373"/>
      <c r="CQ196" s="315"/>
      <c r="CR196" s="373"/>
      <c r="CS196" s="373"/>
      <c r="CT196" s="315"/>
      <c r="CU196" s="315"/>
      <c r="CV196" s="353"/>
      <c r="CW196" s="313"/>
      <c r="CX196" s="512"/>
      <c r="CY196" s="516"/>
      <c r="CZ196" s="517"/>
      <c r="DA196" s="516"/>
      <c r="DB196" s="517"/>
      <c r="DC196" s="516"/>
      <c r="DD196" s="517"/>
      <c r="DE196" s="516"/>
      <c r="DF196" s="517"/>
      <c r="DG196" s="516"/>
      <c r="DH196" s="517"/>
      <c r="DI196" s="516"/>
      <c r="DJ196" s="517"/>
      <c r="DK196" s="516"/>
      <c r="DL196" s="517"/>
      <c r="DM196" s="512"/>
      <c r="DN196" s="313"/>
      <c r="DO196" s="313"/>
      <c r="DP196" s="313"/>
      <c r="DQ196" s="313"/>
      <c r="DR196" s="313"/>
      <c r="DS196" s="313"/>
      <c r="DT196" s="313"/>
      <c r="DU196" s="313"/>
      <c r="DV196" s="313"/>
      <c r="DW196" s="313"/>
    </row>
    <row r="197" spans="1:127" s="2" customFormat="1">
      <c r="A197" s="347"/>
      <c r="B197" s="347"/>
      <c r="C197" s="268"/>
      <c r="D197" s="346"/>
      <c r="E197" s="347"/>
      <c r="F197" s="349"/>
      <c r="G197" s="349"/>
      <c r="H197" s="348"/>
      <c r="I197" s="347"/>
      <c r="J197" s="348"/>
      <c r="K197" s="349"/>
      <c r="L197" s="348"/>
      <c r="M197" s="347"/>
      <c r="N197" s="347"/>
      <c r="O197" s="313"/>
      <c r="P197" s="313"/>
      <c r="Q197" s="313"/>
      <c r="R197" s="313"/>
      <c r="S197" s="313"/>
      <c r="T197" s="348"/>
      <c r="U197" s="349"/>
      <c r="V197" s="349"/>
      <c r="W197" s="348"/>
      <c r="X197" s="348"/>
      <c r="Y197" s="349"/>
      <c r="Z197" s="313"/>
      <c r="AA197" s="313"/>
      <c r="AB197" s="654"/>
      <c r="AC197" s="373"/>
      <c r="AD197" s="373"/>
      <c r="AE197" s="654"/>
      <c r="AF197" s="654"/>
      <c r="AG197" s="373"/>
      <c r="AH197" s="315"/>
      <c r="AI197" s="315"/>
      <c r="AJ197" s="348"/>
      <c r="AK197" s="349"/>
      <c r="AL197" s="349"/>
      <c r="AM197" s="348"/>
      <c r="AN197" s="349"/>
      <c r="AO197" s="349"/>
      <c r="AP197" s="313"/>
      <c r="AQ197" s="313"/>
      <c r="AR197" s="654"/>
      <c r="AS197" s="373"/>
      <c r="AT197" s="373"/>
      <c r="AU197" s="654"/>
      <c r="AV197" s="373"/>
      <c r="AW197" s="373"/>
      <c r="AX197" s="315"/>
      <c r="AY197" s="315"/>
      <c r="AZ197" s="348"/>
      <c r="BA197" s="349"/>
      <c r="BB197" s="349"/>
      <c r="BC197" s="348"/>
      <c r="BD197" s="349"/>
      <c r="BE197" s="349"/>
      <c r="BF197" s="313"/>
      <c r="BG197" s="313"/>
      <c r="BH197" s="654"/>
      <c r="BI197" s="373"/>
      <c r="BJ197" s="373"/>
      <c r="BK197" s="654"/>
      <c r="BL197" s="373"/>
      <c r="BM197" s="373"/>
      <c r="BN197" s="315"/>
      <c r="BO197" s="315"/>
      <c r="BP197" s="313"/>
      <c r="BQ197" s="349"/>
      <c r="BR197" s="349"/>
      <c r="BS197" s="348"/>
      <c r="BT197" s="349"/>
      <c r="BU197" s="349"/>
      <c r="BV197" s="313"/>
      <c r="BW197" s="313"/>
      <c r="BX197" s="315"/>
      <c r="BY197" s="373"/>
      <c r="BZ197" s="373"/>
      <c r="CA197" s="654"/>
      <c r="CB197" s="373"/>
      <c r="CC197" s="373"/>
      <c r="CD197" s="315"/>
      <c r="CE197" s="315"/>
      <c r="CF197" s="313"/>
      <c r="CG197" s="349"/>
      <c r="CH197" s="349"/>
      <c r="CI197" s="313"/>
      <c r="CJ197" s="349"/>
      <c r="CK197" s="349"/>
      <c r="CL197" s="313"/>
      <c r="CM197" s="313"/>
      <c r="CN197" s="315"/>
      <c r="CO197" s="373"/>
      <c r="CP197" s="373"/>
      <c r="CQ197" s="315"/>
      <c r="CR197" s="373"/>
      <c r="CS197" s="373"/>
      <c r="CT197" s="315"/>
      <c r="CU197" s="315"/>
      <c r="CV197" s="353"/>
      <c r="CW197" s="313"/>
      <c r="CX197" s="512"/>
      <c r="CY197" s="516"/>
      <c r="CZ197" s="517"/>
      <c r="DA197" s="516"/>
      <c r="DB197" s="517"/>
      <c r="DC197" s="516"/>
      <c r="DD197" s="517"/>
      <c r="DE197" s="516"/>
      <c r="DF197" s="517"/>
      <c r="DG197" s="516"/>
      <c r="DH197" s="517"/>
      <c r="DI197" s="516"/>
      <c r="DJ197" s="517"/>
      <c r="DK197" s="516"/>
      <c r="DL197" s="517"/>
      <c r="DM197" s="512"/>
      <c r="DN197" s="313"/>
      <c r="DO197" s="313"/>
      <c r="DP197" s="313"/>
      <c r="DQ197" s="313"/>
      <c r="DR197" s="313"/>
      <c r="DS197" s="313"/>
      <c r="DT197" s="313"/>
      <c r="DU197" s="313"/>
      <c r="DV197" s="313"/>
      <c r="DW197" s="313"/>
    </row>
    <row r="198" spans="1:127" s="2" customFormat="1">
      <c r="A198" s="347"/>
      <c r="B198" s="347"/>
      <c r="C198" s="268"/>
      <c r="D198" s="346"/>
      <c r="E198" s="347"/>
      <c r="F198" s="349"/>
      <c r="G198" s="349"/>
      <c r="H198" s="348"/>
      <c r="I198" s="347"/>
      <c r="J198" s="348"/>
      <c r="K198" s="349"/>
      <c r="L198" s="348"/>
      <c r="M198" s="347"/>
      <c r="N198" s="347"/>
      <c r="O198" s="313"/>
      <c r="P198" s="313"/>
      <c r="Q198" s="313"/>
      <c r="R198" s="313"/>
      <c r="S198" s="313"/>
      <c r="T198" s="348"/>
      <c r="U198" s="349"/>
      <c r="V198" s="349"/>
      <c r="W198" s="348"/>
      <c r="X198" s="348"/>
      <c r="Y198" s="349"/>
      <c r="Z198" s="313"/>
      <c r="AA198" s="313"/>
      <c r="AB198" s="654"/>
      <c r="AC198" s="373"/>
      <c r="AD198" s="373"/>
      <c r="AE198" s="654"/>
      <c r="AF198" s="654"/>
      <c r="AG198" s="373"/>
      <c r="AH198" s="315"/>
      <c r="AI198" s="315"/>
      <c r="AJ198" s="348"/>
      <c r="AK198" s="349"/>
      <c r="AL198" s="349"/>
      <c r="AM198" s="348"/>
      <c r="AN198" s="349"/>
      <c r="AO198" s="349"/>
      <c r="AP198" s="313"/>
      <c r="AQ198" s="313"/>
      <c r="AR198" s="654"/>
      <c r="AS198" s="373"/>
      <c r="AT198" s="373"/>
      <c r="AU198" s="654"/>
      <c r="AV198" s="373"/>
      <c r="AW198" s="373"/>
      <c r="AX198" s="315"/>
      <c r="AY198" s="315"/>
      <c r="AZ198" s="348"/>
      <c r="BA198" s="349"/>
      <c r="BB198" s="349"/>
      <c r="BC198" s="348"/>
      <c r="BD198" s="349"/>
      <c r="BE198" s="349"/>
      <c r="BF198" s="313"/>
      <c r="BG198" s="313"/>
      <c r="BH198" s="654"/>
      <c r="BI198" s="373"/>
      <c r="BJ198" s="373"/>
      <c r="BK198" s="654"/>
      <c r="BL198" s="373"/>
      <c r="BM198" s="373"/>
      <c r="BN198" s="315"/>
      <c r="BO198" s="315"/>
      <c r="BP198" s="313"/>
      <c r="BQ198" s="349"/>
      <c r="BR198" s="349"/>
      <c r="BS198" s="348"/>
      <c r="BT198" s="349"/>
      <c r="BU198" s="349"/>
      <c r="BV198" s="313"/>
      <c r="BW198" s="313"/>
      <c r="BX198" s="315"/>
      <c r="BY198" s="373"/>
      <c r="BZ198" s="373"/>
      <c r="CA198" s="654"/>
      <c r="CB198" s="373"/>
      <c r="CC198" s="373"/>
      <c r="CD198" s="315"/>
      <c r="CE198" s="315"/>
      <c r="CF198" s="313"/>
      <c r="CG198" s="349"/>
      <c r="CH198" s="349"/>
      <c r="CI198" s="313"/>
      <c r="CJ198" s="349"/>
      <c r="CK198" s="349"/>
      <c r="CL198" s="313"/>
      <c r="CM198" s="313"/>
      <c r="CN198" s="315"/>
      <c r="CO198" s="373"/>
      <c r="CP198" s="373"/>
      <c r="CQ198" s="315"/>
      <c r="CR198" s="373"/>
      <c r="CS198" s="373"/>
      <c r="CT198" s="315"/>
      <c r="CU198" s="315"/>
      <c r="CV198" s="353"/>
      <c r="CW198" s="313"/>
      <c r="CX198" s="512"/>
      <c r="CY198" s="516"/>
      <c r="CZ198" s="517"/>
      <c r="DA198" s="516"/>
      <c r="DB198" s="517"/>
      <c r="DC198" s="516"/>
      <c r="DD198" s="517"/>
      <c r="DE198" s="516"/>
      <c r="DF198" s="517"/>
      <c r="DG198" s="516"/>
      <c r="DH198" s="517"/>
      <c r="DI198" s="516"/>
      <c r="DJ198" s="517"/>
      <c r="DK198" s="516"/>
      <c r="DL198" s="517"/>
      <c r="DM198" s="512"/>
      <c r="DN198" s="313"/>
      <c r="DO198" s="313"/>
      <c r="DP198" s="313"/>
      <c r="DQ198" s="313"/>
      <c r="DR198" s="313"/>
      <c r="DS198" s="313"/>
      <c r="DT198" s="313"/>
      <c r="DU198" s="313"/>
      <c r="DV198" s="313"/>
      <c r="DW198" s="313"/>
    </row>
    <row r="199" spans="1:127" s="2" customFormat="1">
      <c r="A199" s="347"/>
      <c r="B199" s="347"/>
      <c r="C199" s="268"/>
      <c r="D199" s="346"/>
      <c r="E199" s="347"/>
      <c r="F199" s="349"/>
      <c r="G199" s="349"/>
      <c r="H199" s="348"/>
      <c r="I199" s="347"/>
      <c r="J199" s="348"/>
      <c r="K199" s="349"/>
      <c r="L199" s="348"/>
      <c r="M199" s="347"/>
      <c r="N199" s="347"/>
      <c r="O199" s="313"/>
      <c r="P199" s="313"/>
      <c r="Q199" s="313"/>
      <c r="R199" s="313"/>
      <c r="S199" s="313"/>
      <c r="T199" s="348"/>
      <c r="U199" s="349"/>
      <c r="V199" s="349"/>
      <c r="W199" s="348"/>
      <c r="X199" s="348"/>
      <c r="Y199" s="349"/>
      <c r="Z199" s="313"/>
      <c r="AA199" s="313"/>
      <c r="AB199" s="654"/>
      <c r="AC199" s="373"/>
      <c r="AD199" s="373"/>
      <c r="AE199" s="654"/>
      <c r="AF199" s="654"/>
      <c r="AG199" s="373"/>
      <c r="AH199" s="315"/>
      <c r="AI199" s="315"/>
      <c r="AJ199" s="348"/>
      <c r="AK199" s="349"/>
      <c r="AL199" s="349"/>
      <c r="AM199" s="348"/>
      <c r="AN199" s="349"/>
      <c r="AO199" s="349"/>
      <c r="AP199" s="313"/>
      <c r="AQ199" s="313"/>
      <c r="AR199" s="654"/>
      <c r="AS199" s="373"/>
      <c r="AT199" s="373"/>
      <c r="AU199" s="654"/>
      <c r="AV199" s="373"/>
      <c r="AW199" s="373"/>
      <c r="AX199" s="315"/>
      <c r="AY199" s="315"/>
      <c r="AZ199" s="348"/>
      <c r="BA199" s="349"/>
      <c r="BB199" s="349"/>
      <c r="BC199" s="348"/>
      <c r="BD199" s="349"/>
      <c r="BE199" s="349"/>
      <c r="BF199" s="313"/>
      <c r="BG199" s="313"/>
      <c r="BH199" s="654"/>
      <c r="BI199" s="373"/>
      <c r="BJ199" s="373"/>
      <c r="BK199" s="654"/>
      <c r="BL199" s="373"/>
      <c r="BM199" s="373"/>
      <c r="BN199" s="315"/>
      <c r="BO199" s="315"/>
      <c r="BP199" s="313"/>
      <c r="BQ199" s="349"/>
      <c r="BR199" s="349"/>
      <c r="BS199" s="348"/>
      <c r="BT199" s="349"/>
      <c r="BU199" s="349"/>
      <c r="BV199" s="313"/>
      <c r="BW199" s="313"/>
      <c r="BX199" s="315"/>
      <c r="BY199" s="373"/>
      <c r="BZ199" s="373"/>
      <c r="CA199" s="654"/>
      <c r="CB199" s="373"/>
      <c r="CC199" s="373"/>
      <c r="CD199" s="315"/>
      <c r="CE199" s="315"/>
      <c r="CF199" s="313"/>
      <c r="CG199" s="349"/>
      <c r="CH199" s="349"/>
      <c r="CI199" s="313"/>
      <c r="CJ199" s="349"/>
      <c r="CK199" s="349"/>
      <c r="CL199" s="313"/>
      <c r="CM199" s="313"/>
      <c r="CN199" s="315"/>
      <c r="CO199" s="373"/>
      <c r="CP199" s="373"/>
      <c r="CQ199" s="315"/>
      <c r="CR199" s="373"/>
      <c r="CS199" s="373"/>
      <c r="CT199" s="315"/>
      <c r="CU199" s="315"/>
      <c r="CV199" s="353"/>
      <c r="CW199" s="313"/>
      <c r="CX199" s="512"/>
      <c r="CY199" s="516"/>
      <c r="CZ199" s="517"/>
      <c r="DA199" s="516"/>
      <c r="DB199" s="517"/>
      <c r="DC199" s="516"/>
      <c r="DD199" s="517"/>
      <c r="DE199" s="516"/>
      <c r="DF199" s="517"/>
      <c r="DG199" s="516"/>
      <c r="DH199" s="517"/>
      <c r="DI199" s="516"/>
      <c r="DJ199" s="517"/>
      <c r="DK199" s="516"/>
      <c r="DL199" s="517"/>
      <c r="DM199" s="512"/>
      <c r="DN199" s="313"/>
      <c r="DO199" s="313"/>
      <c r="DP199" s="313"/>
      <c r="DQ199" s="313"/>
      <c r="DR199" s="313"/>
      <c r="DS199" s="313"/>
      <c r="DT199" s="313"/>
      <c r="DU199" s="313"/>
      <c r="DV199" s="313"/>
      <c r="DW199" s="313"/>
    </row>
    <row r="200" spans="1:127" s="2" customFormat="1">
      <c r="A200" s="347"/>
      <c r="B200" s="347"/>
      <c r="C200" s="268"/>
      <c r="D200" s="346"/>
      <c r="E200" s="347"/>
      <c r="F200" s="349"/>
      <c r="G200" s="349"/>
      <c r="H200" s="348"/>
      <c r="I200" s="347"/>
      <c r="J200" s="348"/>
      <c r="K200" s="349"/>
      <c r="L200" s="348"/>
      <c r="M200" s="347"/>
      <c r="N200" s="347"/>
      <c r="O200" s="313"/>
      <c r="P200" s="313"/>
      <c r="Q200" s="313"/>
      <c r="R200" s="313"/>
      <c r="S200" s="313"/>
      <c r="T200" s="348"/>
      <c r="U200" s="349"/>
      <c r="V200" s="349"/>
      <c r="W200" s="348"/>
      <c r="X200" s="348"/>
      <c r="Y200" s="349"/>
      <c r="Z200" s="313"/>
      <c r="AA200" s="313"/>
      <c r="AB200" s="654"/>
      <c r="AC200" s="373"/>
      <c r="AD200" s="373"/>
      <c r="AE200" s="654"/>
      <c r="AF200" s="654"/>
      <c r="AG200" s="373"/>
      <c r="AH200" s="315"/>
      <c r="AI200" s="315"/>
      <c r="AJ200" s="348"/>
      <c r="AK200" s="349"/>
      <c r="AL200" s="349"/>
      <c r="AM200" s="348"/>
      <c r="AN200" s="349"/>
      <c r="AO200" s="349"/>
      <c r="AP200" s="313"/>
      <c r="AQ200" s="313"/>
      <c r="AR200" s="654"/>
      <c r="AS200" s="373"/>
      <c r="AT200" s="373"/>
      <c r="AU200" s="654"/>
      <c r="AV200" s="373"/>
      <c r="AW200" s="373"/>
      <c r="AX200" s="315"/>
      <c r="AY200" s="315"/>
      <c r="AZ200" s="348"/>
      <c r="BA200" s="349"/>
      <c r="BB200" s="349"/>
      <c r="BC200" s="348"/>
      <c r="BD200" s="349"/>
      <c r="BE200" s="349"/>
      <c r="BF200" s="313"/>
      <c r="BG200" s="313"/>
      <c r="BH200" s="654"/>
      <c r="BI200" s="373"/>
      <c r="BJ200" s="373"/>
      <c r="BK200" s="654"/>
      <c r="BL200" s="373"/>
      <c r="BM200" s="373"/>
      <c r="BN200" s="315"/>
      <c r="BO200" s="315"/>
      <c r="BP200" s="313"/>
      <c r="BQ200" s="349"/>
      <c r="BR200" s="349"/>
      <c r="BS200" s="348"/>
      <c r="BT200" s="349"/>
      <c r="BU200" s="349"/>
      <c r="BV200" s="313"/>
      <c r="BW200" s="313"/>
      <c r="BX200" s="315"/>
      <c r="BY200" s="373"/>
      <c r="BZ200" s="373"/>
      <c r="CA200" s="654"/>
      <c r="CB200" s="373"/>
      <c r="CC200" s="373"/>
      <c r="CD200" s="315"/>
      <c r="CE200" s="315"/>
      <c r="CF200" s="313"/>
      <c r="CG200" s="349"/>
      <c r="CH200" s="349"/>
      <c r="CI200" s="313"/>
      <c r="CJ200" s="349"/>
      <c r="CK200" s="349"/>
      <c r="CL200" s="313"/>
      <c r="CM200" s="313"/>
      <c r="CN200" s="315"/>
      <c r="CO200" s="373"/>
      <c r="CP200" s="373"/>
      <c r="CQ200" s="315"/>
      <c r="CR200" s="373"/>
      <c r="CS200" s="373"/>
      <c r="CT200" s="315"/>
      <c r="CU200" s="315"/>
      <c r="CV200" s="353"/>
      <c r="CW200" s="313"/>
      <c r="CX200" s="512"/>
      <c r="CY200" s="516"/>
      <c r="CZ200" s="517"/>
      <c r="DA200" s="516"/>
      <c r="DB200" s="517"/>
      <c r="DC200" s="516"/>
      <c r="DD200" s="517"/>
      <c r="DE200" s="516"/>
      <c r="DF200" s="517"/>
      <c r="DG200" s="516"/>
      <c r="DH200" s="517"/>
      <c r="DI200" s="516"/>
      <c r="DJ200" s="517"/>
      <c r="DK200" s="516"/>
      <c r="DL200" s="517"/>
      <c r="DM200" s="512"/>
      <c r="DN200" s="313"/>
      <c r="DO200" s="313"/>
      <c r="DP200" s="313"/>
      <c r="DQ200" s="313"/>
      <c r="DR200" s="313"/>
      <c r="DS200" s="313"/>
      <c r="DT200" s="313"/>
      <c r="DU200" s="313"/>
      <c r="DV200" s="313"/>
      <c r="DW200" s="313"/>
    </row>
    <row r="201" spans="1:127" s="2" customFormat="1">
      <c r="A201" s="347"/>
      <c r="B201" s="347"/>
      <c r="C201" s="268"/>
      <c r="D201" s="346"/>
      <c r="E201" s="347"/>
      <c r="F201" s="349"/>
      <c r="G201" s="349"/>
      <c r="H201" s="348"/>
      <c r="I201" s="347"/>
      <c r="J201" s="348"/>
      <c r="K201" s="349"/>
      <c r="L201" s="348"/>
      <c r="M201" s="347"/>
      <c r="N201" s="347"/>
      <c r="O201" s="313"/>
      <c r="P201" s="313"/>
      <c r="Q201" s="313"/>
      <c r="R201" s="313"/>
      <c r="S201" s="313"/>
      <c r="T201" s="348"/>
      <c r="U201" s="349"/>
      <c r="V201" s="349"/>
      <c r="W201" s="348"/>
      <c r="X201" s="348"/>
      <c r="Y201" s="349"/>
      <c r="Z201" s="313"/>
      <c r="AA201" s="313"/>
      <c r="AB201" s="654"/>
      <c r="AC201" s="373"/>
      <c r="AD201" s="373"/>
      <c r="AE201" s="654"/>
      <c r="AF201" s="654"/>
      <c r="AG201" s="373"/>
      <c r="AH201" s="315"/>
      <c r="AI201" s="315"/>
      <c r="AJ201" s="348"/>
      <c r="AK201" s="349"/>
      <c r="AL201" s="349"/>
      <c r="AM201" s="348"/>
      <c r="AN201" s="349"/>
      <c r="AO201" s="349"/>
      <c r="AP201" s="313"/>
      <c r="AQ201" s="313"/>
      <c r="AR201" s="654"/>
      <c r="AS201" s="373"/>
      <c r="AT201" s="373"/>
      <c r="AU201" s="654"/>
      <c r="AV201" s="373"/>
      <c r="AW201" s="373"/>
      <c r="AX201" s="315"/>
      <c r="AY201" s="315"/>
      <c r="AZ201" s="348"/>
      <c r="BA201" s="349"/>
      <c r="BB201" s="349"/>
      <c r="BC201" s="348"/>
      <c r="BD201" s="349"/>
      <c r="BE201" s="349"/>
      <c r="BF201" s="313"/>
      <c r="BG201" s="313"/>
      <c r="BH201" s="654"/>
      <c r="BI201" s="373"/>
      <c r="BJ201" s="373"/>
      <c r="BK201" s="654"/>
      <c r="BL201" s="373"/>
      <c r="BM201" s="373"/>
      <c r="BN201" s="315"/>
      <c r="BO201" s="315"/>
      <c r="BP201" s="313"/>
      <c r="BQ201" s="349"/>
      <c r="BR201" s="349"/>
      <c r="BS201" s="348"/>
      <c r="BT201" s="349"/>
      <c r="BU201" s="349"/>
      <c r="BV201" s="313"/>
      <c r="BW201" s="313"/>
      <c r="BX201" s="315"/>
      <c r="BY201" s="373"/>
      <c r="BZ201" s="373"/>
      <c r="CA201" s="654"/>
      <c r="CB201" s="373"/>
      <c r="CC201" s="373"/>
      <c r="CD201" s="315"/>
      <c r="CE201" s="315"/>
      <c r="CF201" s="313"/>
      <c r="CG201" s="349"/>
      <c r="CH201" s="349"/>
      <c r="CI201" s="313"/>
      <c r="CJ201" s="349"/>
      <c r="CK201" s="349"/>
      <c r="CL201" s="313"/>
      <c r="CM201" s="313"/>
      <c r="CN201" s="315"/>
      <c r="CO201" s="373"/>
      <c r="CP201" s="373"/>
      <c r="CQ201" s="315"/>
      <c r="CR201" s="373"/>
      <c r="CS201" s="373"/>
      <c r="CT201" s="315"/>
      <c r="CU201" s="315"/>
      <c r="CV201" s="353"/>
      <c r="CW201" s="313"/>
      <c r="CX201" s="512"/>
      <c r="CY201" s="516"/>
      <c r="CZ201" s="517"/>
      <c r="DA201" s="516"/>
      <c r="DB201" s="517"/>
      <c r="DC201" s="516"/>
      <c r="DD201" s="517"/>
      <c r="DE201" s="516"/>
      <c r="DF201" s="517"/>
      <c r="DG201" s="516"/>
      <c r="DH201" s="517"/>
      <c r="DI201" s="516"/>
      <c r="DJ201" s="517"/>
      <c r="DK201" s="516"/>
      <c r="DL201" s="517"/>
      <c r="DM201" s="512"/>
      <c r="DN201" s="313"/>
      <c r="DO201" s="313"/>
      <c r="DP201" s="313"/>
      <c r="DQ201" s="313"/>
      <c r="DR201" s="313"/>
      <c r="DS201" s="313"/>
      <c r="DT201" s="313"/>
      <c r="DU201" s="313"/>
      <c r="DV201" s="313"/>
      <c r="DW201" s="313"/>
    </row>
    <row r="202" spans="1:127" s="2" customFormat="1">
      <c r="A202" s="347"/>
      <c r="B202" s="347"/>
      <c r="C202" s="268"/>
      <c r="D202" s="346"/>
      <c r="E202" s="347"/>
      <c r="F202" s="349"/>
      <c r="G202" s="349"/>
      <c r="H202" s="348"/>
      <c r="I202" s="347"/>
      <c r="J202" s="348"/>
      <c r="K202" s="349"/>
      <c r="L202" s="348"/>
      <c r="M202" s="347"/>
      <c r="N202" s="347"/>
      <c r="O202" s="313"/>
      <c r="P202" s="313"/>
      <c r="Q202" s="313"/>
      <c r="R202" s="313"/>
      <c r="S202" s="313"/>
      <c r="T202" s="348"/>
      <c r="U202" s="349"/>
      <c r="V202" s="349"/>
      <c r="W202" s="348"/>
      <c r="X202" s="348"/>
      <c r="Y202" s="349"/>
      <c r="Z202" s="313"/>
      <c r="AA202" s="313"/>
      <c r="AB202" s="654"/>
      <c r="AC202" s="373"/>
      <c r="AD202" s="373"/>
      <c r="AE202" s="654"/>
      <c r="AF202" s="654"/>
      <c r="AG202" s="373"/>
      <c r="AH202" s="315"/>
      <c r="AI202" s="315"/>
      <c r="AJ202" s="348"/>
      <c r="AK202" s="349"/>
      <c r="AL202" s="349"/>
      <c r="AM202" s="348"/>
      <c r="AN202" s="349"/>
      <c r="AO202" s="349"/>
      <c r="AP202" s="313"/>
      <c r="AQ202" s="313"/>
      <c r="AR202" s="654"/>
      <c r="AS202" s="373"/>
      <c r="AT202" s="373"/>
      <c r="AU202" s="654"/>
      <c r="AV202" s="373"/>
      <c r="AW202" s="373"/>
      <c r="AX202" s="315"/>
      <c r="AY202" s="315"/>
      <c r="AZ202" s="348"/>
      <c r="BA202" s="349"/>
      <c r="BB202" s="349"/>
      <c r="BC202" s="348"/>
      <c r="BD202" s="349"/>
      <c r="BE202" s="349"/>
      <c r="BF202" s="313"/>
      <c r="BG202" s="313"/>
      <c r="BH202" s="654"/>
      <c r="BI202" s="373"/>
      <c r="BJ202" s="373"/>
      <c r="BK202" s="654"/>
      <c r="BL202" s="373"/>
      <c r="BM202" s="373"/>
      <c r="BN202" s="315"/>
      <c r="BO202" s="315"/>
      <c r="BP202" s="313"/>
      <c r="BQ202" s="349"/>
      <c r="BR202" s="349"/>
      <c r="BS202" s="348"/>
      <c r="BT202" s="349"/>
      <c r="BU202" s="349"/>
      <c r="BV202" s="313"/>
      <c r="BW202" s="313"/>
      <c r="BX202" s="315"/>
      <c r="BY202" s="373"/>
      <c r="BZ202" s="373"/>
      <c r="CA202" s="654"/>
      <c r="CB202" s="373"/>
      <c r="CC202" s="373"/>
      <c r="CD202" s="315"/>
      <c r="CE202" s="315"/>
      <c r="CF202" s="313"/>
      <c r="CG202" s="349"/>
      <c r="CH202" s="349"/>
      <c r="CI202" s="313"/>
      <c r="CJ202" s="349"/>
      <c r="CK202" s="349"/>
      <c r="CL202" s="313"/>
      <c r="CM202" s="313"/>
      <c r="CN202" s="315"/>
      <c r="CO202" s="373"/>
      <c r="CP202" s="373"/>
      <c r="CQ202" s="315"/>
      <c r="CR202" s="373"/>
      <c r="CS202" s="373"/>
      <c r="CT202" s="315"/>
      <c r="CU202" s="315"/>
      <c r="CV202" s="353"/>
      <c r="CW202" s="313"/>
      <c r="CX202" s="512"/>
      <c r="CY202" s="516"/>
      <c r="CZ202" s="517"/>
      <c r="DA202" s="516"/>
      <c r="DB202" s="517"/>
      <c r="DC202" s="516"/>
      <c r="DD202" s="517"/>
      <c r="DE202" s="516"/>
      <c r="DF202" s="517"/>
      <c r="DG202" s="516"/>
      <c r="DH202" s="517"/>
      <c r="DI202" s="516"/>
      <c r="DJ202" s="517"/>
      <c r="DK202" s="516"/>
      <c r="DL202" s="517"/>
      <c r="DM202" s="512"/>
      <c r="DN202" s="313"/>
      <c r="DO202" s="313"/>
      <c r="DP202" s="313"/>
      <c r="DQ202" s="313"/>
      <c r="DR202" s="313"/>
      <c r="DS202" s="313"/>
      <c r="DT202" s="313"/>
      <c r="DU202" s="313"/>
      <c r="DV202" s="313"/>
      <c r="DW202" s="313"/>
    </row>
    <row r="203" spans="1:127" s="2" customFormat="1">
      <c r="A203" s="347"/>
      <c r="B203" s="347"/>
      <c r="C203" s="268"/>
      <c r="D203" s="346"/>
      <c r="E203" s="347"/>
      <c r="F203" s="349"/>
      <c r="G203" s="349"/>
      <c r="H203" s="348"/>
      <c r="I203" s="347"/>
      <c r="J203" s="348"/>
      <c r="K203" s="349"/>
      <c r="L203" s="348"/>
      <c r="M203" s="347"/>
      <c r="N203" s="347"/>
      <c r="O203" s="313"/>
      <c r="P203" s="313"/>
      <c r="Q203" s="313"/>
      <c r="R203" s="313"/>
      <c r="S203" s="313"/>
      <c r="T203" s="348"/>
      <c r="U203" s="349"/>
      <c r="V203" s="349"/>
      <c r="W203" s="348"/>
      <c r="X203" s="348"/>
      <c r="Y203" s="349"/>
      <c r="Z203" s="313"/>
      <c r="AA203" s="313"/>
      <c r="AB203" s="654"/>
      <c r="AC203" s="373"/>
      <c r="AD203" s="373"/>
      <c r="AE203" s="654"/>
      <c r="AF203" s="654"/>
      <c r="AG203" s="373"/>
      <c r="AH203" s="315"/>
      <c r="AI203" s="315"/>
      <c r="AJ203" s="348"/>
      <c r="AK203" s="349"/>
      <c r="AL203" s="349"/>
      <c r="AM203" s="348"/>
      <c r="AN203" s="349"/>
      <c r="AO203" s="349"/>
      <c r="AP203" s="313"/>
      <c r="AQ203" s="313"/>
      <c r="AR203" s="654"/>
      <c r="AS203" s="373"/>
      <c r="AT203" s="373"/>
      <c r="AU203" s="654"/>
      <c r="AV203" s="373"/>
      <c r="AW203" s="373"/>
      <c r="AX203" s="315"/>
      <c r="AY203" s="315"/>
      <c r="AZ203" s="348"/>
      <c r="BA203" s="349"/>
      <c r="BB203" s="349"/>
      <c r="BC203" s="348"/>
      <c r="BD203" s="349"/>
      <c r="BE203" s="349"/>
      <c r="BF203" s="313"/>
      <c r="BG203" s="313"/>
      <c r="BH203" s="654"/>
      <c r="BI203" s="373"/>
      <c r="BJ203" s="373"/>
      <c r="BK203" s="654"/>
      <c r="BL203" s="373"/>
      <c r="BM203" s="373"/>
      <c r="BN203" s="315"/>
      <c r="BO203" s="315"/>
      <c r="BP203" s="313"/>
      <c r="BQ203" s="349"/>
      <c r="BR203" s="349"/>
      <c r="BS203" s="348"/>
      <c r="BT203" s="349"/>
      <c r="BU203" s="349"/>
      <c r="BV203" s="313"/>
      <c r="BW203" s="313"/>
      <c r="BX203" s="315"/>
      <c r="BY203" s="373"/>
      <c r="BZ203" s="373"/>
      <c r="CA203" s="654"/>
      <c r="CB203" s="373"/>
      <c r="CC203" s="373"/>
      <c r="CD203" s="315"/>
      <c r="CE203" s="315"/>
      <c r="CF203" s="313"/>
      <c r="CG203" s="349"/>
      <c r="CH203" s="349"/>
      <c r="CI203" s="313"/>
      <c r="CJ203" s="349"/>
      <c r="CK203" s="349"/>
      <c r="CL203" s="313"/>
      <c r="CM203" s="313"/>
      <c r="CN203" s="315"/>
      <c r="CO203" s="373"/>
      <c r="CP203" s="373"/>
      <c r="CQ203" s="315"/>
      <c r="CR203" s="373"/>
      <c r="CS203" s="373"/>
      <c r="CT203" s="315"/>
      <c r="CU203" s="315"/>
      <c r="CV203" s="353"/>
      <c r="CW203" s="313"/>
      <c r="CX203" s="512"/>
      <c r="CY203" s="516"/>
      <c r="CZ203" s="517"/>
      <c r="DA203" s="516"/>
      <c r="DB203" s="517"/>
      <c r="DC203" s="516"/>
      <c r="DD203" s="517"/>
      <c r="DE203" s="516"/>
      <c r="DF203" s="517"/>
      <c r="DG203" s="516"/>
      <c r="DH203" s="517"/>
      <c r="DI203" s="516"/>
      <c r="DJ203" s="517"/>
      <c r="DK203" s="516"/>
      <c r="DL203" s="517"/>
      <c r="DM203" s="512"/>
      <c r="DN203" s="313"/>
      <c r="DO203" s="313"/>
      <c r="DP203" s="313"/>
      <c r="DQ203" s="313"/>
      <c r="DR203" s="313"/>
      <c r="DS203" s="313"/>
      <c r="DT203" s="313"/>
      <c r="DU203" s="313"/>
      <c r="DV203" s="313"/>
      <c r="DW203" s="313"/>
    </row>
    <row r="204" spans="1:127" s="2" customFormat="1">
      <c r="A204" s="347"/>
      <c r="B204" s="347"/>
      <c r="C204" s="268"/>
      <c r="D204" s="346"/>
      <c r="E204" s="347"/>
      <c r="F204" s="349"/>
      <c r="G204" s="349"/>
      <c r="H204" s="348"/>
      <c r="I204" s="347"/>
      <c r="J204" s="348"/>
      <c r="K204" s="349"/>
      <c r="L204" s="348"/>
      <c r="M204" s="347"/>
      <c r="N204" s="347"/>
      <c r="O204" s="313"/>
      <c r="P204" s="313"/>
      <c r="Q204" s="313"/>
      <c r="R204" s="313"/>
      <c r="S204" s="313"/>
      <c r="T204" s="348"/>
      <c r="U204" s="349"/>
      <c r="V204" s="349"/>
      <c r="W204" s="348"/>
      <c r="X204" s="348"/>
      <c r="Y204" s="349"/>
      <c r="Z204" s="313"/>
      <c r="AA204" s="313"/>
      <c r="AB204" s="654"/>
      <c r="AC204" s="373"/>
      <c r="AD204" s="373"/>
      <c r="AE204" s="654"/>
      <c r="AF204" s="654"/>
      <c r="AG204" s="373"/>
      <c r="AH204" s="315"/>
      <c r="AI204" s="315"/>
      <c r="AJ204" s="348"/>
      <c r="AK204" s="349"/>
      <c r="AL204" s="349"/>
      <c r="AM204" s="348"/>
      <c r="AN204" s="349"/>
      <c r="AO204" s="349"/>
      <c r="AP204" s="313"/>
      <c r="AQ204" s="313"/>
      <c r="AR204" s="654"/>
      <c r="AS204" s="373"/>
      <c r="AT204" s="373"/>
      <c r="AU204" s="654"/>
      <c r="AV204" s="373"/>
      <c r="AW204" s="373"/>
      <c r="AX204" s="315"/>
      <c r="AY204" s="315"/>
      <c r="AZ204" s="348"/>
      <c r="BA204" s="349"/>
      <c r="BB204" s="349"/>
      <c r="BC204" s="348"/>
      <c r="BD204" s="349"/>
      <c r="BE204" s="349"/>
      <c r="BF204" s="313"/>
      <c r="BG204" s="313"/>
      <c r="BH204" s="654"/>
      <c r="BI204" s="373"/>
      <c r="BJ204" s="373"/>
      <c r="BK204" s="654"/>
      <c r="BL204" s="373"/>
      <c r="BM204" s="373"/>
      <c r="BN204" s="315"/>
      <c r="BO204" s="315"/>
      <c r="BP204" s="313"/>
      <c r="BQ204" s="349"/>
      <c r="BR204" s="349"/>
      <c r="BS204" s="348"/>
      <c r="BT204" s="349"/>
      <c r="BU204" s="349"/>
      <c r="BV204" s="313"/>
      <c r="BW204" s="313"/>
      <c r="BX204" s="315"/>
      <c r="BY204" s="373"/>
      <c r="BZ204" s="373"/>
      <c r="CA204" s="654"/>
      <c r="CB204" s="373"/>
      <c r="CC204" s="373"/>
      <c r="CD204" s="315"/>
      <c r="CE204" s="315"/>
      <c r="CF204" s="313"/>
      <c r="CG204" s="349"/>
      <c r="CH204" s="349"/>
      <c r="CI204" s="313"/>
      <c r="CJ204" s="349"/>
      <c r="CK204" s="349"/>
      <c r="CL204" s="313"/>
      <c r="CM204" s="313"/>
      <c r="CN204" s="315"/>
      <c r="CO204" s="373"/>
      <c r="CP204" s="373"/>
      <c r="CQ204" s="315"/>
      <c r="CR204" s="373"/>
      <c r="CS204" s="373"/>
      <c r="CT204" s="315"/>
      <c r="CU204" s="315"/>
      <c r="CV204" s="353"/>
      <c r="CW204" s="313"/>
      <c r="CX204" s="512"/>
      <c r="CY204" s="516"/>
      <c r="CZ204" s="517"/>
      <c r="DA204" s="516"/>
      <c r="DB204" s="517"/>
      <c r="DC204" s="516"/>
      <c r="DD204" s="517"/>
      <c r="DE204" s="516"/>
      <c r="DF204" s="517"/>
      <c r="DG204" s="516"/>
      <c r="DH204" s="517"/>
      <c r="DI204" s="516"/>
      <c r="DJ204" s="517"/>
      <c r="DK204" s="516"/>
      <c r="DL204" s="517"/>
      <c r="DM204" s="512"/>
      <c r="DN204" s="313"/>
      <c r="DO204" s="313"/>
      <c r="DP204" s="313"/>
      <c r="DQ204" s="313"/>
      <c r="DR204" s="313"/>
      <c r="DS204" s="313"/>
      <c r="DT204" s="313"/>
      <c r="DU204" s="313"/>
      <c r="DV204" s="313"/>
      <c r="DW204" s="313"/>
    </row>
    <row r="205" spans="1:127" s="2" customFormat="1">
      <c r="A205" s="347"/>
      <c r="B205" s="347"/>
      <c r="C205" s="268"/>
      <c r="D205" s="346"/>
      <c r="E205" s="347"/>
      <c r="F205" s="349"/>
      <c r="G205" s="349"/>
      <c r="H205" s="348"/>
      <c r="I205" s="347"/>
      <c r="J205" s="348"/>
      <c r="K205" s="349"/>
      <c r="L205" s="348"/>
      <c r="M205" s="347"/>
      <c r="N205" s="347"/>
      <c r="O205" s="313"/>
      <c r="P205" s="313"/>
      <c r="Q205" s="313"/>
      <c r="R205" s="313"/>
      <c r="S205" s="313"/>
      <c r="T205" s="348"/>
      <c r="U205" s="349"/>
      <c r="V205" s="349"/>
      <c r="W205" s="348"/>
      <c r="X205" s="348"/>
      <c r="Y205" s="349"/>
      <c r="Z205" s="313"/>
      <c r="AA205" s="313"/>
      <c r="AB205" s="654"/>
      <c r="AC205" s="373"/>
      <c r="AD205" s="373"/>
      <c r="AE205" s="654"/>
      <c r="AF205" s="654"/>
      <c r="AG205" s="373"/>
      <c r="AH205" s="315"/>
      <c r="AI205" s="315"/>
      <c r="AJ205" s="348"/>
      <c r="AK205" s="349"/>
      <c r="AL205" s="349"/>
      <c r="AM205" s="348"/>
      <c r="AN205" s="349"/>
      <c r="AO205" s="349"/>
      <c r="AP205" s="313"/>
      <c r="AQ205" s="313"/>
      <c r="AR205" s="654"/>
      <c r="AS205" s="373"/>
      <c r="AT205" s="373"/>
      <c r="AU205" s="654"/>
      <c r="AV205" s="373"/>
      <c r="AW205" s="373"/>
      <c r="AX205" s="315"/>
      <c r="AY205" s="315"/>
      <c r="AZ205" s="348"/>
      <c r="BA205" s="349"/>
      <c r="BB205" s="349"/>
      <c r="BC205" s="348"/>
      <c r="BD205" s="349"/>
      <c r="BE205" s="349"/>
      <c r="BF205" s="313"/>
      <c r="BG205" s="313"/>
      <c r="BH205" s="654"/>
      <c r="BI205" s="373"/>
      <c r="BJ205" s="373"/>
      <c r="BK205" s="654"/>
      <c r="BL205" s="373"/>
      <c r="BM205" s="373"/>
      <c r="BN205" s="315"/>
      <c r="BO205" s="315"/>
      <c r="BP205" s="313"/>
      <c r="BQ205" s="349"/>
      <c r="BR205" s="349"/>
      <c r="BS205" s="348"/>
      <c r="BT205" s="349"/>
      <c r="BU205" s="349"/>
      <c r="BV205" s="313"/>
      <c r="BW205" s="313"/>
      <c r="BX205" s="315"/>
      <c r="BY205" s="373"/>
      <c r="BZ205" s="373"/>
      <c r="CA205" s="654"/>
      <c r="CB205" s="373"/>
      <c r="CC205" s="373"/>
      <c r="CD205" s="315"/>
      <c r="CE205" s="315"/>
      <c r="CF205" s="313"/>
      <c r="CG205" s="349"/>
      <c r="CH205" s="349"/>
      <c r="CI205" s="313"/>
      <c r="CJ205" s="349"/>
      <c r="CK205" s="349"/>
      <c r="CL205" s="313"/>
      <c r="CM205" s="313"/>
      <c r="CN205" s="315"/>
      <c r="CO205" s="373"/>
      <c r="CP205" s="373"/>
      <c r="CQ205" s="315"/>
      <c r="CR205" s="373"/>
      <c r="CS205" s="373"/>
      <c r="CT205" s="315"/>
      <c r="CU205" s="315"/>
      <c r="CV205" s="353"/>
      <c r="CW205" s="313"/>
      <c r="CX205" s="512"/>
      <c r="CY205" s="516"/>
      <c r="CZ205" s="517"/>
      <c r="DA205" s="516"/>
      <c r="DB205" s="517"/>
      <c r="DC205" s="516"/>
      <c r="DD205" s="517"/>
      <c r="DE205" s="516"/>
      <c r="DF205" s="517"/>
      <c r="DG205" s="516"/>
      <c r="DH205" s="517"/>
      <c r="DI205" s="516"/>
      <c r="DJ205" s="517"/>
      <c r="DK205" s="516"/>
      <c r="DL205" s="517"/>
      <c r="DM205" s="512"/>
      <c r="DN205" s="313"/>
      <c r="DO205" s="313"/>
      <c r="DP205" s="313"/>
      <c r="DQ205" s="313"/>
      <c r="DR205" s="313"/>
      <c r="DS205" s="313"/>
      <c r="DT205" s="313"/>
      <c r="DU205" s="313"/>
      <c r="DV205" s="313"/>
      <c r="DW205" s="313"/>
    </row>
  </sheetData>
  <autoFilter ref="A1:Z84"/>
  <dataConsolidate/>
  <mergeCells count="234">
    <mergeCell ref="T2:Z2"/>
    <mergeCell ref="AB2:AH2"/>
    <mergeCell ref="AJ2:AP2"/>
    <mergeCell ref="AZ2:BF2"/>
    <mergeCell ref="H73:H75"/>
    <mergeCell ref="O73:O75"/>
    <mergeCell ref="J2:O2"/>
    <mergeCell ref="BI28:BI29"/>
    <mergeCell ref="BL28:BL29"/>
    <mergeCell ref="U43:U44"/>
    <mergeCell ref="Y43:Y44"/>
    <mergeCell ref="I67:I68"/>
    <mergeCell ref="U67:U68"/>
    <mergeCell ref="Y67:Y68"/>
    <mergeCell ref="BA41:BA42"/>
    <mergeCell ref="U70:U71"/>
    <mergeCell ref="Y70:Y71"/>
    <mergeCell ref="AC70:AC71"/>
    <mergeCell ref="AG70:AG71"/>
    <mergeCell ref="BL67:BL68"/>
    <mergeCell ref="AN73:AN75"/>
    <mergeCell ref="AG73:AG75"/>
    <mergeCell ref="BD73:BD75"/>
    <mergeCell ref="BL73:BL75"/>
    <mergeCell ref="BQ28:BQ29"/>
    <mergeCell ref="A16:A18"/>
    <mergeCell ref="B16:B18"/>
    <mergeCell ref="A19:A21"/>
    <mergeCell ref="B19:B21"/>
    <mergeCell ref="A22:A24"/>
    <mergeCell ref="B22:B24"/>
    <mergeCell ref="A10:A13"/>
    <mergeCell ref="B10:B13"/>
    <mergeCell ref="AS28:AS29"/>
    <mergeCell ref="AV28:AV29"/>
    <mergeCell ref="BA28:BA29"/>
    <mergeCell ref="BD28:BD29"/>
    <mergeCell ref="M28:M29"/>
    <mergeCell ref="K28:K29"/>
    <mergeCell ref="N28:N29"/>
    <mergeCell ref="A4:A6"/>
    <mergeCell ref="B4:B6"/>
    <mergeCell ref="A7:A9"/>
    <mergeCell ref="B7:B9"/>
    <mergeCell ref="AG28:AG29"/>
    <mergeCell ref="AK28:AK29"/>
    <mergeCell ref="AN28:AN29"/>
    <mergeCell ref="Y28:Y29"/>
    <mergeCell ref="AC28:AC29"/>
    <mergeCell ref="A25:A27"/>
    <mergeCell ref="B25:B27"/>
    <mergeCell ref="A28:A29"/>
    <mergeCell ref="B28:B29"/>
    <mergeCell ref="I28:I29"/>
    <mergeCell ref="U28:U29"/>
    <mergeCell ref="CO30:CO31"/>
    <mergeCell ref="CR30:CR31"/>
    <mergeCell ref="BT30:BT31"/>
    <mergeCell ref="BY30:BY31"/>
    <mergeCell ref="CB30:CB31"/>
    <mergeCell ref="CG30:CG31"/>
    <mergeCell ref="CJ30:CJ31"/>
    <mergeCell ref="CR28:CR29"/>
    <mergeCell ref="BT28:BT29"/>
    <mergeCell ref="BY28:BY29"/>
    <mergeCell ref="CB28:CB29"/>
    <mergeCell ref="CG28:CG29"/>
    <mergeCell ref="CJ28:CJ29"/>
    <mergeCell ref="CO28:CO29"/>
    <mergeCell ref="BQ30:BQ31"/>
    <mergeCell ref="AS30:AS31"/>
    <mergeCell ref="AV30:AV31"/>
    <mergeCell ref="BA30:BA31"/>
    <mergeCell ref="BD30:BD31"/>
    <mergeCell ref="BI30:BI31"/>
    <mergeCell ref="BL30:BL31"/>
    <mergeCell ref="A30:A31"/>
    <mergeCell ref="B30:B31"/>
    <mergeCell ref="I30:I31"/>
    <mergeCell ref="U30:U31"/>
    <mergeCell ref="Y30:Y31"/>
    <mergeCell ref="AC30:AC31"/>
    <mergeCell ref="AG30:AG31"/>
    <mergeCell ref="AK30:AK31"/>
    <mergeCell ref="AN30:AN31"/>
    <mergeCell ref="AG32:AG33"/>
    <mergeCell ref="AK32:AK33"/>
    <mergeCell ref="A35:A37"/>
    <mergeCell ref="B35:B37"/>
    <mergeCell ref="A38:A40"/>
    <mergeCell ref="B38:B40"/>
    <mergeCell ref="I41:I42"/>
    <mergeCell ref="U41:U42"/>
    <mergeCell ref="Y41:Y42"/>
    <mergeCell ref="AC41:AC42"/>
    <mergeCell ref="AG41:AG42"/>
    <mergeCell ref="A41:A42"/>
    <mergeCell ref="B41:B42"/>
    <mergeCell ref="A43:A44"/>
    <mergeCell ref="B43:B44"/>
    <mergeCell ref="I43:I44"/>
    <mergeCell ref="BL32:BL33"/>
    <mergeCell ref="BQ32:BQ33"/>
    <mergeCell ref="BT32:BT33"/>
    <mergeCell ref="BY32:BY33"/>
    <mergeCell ref="CB32:CB33"/>
    <mergeCell ref="AN32:AN33"/>
    <mergeCell ref="AS32:AS33"/>
    <mergeCell ref="AV32:AV33"/>
    <mergeCell ref="BA32:BA33"/>
    <mergeCell ref="BD32:BD33"/>
    <mergeCell ref="BI32:BI33"/>
    <mergeCell ref="AK41:AK42"/>
    <mergeCell ref="AN41:AN42"/>
    <mergeCell ref="AS41:AS42"/>
    <mergeCell ref="AV41:AV42"/>
    <mergeCell ref="A32:A33"/>
    <mergeCell ref="B32:B33"/>
    <mergeCell ref="I32:I33"/>
    <mergeCell ref="U32:U33"/>
    <mergeCell ref="Y32:Y33"/>
    <mergeCell ref="AC32:AC33"/>
    <mergeCell ref="AC43:AC44"/>
    <mergeCell ref="AG43:AG44"/>
    <mergeCell ref="AK43:AK44"/>
    <mergeCell ref="AN43:AN44"/>
    <mergeCell ref="AS43:AS44"/>
    <mergeCell ref="AV43:AV44"/>
    <mergeCell ref="BA43:BA44"/>
    <mergeCell ref="BD43:BD44"/>
    <mergeCell ref="BI43:BI44"/>
    <mergeCell ref="M73:M75"/>
    <mergeCell ref="A57:A62"/>
    <mergeCell ref="B57:B62"/>
    <mergeCell ref="A63:A65"/>
    <mergeCell ref="B63:B65"/>
    <mergeCell ref="A67:A68"/>
    <mergeCell ref="B67:B68"/>
    <mergeCell ref="B45:B47"/>
    <mergeCell ref="A48:A51"/>
    <mergeCell ref="B48:B51"/>
    <mergeCell ref="A52:A56"/>
    <mergeCell ref="B52:B56"/>
    <mergeCell ref="A45:A47"/>
    <mergeCell ref="A73:A75"/>
    <mergeCell ref="B73:B75"/>
    <mergeCell ref="G73:G75"/>
    <mergeCell ref="I73:I75"/>
    <mergeCell ref="A70:A71"/>
    <mergeCell ref="B70:B71"/>
    <mergeCell ref="I70:I71"/>
    <mergeCell ref="BQ73:BQ75"/>
    <mergeCell ref="AV73:AV75"/>
    <mergeCell ref="AN67:AN68"/>
    <mergeCell ref="AS67:AS68"/>
    <mergeCell ref="AV67:AV68"/>
    <mergeCell ref="BA67:BA68"/>
    <mergeCell ref="BD67:BD68"/>
    <mergeCell ref="BI67:BI68"/>
    <mergeCell ref="AC67:AC68"/>
    <mergeCell ref="AG67:AG68"/>
    <mergeCell ref="AK67:AK68"/>
    <mergeCell ref="CG41:CG42"/>
    <mergeCell ref="BL43:BL44"/>
    <mergeCell ref="BQ43:BQ44"/>
    <mergeCell ref="BT43:BT44"/>
    <mergeCell ref="BT73:BT75"/>
    <mergeCell ref="CG70:CG71"/>
    <mergeCell ref="CJ70:CJ71"/>
    <mergeCell ref="CO70:CO71"/>
    <mergeCell ref="U73:U75"/>
    <mergeCell ref="Y73:Y75"/>
    <mergeCell ref="BI70:BI71"/>
    <mergeCell ref="BL70:BL71"/>
    <mergeCell ref="BQ70:BQ71"/>
    <mergeCell ref="AK70:AK71"/>
    <mergeCell ref="AN70:AN71"/>
    <mergeCell ref="AS70:AS71"/>
    <mergeCell ref="AV70:AV71"/>
    <mergeCell ref="BA70:BA71"/>
    <mergeCell ref="BD70:BD71"/>
    <mergeCell ref="AC73:AC75"/>
    <mergeCell ref="AK73:AK75"/>
    <mergeCell ref="AS73:AS75"/>
    <mergeCell ref="BA73:BA75"/>
    <mergeCell ref="BI73:BI75"/>
    <mergeCell ref="BY43:BY44"/>
    <mergeCell ref="AR2:AX2"/>
    <mergeCell ref="BH2:BN2"/>
    <mergeCell ref="BP2:BV2"/>
    <mergeCell ref="CF2:CL2"/>
    <mergeCell ref="BX2:CD2"/>
    <mergeCell ref="CN2:CT2"/>
    <mergeCell ref="CR70:CR71"/>
    <mergeCell ref="BT70:BT71"/>
    <mergeCell ref="BY70:BY71"/>
    <mergeCell ref="CB70:CB71"/>
    <mergeCell ref="CJ67:CJ68"/>
    <mergeCell ref="CO67:CO68"/>
    <mergeCell ref="CR67:CR68"/>
    <mergeCell ref="BT67:BT68"/>
    <mergeCell ref="BY67:BY68"/>
    <mergeCell ref="CB67:CB68"/>
    <mergeCell ref="CG67:CG68"/>
    <mergeCell ref="CB43:CB44"/>
    <mergeCell ref="CG43:CG44"/>
    <mergeCell ref="CO41:CO42"/>
    <mergeCell ref="CJ43:CJ44"/>
    <mergeCell ref="CJ32:CJ33"/>
    <mergeCell ref="CB41:CB42"/>
    <mergeCell ref="N73:N75"/>
    <mergeCell ref="P73:P75"/>
    <mergeCell ref="Q73:Q75"/>
    <mergeCell ref="R73:R75"/>
    <mergeCell ref="CR43:CR44"/>
    <mergeCell ref="CO32:CO33"/>
    <mergeCell ref="CR32:CR33"/>
    <mergeCell ref="CG32:CG33"/>
    <mergeCell ref="BY73:BY75"/>
    <mergeCell ref="CG73:CG75"/>
    <mergeCell ref="CJ73:CJ75"/>
    <mergeCell ref="CO73:CO75"/>
    <mergeCell ref="CR73:CR75"/>
    <mergeCell ref="CJ41:CJ42"/>
    <mergeCell ref="CB73:CB75"/>
    <mergeCell ref="CR41:CR42"/>
    <mergeCell ref="BD41:BD42"/>
    <mergeCell ref="BI41:BI42"/>
    <mergeCell ref="BL41:BL42"/>
    <mergeCell ref="BQ41:BQ42"/>
    <mergeCell ref="BT41:BT42"/>
    <mergeCell ref="BY41:BY42"/>
    <mergeCell ref="CO43:CO44"/>
    <mergeCell ref="BQ67:BQ68"/>
  </mergeCells>
  <phoneticPr fontId="3" type="noConversion"/>
  <conditionalFormatting sqref="Z4:Z75 AH4:AH75 AP4:AP75 AX4:AX75 BF4:BF75 BN4:BN75 BV4:BV75 CD4:CD75 CT4:CT75 CL4:CL75">
    <cfRule type="cellIs" dxfId="232" priority="177" operator="lessThan">
      <formula>-0.3</formula>
    </cfRule>
    <cfRule type="cellIs" dxfId="231" priority="178" operator="greaterThan">
      <formula>0.3</formula>
    </cfRule>
  </conditionalFormatting>
  <conditionalFormatting sqref="U4:V4 AK4:AL4 BA4:BB4 BQ4:BR4 CG4:CH4 CO4:CP4 BY4:BZ4 BI4:BJ4 AS4:AT4 AC4:AD4 Y4 AG4 AN4:AO4 AV4:AW4 BD4:BE4 BL4:BM4 BT4:BU4 CB4:CC4 CJ4:CK4 CR4:CS4 U10:V10 Y10">
    <cfRule type="cellIs" dxfId="230" priority="176" operator="notEqual">
      <formula>$I$4</formula>
    </cfRule>
  </conditionalFormatting>
  <conditionalFormatting sqref="U7:V7 AC7:AD7 AK7:AL7 AS7:AT7 BA7:BB7 BI7:BJ7 BQ7:BR7 BY7:BZ7 CG7:CH7 CO7:CP7 Y7 AG7 AN7:AO7 AV7:AW7 BD7:BE7 BL7:BM7 BT7:BU7 CB7:CC7 CJ7:CK7 CR7:CS7">
    <cfRule type="cellIs" dxfId="229" priority="175" operator="notEqual">
      <formula>$I$7</formula>
    </cfRule>
  </conditionalFormatting>
  <conditionalFormatting sqref="U10:V10 AC10:AD10 AK10:AL10 AS10:AT10 BA10:BB10 BI10:BJ10 BQ10:BR10 BY10:BZ10 CG10:CH10 CO10:CP10 AG10 AN10:AO10 BD10:BE10 BL10:BM10 BT10:BU10 CB10:CC10 CJ10:CK10 CR10:CS10 AV10:AW10 Y10">
    <cfRule type="cellIs" dxfId="228" priority="174" operator="notEqual">
      <formula>$I$10</formula>
    </cfRule>
  </conditionalFormatting>
  <conditionalFormatting sqref="U16:V16 AC16:AD16 AK16:AL16 AS16:AT16 BA16:BB16 BI16:BJ16 BQ16:BR16 BY16:BZ16 CG16:CH16 CO16:CP16 Y16 AG16 AN16:AO16 AV16:AW16 BD16:BE16 BL16:BM16 BT16:BU16 CB16:CC16 CJ16:CK16 CR16:CS16">
    <cfRule type="cellIs" dxfId="227" priority="173" operator="notEqual">
      <formula>$I$16</formula>
    </cfRule>
  </conditionalFormatting>
  <conditionalFormatting sqref="U19:V19 AC19:AD19 AK19:AL19 AS19:AT19 BA19:BB19 BI19:BJ19 BQ19:BR19 BY19:BZ19 CG19:CH19 CO19:CP19 Y19 AG19 AN19:AO19 AV19:AW19 BD19:BE19 BL19:BM19 BT19:BU19 CB19:CC19 CJ19:CK19 CR19:CS19">
    <cfRule type="cellIs" dxfId="226" priority="172" operator="notEqual">
      <formula>$I$19</formula>
    </cfRule>
  </conditionalFormatting>
  <conditionalFormatting sqref="U22:V22 AC22:AD22 AK22:AL22 AS22:AT22 BA22:BB22 BI22:BJ22 BQ22:BR22 BY22:BZ22 CG22:CH22 CO22:CP22 Y22 AG22 AN22:AO22 AV22:AW22 BD22:BE22 BL22:BM22 BT22:BU22 CB22:CC22 CJ22:CK22 CR22:CS22">
    <cfRule type="cellIs" dxfId="225" priority="171" operator="notEqual">
      <formula>$I$22</formula>
    </cfRule>
  </conditionalFormatting>
  <conditionalFormatting sqref="U28:V29 AC28:AD29 AK28:AL29 AS28:AT29 BA28:BB29 BI28:BJ29 BQ28:BR29 BY28:BZ29 CG28:CH29 BT28:BU29 Y28:Y29 CJ28:CK29 CO28:CP28 AV28:AW29 BL28:BM29 AN28:AO29 AG28:AG29 CR28:CS28 CB28:CC29">
    <cfRule type="cellIs" dxfId="224" priority="170" operator="notEqual">
      <formula>$I$28</formula>
    </cfRule>
  </conditionalFormatting>
  <conditionalFormatting sqref="U30:V33 AC30:AD33 AK30:AL33 AS30:AT33 BA30:BB33 BI30:BJ33 BQ30:BR33 BY30:BZ33 CG30:CH33 CO30:CP33 Y30:Y33 AG30:AG33 AN30:AO33 AV30:AW33 BD30:BE33 BL30:BM33 BT30:BU33 CB30:CC33 CJ30:CK33 CR30:CS33">
    <cfRule type="cellIs" dxfId="223" priority="169" operator="notEqual">
      <formula>$I$30</formula>
    </cfRule>
  </conditionalFormatting>
  <conditionalFormatting sqref="U35:V35 AC35:AD35 AK35:AL35 AS35:AT35 BA35:BB35 BI35:BJ35 BQ35:BR35 BY35:BZ35 CG35:CH35 CO35:CP35 AC38:AD38 Y35 AG35 AG38 AN35:AO35 AV35:AW35 BD35:BE35 BL35:BM35 BT35:BU35 CB35:CC35 CJ35:CK35 CR35:CS35">
    <cfRule type="cellIs" dxfId="222" priority="168" operator="notEqual">
      <formula>$I$35</formula>
    </cfRule>
  </conditionalFormatting>
  <conditionalFormatting sqref="U38:V38 AC38:AD38 AK38:AL38 AS38:AT38 BA38:BB38 BI38:BJ38 BQ38:BR38 BY38:BZ38 CG38:CH38 CO38:CP38 Y38 AG38 AN38:AO38 AV38:AW38 BD38:BE38 BL38:BM38 BT38:BU38 CB38:CC38 CJ38:CK38 CR38:CS38">
    <cfRule type="cellIs" dxfId="221" priority="166" operator="notEqual">
      <formula>$I$38</formula>
    </cfRule>
    <cfRule type="cellIs" dxfId="220" priority="167" operator="notEqual">
      <formula>$I$35</formula>
    </cfRule>
  </conditionalFormatting>
  <conditionalFormatting sqref="U41:V42 AC41:AD42 AK41:AL42 AS41:AT42 BA41:BB42 BI41:BJ42 BQ41:BR42 BY41:BZ42 CG41:CH42 CO41:CP42 Y41:Y42 AG41:AG42 AV41:AW42 BD41:BE42 BL41:BM42 BT41:BU42 CB41:CC42 CJ41:CK42 CR41:CS42 AN41:AO42">
    <cfRule type="cellIs" dxfId="219" priority="165" operator="notEqual">
      <formula>$I$41</formula>
    </cfRule>
  </conditionalFormatting>
  <conditionalFormatting sqref="U43:V44 AC43:AD44 AK43:AL44 AS43:AT44 BA43:BB44 BI43:BJ44 BQ43:BR44 BY43:BZ44 CG43:CH44 CO43:CP44 Y43:Y44 AG43:AG44 AN43:AO44 AV43:AW44 BD43:BE44 BL43:BM44 BT43:BU44 CB43:CC44 CJ43:CK44 CR43:CS44">
    <cfRule type="cellIs" dxfId="218" priority="164" operator="notEqual">
      <formula>$I$43</formula>
    </cfRule>
  </conditionalFormatting>
  <conditionalFormatting sqref="U45:V45 AC45:AD45 AK45:AL45 AS45:AT45 BA45:BB45 BI45:BJ45 BQ45:BR45 BY45:BZ45 CG45:CH45 CO45:CP45 Y45 AG45 AN45:AO45 AV45:AW45 BD45:BE45 BL45:BM45 BT45:BU45 CB45:CC45 CJ45:CK45 CR45:CS45">
    <cfRule type="cellIs" dxfId="217" priority="163" operator="notEqual">
      <formula>$I$45</formula>
    </cfRule>
  </conditionalFormatting>
  <conditionalFormatting sqref="U48:V48 AC48:AD48 AK48:AL48 AS48:AT48 BA48:BB48 BI48:BJ48 BQ48:BR48 BY48:BZ48 CG48:CH48 CO48:CP48 Y48 AG48 AN48:AO48 AV48:AW48 BD48:BE48 BL48:BM48 BT48:BU48 CB48:CC48 CJ48:CK48 CR48:CS48">
    <cfRule type="cellIs" dxfId="216" priority="162" operator="notEqual">
      <formula>$I$48</formula>
    </cfRule>
  </conditionalFormatting>
  <conditionalFormatting sqref="U52:V52 AC52:AD52 AK52:AL52 AS52:AT52 BA52:BB52 BI52:BJ52 BQ52:BR52 BY52:BZ52 CG52:CH52 CO52:CP52 CR52:CS52 AG52 CJ52:CK52 CB52:CC52 BD52:BE52 BL52:BM52 AV52:AW52">
    <cfRule type="cellIs" dxfId="215" priority="161" operator="notEqual">
      <formula>$I$52</formula>
    </cfRule>
  </conditionalFormatting>
  <conditionalFormatting sqref="U57:V57 AC57:AD57 AK57:AL57 AS57:AT57 BA57:BB57 BI57:BJ57 BQ57:BR57 BY57:BZ57 CG57:CH57 CO57:CP57 Y57 AG57 AN57:AO57 AV57:AW57 BD57:BE57 BL57:BM57 BT57:BU57 CB57:CC57 CJ57:CK57 CR57:CS57">
    <cfRule type="cellIs" dxfId="214" priority="160" operator="notEqual">
      <formula>$I$57</formula>
    </cfRule>
  </conditionalFormatting>
  <conditionalFormatting sqref="U63:V63 AC63:AD63 AK63:AL63 AS63:AT63 BA63:BB63 BI63:BJ63 BQ63:BR63 BY63:BZ63 CG63:CH63 CO63:CP63 Y63 AG63 AN63:AO63 AV63:AW63 BD63:BE63 BL63:BM63 BT63:BU63 CB63:CC63 CJ63:CK63 CR63:CS63">
    <cfRule type="cellIs" dxfId="213" priority="159" operator="notEqual">
      <formula>$I$63</formula>
    </cfRule>
  </conditionalFormatting>
  <conditionalFormatting sqref="U67:V68 AC67:AD68 AK67:AL68 AS67:AT68 BA67:BB68 BI67:BJ68 BQ67:BR68 BY67:BZ68 CG67:CH68 CO67:CP68 Y67:Y68 AG67:AG68 AN67:AO68 AV67:AW68 BD67:BE68 BT67:BU68 CB67:CC68 CJ67:CK68 CR67:CS68 BL67:BM68">
    <cfRule type="cellIs" dxfId="212" priority="158" operator="notEqual">
      <formula>$I$67</formula>
    </cfRule>
  </conditionalFormatting>
  <conditionalFormatting sqref="U70:V71 AC70:AD71 AK70:AL71 AS70:AT71 BA70:BB71 BI70:BJ71 BQ70:BR71 BY70:BZ71 CG70:CH71 CO70:CP71 Y70:Y71 AG70:AG71 AN70:AO71 AV70:AW71 BD70:BE71 BL70:BM71 BT70:BU71 CB70:CC71 CJ70:CK71 CR70:CS71">
    <cfRule type="cellIs" dxfId="211" priority="157" operator="notEqual">
      <formula>$I$70</formula>
    </cfRule>
  </conditionalFormatting>
  <conditionalFormatting sqref="U14:V14 AC14:AD14 AK14:AL14 AS14:AT14 BA14:BB14 BI14:BJ14 BQ14:BR14 BY14:BZ14 CG14:CH14 CO14:CP14">
    <cfRule type="cellIs" dxfId="210" priority="156" operator="notEqual">
      <formula>3</formula>
    </cfRule>
  </conditionalFormatting>
  <conditionalFormatting sqref="Z4:Z75 AH4:AH75 AP4:AP75 AX4:AX75 BF4:BF75 BN4:BN75 BV4:BV75 CD4:CD75 CT4:CT75 CL4:CL75">
    <cfRule type="cellIs" dxfId="209" priority="154" stopIfTrue="1" operator="lessThanOrEqual">
      <formula>-0.3</formula>
    </cfRule>
    <cfRule type="cellIs" dxfId="208" priority="155" stopIfTrue="1" operator="greaterThanOrEqual">
      <formula>0.3</formula>
    </cfRule>
  </conditionalFormatting>
  <conditionalFormatting sqref="O5:R68">
    <cfRule type="expression" dxfId="207" priority="24">
      <formula>$I5&gt;$M5</formula>
    </cfRule>
  </conditionalFormatting>
  <conditionalFormatting sqref="O70:R73">
    <cfRule type="expression" dxfId="206" priority="23">
      <formula>$I70&gt;$M70</formula>
    </cfRule>
  </conditionalFormatting>
  <conditionalFormatting sqref="O4">
    <cfRule type="expression" dxfId="205" priority="16">
      <formula>$I4&gt;$M4</formula>
    </cfRule>
  </conditionalFormatting>
  <conditionalFormatting sqref="P4:R4 R5:R68 R70:R73">
    <cfRule type="expression" dxfId="204" priority="15">
      <formula>$I4&gt;$M4</formula>
    </cfRule>
  </conditionalFormatting>
  <conditionalFormatting sqref="Q5:Q68 Q70:Q75">
    <cfRule type="expression" dxfId="203" priority="14">
      <formula>$I5&gt;$M5</formula>
    </cfRule>
  </conditionalFormatting>
  <conditionalFormatting sqref="R5:R68 R70:R72">
    <cfRule type="expression" dxfId="202" priority="13">
      <formula>$I5&gt;$M5</formula>
    </cfRule>
  </conditionalFormatting>
  <conditionalFormatting sqref="N76 N46:N73 N5:N28 N30:N44">
    <cfRule type="cellIs" dxfId="201" priority="7" stopIfTrue="1" operator="lessThan">
      <formula>0</formula>
    </cfRule>
    <cfRule type="cellIs" dxfId="200" priority="8" operator="greaterThan">
      <formula>0</formula>
    </cfRule>
  </conditionalFormatting>
  <conditionalFormatting sqref="N46:N73 N5:N28 N30:N44">
    <cfRule type="cellIs" dxfId="199" priority="5" operator="lessThan">
      <formula>0</formula>
    </cfRule>
    <cfRule type="cellIs" dxfId="198" priority="6" stopIfTrue="1" operator="greaterThan">
      <formula>0</formula>
    </cfRule>
  </conditionalFormatting>
  <conditionalFormatting sqref="N46:N73 N4:N28 N30:N44">
    <cfRule type="cellIs" dxfId="197" priority="9" operator="lessThan">
      <formula>0</formula>
    </cfRule>
    <cfRule type="cellIs" dxfId="196" priority="11" operator="greaterThan">
      <formula>0</formula>
    </cfRule>
  </conditionalFormatting>
  <conditionalFormatting sqref="BD28:BE29">
    <cfRule type="cellIs" dxfId="195" priority="4" operator="notEqual">
      <formula>$I$28</formula>
    </cfRule>
  </conditionalFormatting>
  <conditionalFormatting sqref="AV73:AW75">
    <cfRule type="cellIs" dxfId="194" priority="3" operator="notEqual">
      <formula>$I$52</formula>
    </cfRule>
  </conditionalFormatting>
  <conditionalFormatting sqref="BT52:BU52">
    <cfRule type="cellIs" dxfId="193" priority="2" operator="notEqual">
      <formula>$I$52</formula>
    </cfRule>
  </conditionalFormatting>
  <conditionalFormatting sqref="AN52:AO52">
    <cfRule type="cellIs" dxfId="192" priority="1" operator="notEqual">
      <formula>$I$52</formula>
    </cfRule>
  </conditionalFormatting>
  <dataValidations count="5">
    <dataValidation type="list" allowBlank="1" showInputMessage="1" showErrorMessage="1" sqref="CQ66 CN66">
      <formula1>$S$66:$T$66</formula1>
    </dataValidation>
    <dataValidation type="list" allowBlank="1" showInputMessage="1" showErrorMessage="1" sqref="A72:B72">
      <formula1>$S$72:$S$72</formula1>
    </dataValidation>
    <dataValidation type="list" allowBlank="1" showInputMessage="1" showErrorMessage="1" sqref="A66:B66">
      <formula1>$S$66:$S$66</formula1>
    </dataValidation>
    <dataValidation type="list" allowBlank="1" showInputMessage="1" showErrorMessage="1" sqref="A34:B34">
      <formula1>$S$34:$S$34</formula1>
    </dataValidation>
    <dataValidation type="list" allowBlank="1" showInputMessage="1" showErrorMessage="1" sqref="A15:B15">
      <formula1>$S$15:$S$15</formula1>
    </dataValidation>
  </dataValidations>
  <hyperlinks>
    <hyperlink ref="D88" location="权重!A1" display="权重!A1"/>
    <hyperlink ref="D89" location="目录!A1" display="目录!A1"/>
  </hyperlinks>
  <pageMargins left="0.7" right="0.7" top="0.75" bottom="0.75" header="0.3" footer="0.3"/>
  <pageSetup paperSize="9" orientation="portrait" horizontalDpi="4294967295" verticalDpi="4294967295"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CJ205"/>
  <sheetViews>
    <sheetView tabSelected="1" zoomScale="130" zoomScaleNormal="130" workbookViewId="0">
      <pane xSplit="18" ySplit="3" topLeftCell="S14" activePane="bottomRight" state="frozenSplit"/>
      <selection activeCell="C1" sqref="C1"/>
      <selection pane="topRight" activeCell="X1" sqref="X1"/>
      <selection pane="bottomLeft" activeCell="C8" sqref="C8"/>
      <selection pane="bottomRight" activeCell="T17" sqref="T17"/>
    </sheetView>
  </sheetViews>
  <sheetFormatPr defaultColWidth="9" defaultRowHeight="16.5" outlineLevelCol="3"/>
  <cols>
    <col min="1" max="1" width="11" style="25" hidden="1" customWidth="1" outlineLevel="3"/>
    <col min="2" max="2" width="17.5" style="25" hidden="1" customWidth="1" outlineLevel="1"/>
    <col min="3" max="3" width="4.625" style="280" customWidth="1" collapsed="1"/>
    <col min="4" max="4" width="37.375" style="19" customWidth="1"/>
    <col min="5" max="5" width="17.5" style="25" hidden="1" customWidth="1" outlineLevel="1"/>
    <col min="6" max="6" width="7.5" style="94" hidden="1" customWidth="1" outlineLevel="2"/>
    <col min="7" max="7" width="10.5" style="94" hidden="1" customWidth="1" outlineLevel="2"/>
    <col min="8" max="8" width="10.5" style="24" hidden="1" customWidth="1" outlineLevel="1"/>
    <col min="9" max="9" width="6.25" style="25" customWidth="1" collapsed="1"/>
    <col min="10" max="10" width="11" style="25" hidden="1" customWidth="1" outlineLevel="1"/>
    <col min="11" max="11" width="8.625" style="95" hidden="1" customWidth="1" outlineLevel="1"/>
    <col min="12" max="12" width="11.125" style="25" hidden="1" customWidth="1" outlineLevel="1"/>
    <col min="13" max="13" width="8.625" style="95" hidden="1" customWidth="1" outlineLevel="1"/>
    <col min="14" max="14" width="7.375" style="25" hidden="1" customWidth="1" outlineLevel="1"/>
    <col min="15" max="15" width="7.5" style="95" hidden="1" customWidth="1" outlineLevel="1"/>
    <col min="16" max="16" width="6.5" style="312" hidden="1" customWidth="1" outlineLevel="1"/>
    <col min="17" max="17" width="7.5" style="312" hidden="1" customWidth="1" outlineLevel="1"/>
    <col min="18" max="18" width="9.25" style="312" customWidth="1" collapsed="1"/>
    <col min="19" max="19" width="4.375" style="25" customWidth="1"/>
    <col min="20" max="20" width="11.25" style="19" customWidth="1" outlineLevel="2"/>
    <col min="21" max="21" width="7.75" style="19" customWidth="1" outlineLevel="2"/>
    <col min="22" max="22" width="11.5" style="19" customWidth="1"/>
    <col min="23" max="23" width="7.875" style="19" customWidth="1"/>
    <col min="24" max="24" width="9.25" style="18" bestFit="1" customWidth="1"/>
    <col min="25" max="25" width="4.75" style="18" customWidth="1"/>
    <col min="26" max="26" width="13.125" style="19" customWidth="1" outlineLevel="1"/>
    <col min="27" max="27" width="8.25" style="19" customWidth="1" outlineLevel="1"/>
    <col min="28" max="28" width="11.875" style="19" customWidth="1"/>
    <col min="29" max="29" width="7.5" style="19" customWidth="1"/>
    <col min="30" max="30" width="8.625" style="18" customWidth="1"/>
    <col min="31" max="31" width="4.5" style="18" customWidth="1"/>
    <col min="32" max="32" width="13" style="19" customWidth="1" outlineLevel="1"/>
    <col min="33" max="33" width="16.375" style="19" customWidth="1" outlineLevel="1"/>
    <col min="34" max="34" width="13" style="19" customWidth="1"/>
    <col min="35" max="35" width="8.125" style="19" customWidth="1"/>
    <col min="36" max="36" width="8.625" style="18" customWidth="1"/>
    <col min="37" max="37" width="4.625" style="18" customWidth="1"/>
    <col min="38" max="38" width="13" style="19" customWidth="1" outlineLevel="1"/>
    <col min="39" max="39" width="8.625" style="19" customWidth="1" outlineLevel="1"/>
    <col min="40" max="40" width="13" style="19" customWidth="1"/>
    <col min="41" max="41" width="8.625" style="19" customWidth="1"/>
    <col min="42" max="42" width="8.625" style="18" customWidth="1"/>
    <col min="43" max="43" width="4.125" style="18" customWidth="1"/>
    <col min="44" max="44" width="13" style="19" customWidth="1" outlineLevel="1"/>
    <col min="45" max="45" width="8.625" style="19" customWidth="1" outlineLevel="1"/>
    <col min="46" max="46" width="13" style="19" customWidth="1"/>
    <col min="47" max="47" width="8.625" style="19" customWidth="1"/>
    <col min="48" max="48" width="8.625" style="18" customWidth="1"/>
    <col min="49" max="49" width="4.625" style="18" customWidth="1"/>
    <col min="50" max="50" width="13" style="19" customWidth="1" outlineLevel="1"/>
    <col min="51" max="51" width="8.625" style="19" customWidth="1" outlineLevel="1"/>
    <col min="52" max="52" width="13" style="19" customWidth="1"/>
    <col min="53" max="53" width="8.625" style="19" customWidth="1"/>
    <col min="54" max="54" width="8.625" style="18" customWidth="1"/>
    <col min="55" max="55" width="4.875" style="18" customWidth="1"/>
    <col min="56" max="56" width="11.5" style="19" customWidth="1" outlineLevel="1"/>
    <col min="57" max="57" width="8.625" style="19" customWidth="1" outlineLevel="1"/>
    <col min="58" max="58" width="11.5" style="19" customWidth="1"/>
    <col min="59" max="59" width="8.625" style="19" customWidth="1"/>
    <col min="60" max="60" width="8.625" style="18" customWidth="1"/>
    <col min="61" max="61" width="4.625" style="18" customWidth="1"/>
    <col min="62" max="62" width="13" style="19" customWidth="1" outlineLevel="1"/>
    <col min="63" max="63" width="8.625" style="19" customWidth="1" outlineLevel="1"/>
    <col min="64" max="64" width="13" style="19" customWidth="1"/>
    <col min="65" max="65" width="8.625" style="19" customWidth="1"/>
    <col min="66" max="66" width="8.625" style="18" customWidth="1"/>
    <col min="67" max="67" width="4.75" style="18" customWidth="1"/>
    <col min="68" max="68" width="11.5" style="19" customWidth="1" outlineLevel="1"/>
    <col min="69" max="69" width="8.625" style="19" customWidth="1" outlineLevel="1"/>
    <col min="70" max="70" width="11.5" style="19" customWidth="1"/>
    <col min="71" max="71" width="8.625" style="19" customWidth="1"/>
    <col min="72" max="72" width="8.625" style="18" customWidth="1"/>
    <col min="73" max="73" width="4.5" style="18" customWidth="1"/>
    <col min="74" max="74" width="13" style="19" customWidth="1" outlineLevel="1"/>
    <col min="75" max="75" width="8.625" style="19" customWidth="1" outlineLevel="1"/>
    <col min="76" max="76" width="13" style="19" customWidth="1"/>
    <col min="77" max="77" width="8.625" style="19" customWidth="1"/>
    <col min="78" max="78" width="8.625" style="18" customWidth="1"/>
    <col min="79" max="79" width="9.625" style="19" customWidth="1"/>
    <col min="80" max="81" width="8.875" style="19" customWidth="1"/>
    <col min="82" max="82" width="8.875" style="420" customWidth="1" outlineLevel="1"/>
    <col min="83" max="83" width="9" style="420" customWidth="1" outlineLevel="1"/>
    <col min="84" max="84" width="8.875" style="420" customWidth="1" outlineLevel="1"/>
    <col min="85" max="85" width="9" style="420" customWidth="1" outlineLevel="1"/>
    <col min="86" max="86" width="8.875" style="420" customWidth="1" outlineLevel="1"/>
    <col min="87" max="87" width="10.875" style="19" customWidth="1"/>
    <col min="88" max="16384" width="9" style="19"/>
  </cols>
  <sheetData>
    <row r="1" spans="1:88" s="1" customFormat="1">
      <c r="A1" s="498"/>
      <c r="B1" s="47"/>
      <c r="C1" s="496" t="s">
        <v>1302</v>
      </c>
      <c r="D1" s="497"/>
      <c r="E1" s="47"/>
      <c r="F1" s="126"/>
      <c r="G1" s="126"/>
      <c r="H1" s="126"/>
      <c r="I1" s="47"/>
      <c r="J1" s="47"/>
      <c r="K1" s="47"/>
      <c r="L1" s="308" t="s">
        <v>1945</v>
      </c>
      <c r="M1" s="47"/>
      <c r="N1" s="308"/>
      <c r="O1" s="47"/>
      <c r="P1" s="311"/>
      <c r="Q1" s="311"/>
      <c r="R1" s="311"/>
      <c r="S1" s="47"/>
      <c r="X1" s="2"/>
      <c r="Y1" s="2"/>
      <c r="Z1" s="19"/>
      <c r="AA1" s="19"/>
      <c r="AB1" s="19"/>
      <c r="AC1" s="19"/>
      <c r="AD1" s="18"/>
      <c r="AE1" s="18"/>
      <c r="AJ1" s="2"/>
      <c r="AK1" s="2"/>
      <c r="AL1" s="19"/>
      <c r="AM1" s="19"/>
      <c r="AN1" s="19"/>
      <c r="AO1" s="19"/>
      <c r="AP1" s="18"/>
      <c r="AQ1" s="18"/>
      <c r="AV1" s="2"/>
      <c r="AW1" s="2"/>
      <c r="AX1" s="19"/>
      <c r="AY1" s="19"/>
      <c r="AZ1" s="19"/>
      <c r="BA1" s="19"/>
      <c r="BB1" s="18"/>
      <c r="BC1" s="18"/>
      <c r="BH1" s="2"/>
      <c r="BI1" s="2"/>
      <c r="BJ1" s="19"/>
      <c r="BK1" s="19"/>
      <c r="BL1" s="19"/>
      <c r="BM1" s="19"/>
      <c r="BN1" s="18"/>
      <c r="BO1" s="18"/>
      <c r="BT1" s="2"/>
      <c r="BU1" s="2"/>
      <c r="BV1" s="19"/>
      <c r="BW1" s="19"/>
      <c r="BX1" s="19"/>
      <c r="BY1" s="19"/>
      <c r="BZ1" s="18"/>
      <c r="CA1" s="19"/>
      <c r="CD1" s="420"/>
      <c r="CE1" s="420"/>
      <c r="CF1" s="420"/>
      <c r="CG1" s="420"/>
      <c r="CH1" s="420"/>
    </row>
    <row r="2" spans="1:88" s="1" customFormat="1" ht="16.5" customHeight="1">
      <c r="A2" s="38"/>
      <c r="B2" s="47"/>
      <c r="E2" s="47"/>
      <c r="F2" s="126"/>
      <c r="G2" s="126"/>
      <c r="H2" s="126"/>
      <c r="J2" s="1872" t="s">
        <v>1764</v>
      </c>
      <c r="K2" s="1873"/>
      <c r="L2" s="1873"/>
      <c r="M2" s="1873"/>
      <c r="N2" s="1873"/>
      <c r="O2" s="1873"/>
      <c r="P2" s="503"/>
      <c r="Q2" s="804"/>
      <c r="R2" s="804"/>
      <c r="S2" s="509"/>
      <c r="T2" s="1887" t="s">
        <v>1173</v>
      </c>
      <c r="U2" s="1888"/>
      <c r="V2" s="1888"/>
      <c r="W2" s="1888"/>
      <c r="X2" s="1889"/>
      <c r="Y2" s="557"/>
      <c r="Z2" s="1887" t="s">
        <v>1174</v>
      </c>
      <c r="AA2" s="1888"/>
      <c r="AB2" s="1888"/>
      <c r="AC2" s="1888"/>
      <c r="AD2" s="1889"/>
      <c r="AE2" s="614"/>
      <c r="AF2" s="1887" t="s">
        <v>1175</v>
      </c>
      <c r="AG2" s="1888"/>
      <c r="AH2" s="1888"/>
      <c r="AI2" s="1888"/>
      <c r="AJ2" s="1889"/>
      <c r="AK2" s="614"/>
      <c r="AL2" s="1887" t="s">
        <v>1176</v>
      </c>
      <c r="AM2" s="1888"/>
      <c r="AN2" s="1888"/>
      <c r="AO2" s="1888"/>
      <c r="AP2" s="1889"/>
      <c r="AQ2" s="614"/>
      <c r="AR2" s="1887" t="s">
        <v>1177</v>
      </c>
      <c r="AS2" s="1888"/>
      <c r="AT2" s="1888"/>
      <c r="AU2" s="1888"/>
      <c r="AV2" s="1889"/>
      <c r="AW2" s="614"/>
      <c r="AX2" s="1887" t="s">
        <v>1178</v>
      </c>
      <c r="AY2" s="1888"/>
      <c r="AZ2" s="1888"/>
      <c r="BA2" s="1888"/>
      <c r="BB2" s="1889"/>
      <c r="BC2" s="614"/>
      <c r="BD2" s="1887" t="s">
        <v>1179</v>
      </c>
      <c r="BE2" s="1888"/>
      <c r="BF2" s="1888"/>
      <c r="BG2" s="1888"/>
      <c r="BH2" s="1889"/>
      <c r="BI2" s="614"/>
      <c r="BJ2" s="1887" t="s">
        <v>1180</v>
      </c>
      <c r="BK2" s="1888"/>
      <c r="BL2" s="1888"/>
      <c r="BM2" s="1888"/>
      <c r="BN2" s="1889"/>
      <c r="BO2" s="614"/>
      <c r="BP2" s="1887" t="s">
        <v>1181</v>
      </c>
      <c r="BQ2" s="1888"/>
      <c r="BR2" s="1888"/>
      <c r="BS2" s="1888"/>
      <c r="BT2" s="1889"/>
      <c r="BU2" s="614"/>
      <c r="BV2" s="1887" t="s">
        <v>1182</v>
      </c>
      <c r="BW2" s="1888"/>
      <c r="BX2" s="1888"/>
      <c r="BY2" s="1888"/>
      <c r="BZ2" s="1888"/>
      <c r="CA2" s="19"/>
      <c r="CD2" s="420"/>
      <c r="CE2" s="420" t="s">
        <v>1183</v>
      </c>
      <c r="CF2" s="420"/>
      <c r="CG2" s="420"/>
      <c r="CH2" s="420"/>
    </row>
    <row r="3" spans="1:88" s="2" customFormat="1" ht="17.25" customHeight="1">
      <c r="A3" s="16" t="s">
        <v>1186</v>
      </c>
      <c r="B3" s="90" t="s">
        <v>1187</v>
      </c>
      <c r="C3" s="273" t="s">
        <v>1184</v>
      </c>
      <c r="D3" s="274" t="s">
        <v>1185</v>
      </c>
      <c r="E3" s="274" t="s">
        <v>1763</v>
      </c>
      <c r="F3" s="274" t="s">
        <v>1188</v>
      </c>
      <c r="G3" s="274" t="s">
        <v>469</v>
      </c>
      <c r="H3" s="274" t="s">
        <v>732</v>
      </c>
      <c r="I3" s="274" t="s">
        <v>571</v>
      </c>
      <c r="J3" s="67" t="s">
        <v>1759</v>
      </c>
      <c r="K3" s="67" t="s">
        <v>1760</v>
      </c>
      <c r="L3" s="661" t="s">
        <v>2347</v>
      </c>
      <c r="M3" s="67" t="s">
        <v>2344</v>
      </c>
      <c r="N3" s="67" t="s">
        <v>1190</v>
      </c>
      <c r="O3" s="67" t="s">
        <v>541</v>
      </c>
      <c r="P3" s="67" t="s">
        <v>1883</v>
      </c>
      <c r="Q3" s="814" t="s">
        <v>1884</v>
      </c>
      <c r="R3" s="814" t="s">
        <v>1885</v>
      </c>
      <c r="S3" s="553"/>
      <c r="T3" s="67" t="str">
        <f>J3</f>
        <v>Q2</v>
      </c>
      <c r="U3" s="67" t="str">
        <f>K3</f>
        <v>Q2得分</v>
      </c>
      <c r="V3" s="661" t="str">
        <f>L3</f>
        <v>Q3</v>
      </c>
      <c r="W3" s="67" t="str">
        <f>M3</f>
        <v>Q3得分</v>
      </c>
      <c r="X3" s="67" t="s">
        <v>1189</v>
      </c>
      <c r="Y3" s="662"/>
      <c r="Z3" s="67" t="str">
        <f>T3</f>
        <v>Q2</v>
      </c>
      <c r="AA3" s="67" t="str">
        <f>U3</f>
        <v>Q2得分</v>
      </c>
      <c r="AB3" s="661" t="str">
        <f>V3</f>
        <v>Q3</v>
      </c>
      <c r="AC3" s="67" t="str">
        <f>W3</f>
        <v>Q3得分</v>
      </c>
      <c r="AD3" s="67" t="s">
        <v>1189</v>
      </c>
      <c r="AE3" s="67"/>
      <c r="AF3" s="67" t="str">
        <f>Z3</f>
        <v>Q2</v>
      </c>
      <c r="AG3" s="67" t="str">
        <f>AA3</f>
        <v>Q2得分</v>
      </c>
      <c r="AH3" s="661" t="str">
        <f>AB3</f>
        <v>Q3</v>
      </c>
      <c r="AI3" s="67" t="str">
        <f>AC3</f>
        <v>Q3得分</v>
      </c>
      <c r="AJ3" s="67" t="s">
        <v>1189</v>
      </c>
      <c r="AK3" s="67"/>
      <c r="AL3" s="67" t="str">
        <f>AF3</f>
        <v>Q2</v>
      </c>
      <c r="AM3" s="67" t="str">
        <f>AG3</f>
        <v>Q2得分</v>
      </c>
      <c r="AN3" s="661" t="str">
        <f>AH3</f>
        <v>Q3</v>
      </c>
      <c r="AO3" s="67" t="str">
        <f>AI3</f>
        <v>Q3得分</v>
      </c>
      <c r="AP3" s="67" t="s">
        <v>1189</v>
      </c>
      <c r="AQ3" s="67"/>
      <c r="AR3" s="67" t="str">
        <f>AL3</f>
        <v>Q2</v>
      </c>
      <c r="AS3" s="67" t="str">
        <f>AM3</f>
        <v>Q2得分</v>
      </c>
      <c r="AT3" s="661" t="str">
        <f>AN3</f>
        <v>Q3</v>
      </c>
      <c r="AU3" s="67" t="str">
        <f>AO3</f>
        <v>Q3得分</v>
      </c>
      <c r="AV3" s="67" t="s">
        <v>1757</v>
      </c>
      <c r="AW3" s="67"/>
      <c r="AX3" s="67" t="str">
        <f>AR3</f>
        <v>Q2</v>
      </c>
      <c r="AY3" s="67" t="str">
        <f>AS3</f>
        <v>Q2得分</v>
      </c>
      <c r="AZ3" s="661" t="str">
        <f>AT3</f>
        <v>Q3</v>
      </c>
      <c r="BA3" s="67" t="str">
        <f>AU3</f>
        <v>Q3得分</v>
      </c>
      <c r="BB3" s="67" t="s">
        <v>1189</v>
      </c>
      <c r="BC3" s="67"/>
      <c r="BD3" s="67" t="str">
        <f>AX3</f>
        <v>Q2</v>
      </c>
      <c r="BE3" s="67" t="str">
        <f>AY3</f>
        <v>Q2得分</v>
      </c>
      <c r="BF3" s="661" t="str">
        <f>AZ3</f>
        <v>Q3</v>
      </c>
      <c r="BG3" s="67" t="str">
        <f>BA3</f>
        <v>Q3得分</v>
      </c>
      <c r="BH3" s="67" t="s">
        <v>1189</v>
      </c>
      <c r="BI3" s="67"/>
      <c r="BJ3" s="67" t="str">
        <f>BD3</f>
        <v>Q2</v>
      </c>
      <c r="BK3" s="67" t="str">
        <f>BE3</f>
        <v>Q2得分</v>
      </c>
      <c r="BL3" s="661" t="str">
        <f>BF3</f>
        <v>Q3</v>
      </c>
      <c r="BM3" s="67" t="str">
        <f>BG3</f>
        <v>Q3得分</v>
      </c>
      <c r="BN3" s="67" t="s">
        <v>1189</v>
      </c>
      <c r="BO3" s="67"/>
      <c r="BP3" s="67" t="str">
        <f>BJ3</f>
        <v>Q2</v>
      </c>
      <c r="BQ3" s="67" t="str">
        <f>BK3</f>
        <v>Q2得分</v>
      </c>
      <c r="BR3" s="661" t="str">
        <f>BL3</f>
        <v>Q3</v>
      </c>
      <c r="BS3" s="67" t="str">
        <f>BM3</f>
        <v>Q3得分</v>
      </c>
      <c r="BT3" s="67" t="s">
        <v>1189</v>
      </c>
      <c r="BU3" s="67"/>
      <c r="BV3" s="67" t="str">
        <f>BP3</f>
        <v>Q2</v>
      </c>
      <c r="BW3" s="67" t="str">
        <f>BQ3</f>
        <v>Q2得分</v>
      </c>
      <c r="BX3" s="661" t="str">
        <f>BR3</f>
        <v>Q3</v>
      </c>
      <c r="BY3" s="67" t="str">
        <f>BS3</f>
        <v>Q3得分</v>
      </c>
      <c r="BZ3" s="67" t="s">
        <v>1189</v>
      </c>
      <c r="CA3" s="19"/>
      <c r="CD3" s="572" t="s">
        <v>1662</v>
      </c>
      <c r="CE3" s="572" t="s">
        <v>1646</v>
      </c>
      <c r="CF3" s="572" t="s">
        <v>1647</v>
      </c>
      <c r="CG3" s="572" t="s">
        <v>1591</v>
      </c>
      <c r="CH3" s="572" t="s">
        <v>1648</v>
      </c>
    </row>
    <row r="4" spans="1:88" s="2" customFormat="1">
      <c r="A4" s="1890" t="s">
        <v>1303</v>
      </c>
      <c r="B4" s="1891" t="s">
        <v>1742</v>
      </c>
      <c r="C4" s="13">
        <v>1</v>
      </c>
      <c r="D4" s="971" t="s">
        <v>1751</v>
      </c>
      <c r="E4" s="485"/>
      <c r="F4" s="490"/>
      <c r="G4" s="490" t="s">
        <v>474</v>
      </c>
      <c r="H4" s="492" t="s">
        <v>282</v>
      </c>
      <c r="I4" s="493">
        <v>5</v>
      </c>
      <c r="J4" s="245">
        <f>AVERAGE(BV4,BP4,BJ4,BD4,AX4,AR4,AL4,AF4,Z4,T4)</f>
        <v>0.9</v>
      </c>
      <c r="K4" s="1340">
        <f>AVERAGE(BW4,BQ4,BK4,BE4,AY4,AS4,AM4,AG4,AA4,U4)</f>
        <v>4.5</v>
      </c>
      <c r="L4" s="245">
        <f>AVERAGE(BX4,BR4,BL4,BF4,AZ4,AT4,AN4,AH4,AB4,V4)</f>
        <v>0.9</v>
      </c>
      <c r="M4" s="1340">
        <f>AVERAGE(BY4,BS4,BM4,BG4,BA4,AU4,AO4,AI4,AC4,W4)</f>
        <v>4.5</v>
      </c>
      <c r="N4" s="1012">
        <f>M4-K4</f>
        <v>0</v>
      </c>
      <c r="O4" s="500">
        <f t="shared" ref="O4:O32" si="0">I4-M4</f>
        <v>0.5</v>
      </c>
      <c r="P4" s="500">
        <f>O4*0.7</f>
        <v>0.35</v>
      </c>
      <c r="Q4" s="816">
        <f>P4/9</f>
        <v>3.888888888888889E-2</v>
      </c>
      <c r="R4" s="815">
        <f>Q4/2</f>
        <v>1.9444444444444445E-2</v>
      </c>
      <c r="S4" s="510"/>
      <c r="T4" s="559">
        <f>IF(T6=0,"",T5/T6)</f>
        <v>1</v>
      </c>
      <c r="U4" s="246">
        <f>IF(T4&gt;=0.8,5,IF(T4&gt;=0.5,2,0))</f>
        <v>5</v>
      </c>
      <c r="V4" s="559">
        <f>IF(V6=0,"",V5/V6)</f>
        <v>1</v>
      </c>
      <c r="W4" s="246">
        <f>IF(V4&gt;=0.8,5,IF(V4&gt;=0.5,2,0))</f>
        <v>5</v>
      </c>
      <c r="X4" s="167">
        <f t="shared" ref="X4:X11" si="1">IF(AND(T4=0,V4&lt;&gt;0),1,IF(AND(T4=0,V4=0),0,V4/T4-1))</f>
        <v>0</v>
      </c>
      <c r="Y4" s="510"/>
      <c r="Z4" s="559">
        <f>IF(Z6=0,"",Z5/Z6)</f>
        <v>1</v>
      </c>
      <c r="AA4" s="246">
        <f>IF(Z4&gt;=0.8,5,IF(Z4&gt;=0.5,2,0))</f>
        <v>5</v>
      </c>
      <c r="AB4" s="559">
        <f>IF(AB6=0,"",AB5/AB6)</f>
        <v>1</v>
      </c>
      <c r="AC4" s="246">
        <f>IF(AB4&gt;=0.8,5,IF(AB4&gt;=0.5,2,0))</f>
        <v>5</v>
      </c>
      <c r="AD4" s="167">
        <f t="shared" ref="AD4:AD11" si="2">IF(AND(Z4=0,AB4&lt;&gt;0),1,IF(AND(Z4=0,AB4=0),0,AB4/Z4-1))</f>
        <v>0</v>
      </c>
      <c r="AE4" s="510"/>
      <c r="AF4" s="559">
        <f>IF(AF6=0,"",AF5/AF6)</f>
        <v>1</v>
      </c>
      <c r="AG4" s="246">
        <f>IF(AF4&gt;=0.8,5,IF(AF4&gt;=0.5,2,0))</f>
        <v>5</v>
      </c>
      <c r="AH4" s="559">
        <f>IF(AH6=0,"",AH5/AH6)</f>
        <v>1</v>
      </c>
      <c r="AI4" s="246">
        <f>IF(AH4&gt;=0.8,5,IF(AH4&gt;=0.5,2,0))</f>
        <v>5</v>
      </c>
      <c r="AJ4" s="167">
        <f t="shared" ref="AJ4:AJ11" si="3">IF(AND(AF4=0,AH4&lt;&gt;0),1,IF(AND(AF4=0,AH4=0),0,AH4/AF4-1))</f>
        <v>0</v>
      </c>
      <c r="AK4" s="510"/>
      <c r="AL4" s="559">
        <f>IF(AL6=0,"",AL5/AL6)</f>
        <v>1</v>
      </c>
      <c r="AM4" s="246">
        <f>IF(AL4&gt;=0.8,5,IF(AL4&gt;=0.5,2,0))</f>
        <v>5</v>
      </c>
      <c r="AN4" s="559">
        <f>IF(AN6=0,"",AN5/AN6)</f>
        <v>1</v>
      </c>
      <c r="AO4" s="246">
        <f>IF(AN4&gt;=0.8,5,IF(AN4&gt;=0.5,2,0))</f>
        <v>5</v>
      </c>
      <c r="AP4" s="167">
        <f t="shared" ref="AP4:AP11" si="4">IF(AND(AL4=0,AN4&lt;&gt;0),1,IF(AND(AL4=0,AN4=0),0,AN4/AL4-1))</f>
        <v>0</v>
      </c>
      <c r="AQ4" s="510"/>
      <c r="AR4" s="559">
        <f>IF(AR6=0,"",AR5/AR6)</f>
        <v>1</v>
      </c>
      <c r="AS4" s="246">
        <f>IF(AR4&gt;=0.8,5,IF(AR4&gt;=0.5,2,0))</f>
        <v>5</v>
      </c>
      <c r="AT4" s="559">
        <f>IF(AT6=0,"",AT5/AT6)</f>
        <v>1</v>
      </c>
      <c r="AU4" s="246">
        <f>IF(AT4&gt;=0.8,5,IF(AT4&gt;=0.5,2,0))</f>
        <v>5</v>
      </c>
      <c r="AV4" s="167">
        <f t="shared" ref="AV4:AV11" si="5">IF(AND(AR4=0,AT4&lt;&gt;0),1,IF(AND(AR4=0,AT4=0),0,AT4/AR4-1))</f>
        <v>0</v>
      </c>
      <c r="AW4" s="510"/>
      <c r="AX4" s="559">
        <f>IF(AX6=0,"",AX5/AX6)</f>
        <v>1</v>
      </c>
      <c r="AY4" s="246">
        <f>IF(AX4&gt;=0.8,5,IF(AX4&gt;=0.5,2,0))</f>
        <v>5</v>
      </c>
      <c r="AZ4" s="559">
        <f>IF(AZ6=0,"",AZ5/AZ6)</f>
        <v>1</v>
      </c>
      <c r="BA4" s="246">
        <f>IF(AZ4&gt;=0.8,5,IF(AZ4&gt;=0.5,2,0))</f>
        <v>5</v>
      </c>
      <c r="BB4" s="167">
        <f t="shared" ref="BB4:BB11" si="6">IF(AND(AX4=0,AZ4&lt;&gt;0),1,IF(AND(AX4=0,AZ4=0),0,AZ4/AX4-1))</f>
        <v>0</v>
      </c>
      <c r="BC4" s="510"/>
      <c r="BD4" s="559">
        <f>IF(BD6=0,"",BD5/BD6)</f>
        <v>0</v>
      </c>
      <c r="BE4" s="246">
        <f>IF(BD4&gt;=0.8,5,IF(BD4&gt;=0.5,2,0))</f>
        <v>0</v>
      </c>
      <c r="BF4" s="559">
        <f>IF(BF6=0,"",BF5/BF6)</f>
        <v>0</v>
      </c>
      <c r="BG4" s="246">
        <f>IF(BF4&gt;=0.8,5,IF(BF4&gt;=0.5,2,0))</f>
        <v>0</v>
      </c>
      <c r="BH4" s="167">
        <f t="shared" ref="BH4:BH11" si="7">IF(AND(BD4=0,BF4&lt;&gt;0),1,IF(AND(BD4=0,BF4=0),0,BF4/BD4-1))</f>
        <v>0</v>
      </c>
      <c r="BI4" s="510"/>
      <c r="BJ4" s="559">
        <f>IF(BJ6=0,"",BJ5/BJ6)</f>
        <v>1</v>
      </c>
      <c r="BK4" s="246">
        <f>IF(BJ4&gt;=0.8,5,IF(BJ4&gt;=0.5,2,0))</f>
        <v>5</v>
      </c>
      <c r="BL4" s="559">
        <f>IF(BL6=0,"",BL5/BL6)</f>
        <v>1</v>
      </c>
      <c r="BM4" s="246">
        <f>IF(BL4&gt;=0.8,5,IF(BL4&gt;=0.5,2,0))</f>
        <v>5</v>
      </c>
      <c r="BN4" s="167">
        <f t="shared" ref="BN4:BN11" si="8">IF(AND(BJ4=0,BL4&lt;&gt;0),1,IF(AND(BJ4=0,BL4=0),0,BL4/BJ4-1))</f>
        <v>0</v>
      </c>
      <c r="BO4" s="510"/>
      <c r="BP4" s="559">
        <f>IF(BP6=0,"",BP5/BP6)</f>
        <v>1</v>
      </c>
      <c r="BQ4" s="246">
        <f>IF(BP4&gt;=0.8,5,IF(BP4&gt;=0.5,2,0))</f>
        <v>5</v>
      </c>
      <c r="BR4" s="559">
        <f>IF(BR6=0,"",BR5/BR6)</f>
        <v>1</v>
      </c>
      <c r="BS4" s="246">
        <f>IF(BR4&gt;=0.8,5,IF(BR4&gt;=0.5,2,0))</f>
        <v>5</v>
      </c>
      <c r="BT4" s="167">
        <f t="shared" ref="BT4:BT11" si="9">IF(AND(BP4=0,BR4&lt;&gt;0),1,IF(AND(BP4=0,BR4=0),0,BR4/BP4-1))</f>
        <v>0</v>
      </c>
      <c r="BU4" s="510"/>
      <c r="BV4" s="559">
        <f>IF(BV6=0,"",BV5/BV6)</f>
        <v>1</v>
      </c>
      <c r="BW4" s="246">
        <f>IF(BV4&gt;=0.8,5,IF(BV4&gt;=0.5,2,0))</f>
        <v>5</v>
      </c>
      <c r="BX4" s="559">
        <f>IF(BX6=0,"",BX5/BX6)</f>
        <v>1</v>
      </c>
      <c r="BY4" s="246">
        <f>IF(BX4&gt;=0.8,5,IF(BX4&gt;=0.5,2,0))</f>
        <v>5</v>
      </c>
      <c r="BZ4" s="167">
        <f t="shared" ref="BZ4:BZ11" si="10">IF(AND(BV4=0,BX4&lt;&gt;0),1,IF(AND(BV4=0,BX4=0),0,BX4/BV4-1))</f>
        <v>0</v>
      </c>
      <c r="CA4" s="18"/>
      <c r="CD4" s="569">
        <f t="shared" ref="CD4:CD15" si="11">K4</f>
        <v>4.5</v>
      </c>
      <c r="CE4" s="570">
        <v>1</v>
      </c>
      <c r="CF4" s="571">
        <f>M4</f>
        <v>4.5</v>
      </c>
      <c r="CG4" s="571">
        <v>0</v>
      </c>
      <c r="CH4" s="569">
        <f t="shared" ref="CH4:CH15" si="12">N4</f>
        <v>0</v>
      </c>
    </row>
    <row r="5" spans="1:88" s="2" customFormat="1">
      <c r="A5" s="1900"/>
      <c r="B5" s="1879"/>
      <c r="C5" s="50">
        <v>1.1000000000000001</v>
      </c>
      <c r="D5" s="17" t="s">
        <v>2004</v>
      </c>
      <c r="E5" s="485" t="s">
        <v>1223</v>
      </c>
      <c r="F5" s="51"/>
      <c r="G5" s="51"/>
      <c r="H5" s="50"/>
      <c r="I5" s="51"/>
      <c r="J5" s="561">
        <f t="shared" ref="J5:J11" si="13">AVERAGE(BV5,BP5,BJ5,BD5,AX5,AR5,AL5,AF5,Z5,T5)</f>
        <v>0.9</v>
      </c>
      <c r="K5" s="432"/>
      <c r="L5" s="561">
        <f t="shared" ref="L5:L11" si="14">AVERAGE(BX5,BR5,BL5,BF5,AZ5,AT5,AN5,AH5,AB5,V5)</f>
        <v>0.9</v>
      </c>
      <c r="M5" s="432"/>
      <c r="N5" s="502">
        <f t="shared" ref="N5:N38" si="15">M5-K5</f>
        <v>0</v>
      </c>
      <c r="O5" s="65">
        <f t="shared" si="0"/>
        <v>0</v>
      </c>
      <c r="P5" s="500">
        <f t="shared" ref="P5:P48" si="16">O5*0.7</f>
        <v>0</v>
      </c>
      <c r="Q5" s="816">
        <f t="shared" ref="Q5:Q47" si="17">P5/9</f>
        <v>0</v>
      </c>
      <c r="R5" s="815">
        <f t="shared" ref="R5:R47" si="18">Q5/2</f>
        <v>0</v>
      </c>
      <c r="S5" s="510"/>
      <c r="T5" s="625">
        <v>1</v>
      </c>
      <c r="U5" s="58"/>
      <c r="V5" s="625">
        <v>1</v>
      </c>
      <c r="W5" s="58"/>
      <c r="X5" s="167">
        <f t="shared" si="1"/>
        <v>0</v>
      </c>
      <c r="Y5" s="510"/>
      <c r="Z5" s="625">
        <v>1</v>
      </c>
      <c r="AA5" s="58"/>
      <c r="AB5" s="625">
        <v>1</v>
      </c>
      <c r="AC5" s="58"/>
      <c r="AD5" s="167">
        <f t="shared" si="2"/>
        <v>0</v>
      </c>
      <c r="AE5" s="510"/>
      <c r="AF5" s="625">
        <v>1</v>
      </c>
      <c r="AG5" s="58"/>
      <c r="AH5" s="625">
        <v>1</v>
      </c>
      <c r="AI5" s="58"/>
      <c r="AJ5" s="167">
        <f t="shared" si="3"/>
        <v>0</v>
      </c>
      <c r="AK5" s="510"/>
      <c r="AL5" s="625">
        <v>1</v>
      </c>
      <c r="AM5" s="58"/>
      <c r="AN5" s="625">
        <v>1</v>
      </c>
      <c r="AO5" s="58"/>
      <c r="AP5" s="167">
        <f t="shared" si="4"/>
        <v>0</v>
      </c>
      <c r="AQ5" s="510"/>
      <c r="AR5" s="625">
        <v>1</v>
      </c>
      <c r="AS5" s="58"/>
      <c r="AT5" s="625">
        <v>1</v>
      </c>
      <c r="AU5" s="58"/>
      <c r="AV5" s="167">
        <f t="shared" si="5"/>
        <v>0</v>
      </c>
      <c r="AW5" s="510"/>
      <c r="AX5" s="625">
        <v>1</v>
      </c>
      <c r="AY5" s="58"/>
      <c r="AZ5" s="625">
        <v>1</v>
      </c>
      <c r="BA5" s="58"/>
      <c r="BB5" s="167">
        <f t="shared" si="6"/>
        <v>0</v>
      </c>
      <c r="BC5" s="510"/>
      <c r="BD5" s="625">
        <v>0</v>
      </c>
      <c r="BE5" s="58"/>
      <c r="BF5" s="625">
        <v>0</v>
      </c>
      <c r="BG5" s="58"/>
      <c r="BH5" s="167">
        <f t="shared" si="7"/>
        <v>0</v>
      </c>
      <c r="BI5" s="510"/>
      <c r="BJ5" s="625">
        <v>1</v>
      </c>
      <c r="BK5" s="58"/>
      <c r="BL5" s="625">
        <v>1</v>
      </c>
      <c r="BM5" s="58"/>
      <c r="BN5" s="167">
        <f t="shared" si="8"/>
        <v>0</v>
      </c>
      <c r="BO5" s="510"/>
      <c r="BP5" s="625">
        <v>1</v>
      </c>
      <c r="BQ5" s="58"/>
      <c r="BR5" s="625">
        <v>1</v>
      </c>
      <c r="BS5" s="58"/>
      <c r="BT5" s="167">
        <f t="shared" si="9"/>
        <v>0</v>
      </c>
      <c r="BU5" s="510"/>
      <c r="BV5" s="625">
        <v>1</v>
      </c>
      <c r="BW5" s="58"/>
      <c r="BX5" s="625">
        <v>1</v>
      </c>
      <c r="BY5" s="58"/>
      <c r="BZ5" s="167">
        <f t="shared" si="10"/>
        <v>0</v>
      </c>
      <c r="CA5" s="18"/>
      <c r="CD5" s="569">
        <f t="shared" si="11"/>
        <v>0</v>
      </c>
      <c r="CE5" s="570"/>
      <c r="CF5" s="571"/>
      <c r="CG5" s="571">
        <v>0</v>
      </c>
      <c r="CH5" s="569">
        <f t="shared" si="12"/>
        <v>0</v>
      </c>
    </row>
    <row r="6" spans="1:88" s="2" customFormat="1">
      <c r="A6" s="1901"/>
      <c r="B6" s="1880"/>
      <c r="C6" s="50">
        <v>1.2</v>
      </c>
      <c r="D6" s="17" t="s">
        <v>2003</v>
      </c>
      <c r="E6" s="485" t="s">
        <v>1223</v>
      </c>
      <c r="F6" s="51"/>
      <c r="G6" s="51"/>
      <c r="H6" s="50"/>
      <c r="I6" s="51"/>
      <c r="J6" s="561">
        <f t="shared" si="13"/>
        <v>1</v>
      </c>
      <c r="K6" s="432"/>
      <c r="L6" s="561">
        <f t="shared" si="14"/>
        <v>1</v>
      </c>
      <c r="M6" s="432"/>
      <c r="N6" s="502">
        <f t="shared" si="15"/>
        <v>0</v>
      </c>
      <c r="O6" s="65">
        <f t="shared" si="0"/>
        <v>0</v>
      </c>
      <c r="P6" s="500">
        <f t="shared" si="16"/>
        <v>0</v>
      </c>
      <c r="Q6" s="816">
        <f t="shared" si="17"/>
        <v>0</v>
      </c>
      <c r="R6" s="815">
        <f t="shared" si="18"/>
        <v>0</v>
      </c>
      <c r="S6" s="510"/>
      <c r="T6" s="625">
        <v>1</v>
      </c>
      <c r="U6" s="58"/>
      <c r="V6" s="625">
        <v>1</v>
      </c>
      <c r="W6" s="58"/>
      <c r="X6" s="167">
        <f t="shared" si="1"/>
        <v>0</v>
      </c>
      <c r="Y6" s="510"/>
      <c r="Z6" s="625">
        <v>1</v>
      </c>
      <c r="AA6" s="58"/>
      <c r="AB6" s="625">
        <v>1</v>
      </c>
      <c r="AC6" s="58"/>
      <c r="AD6" s="167">
        <f t="shared" si="2"/>
        <v>0</v>
      </c>
      <c r="AE6" s="510"/>
      <c r="AF6" s="625">
        <v>1</v>
      </c>
      <c r="AG6" s="58"/>
      <c r="AH6" s="625">
        <v>1</v>
      </c>
      <c r="AI6" s="58"/>
      <c r="AJ6" s="167">
        <f t="shared" si="3"/>
        <v>0</v>
      </c>
      <c r="AK6" s="510"/>
      <c r="AL6" s="625">
        <v>1</v>
      </c>
      <c r="AM6" s="58"/>
      <c r="AN6" s="625">
        <v>1</v>
      </c>
      <c r="AO6" s="58"/>
      <c r="AP6" s="167">
        <f t="shared" si="4"/>
        <v>0</v>
      </c>
      <c r="AQ6" s="510"/>
      <c r="AR6" s="625">
        <v>1</v>
      </c>
      <c r="AS6" s="58"/>
      <c r="AT6" s="625">
        <v>1</v>
      </c>
      <c r="AU6" s="58"/>
      <c r="AV6" s="167">
        <f t="shared" si="5"/>
        <v>0</v>
      </c>
      <c r="AW6" s="510"/>
      <c r="AX6" s="625">
        <v>1</v>
      </c>
      <c r="AY6" s="58"/>
      <c r="AZ6" s="625">
        <v>1</v>
      </c>
      <c r="BA6" s="58"/>
      <c r="BB6" s="167">
        <f t="shared" si="6"/>
        <v>0</v>
      </c>
      <c r="BC6" s="510"/>
      <c r="BD6" s="625">
        <v>1</v>
      </c>
      <c r="BE6" s="58"/>
      <c r="BF6" s="625">
        <v>1</v>
      </c>
      <c r="BG6" s="58"/>
      <c r="BH6" s="167">
        <f t="shared" si="7"/>
        <v>0</v>
      </c>
      <c r="BI6" s="510"/>
      <c r="BJ6" s="625">
        <v>1</v>
      </c>
      <c r="BK6" s="58"/>
      <c r="BL6" s="625">
        <v>1</v>
      </c>
      <c r="BM6" s="58"/>
      <c r="BN6" s="167">
        <f t="shared" si="8"/>
        <v>0</v>
      </c>
      <c r="BO6" s="510"/>
      <c r="BP6" s="625">
        <v>1</v>
      </c>
      <c r="BQ6" s="58"/>
      <c r="BR6" s="625">
        <v>1</v>
      </c>
      <c r="BS6" s="58"/>
      <c r="BT6" s="167">
        <f t="shared" si="9"/>
        <v>0</v>
      </c>
      <c r="BU6" s="510"/>
      <c r="BV6" s="625">
        <v>1</v>
      </c>
      <c r="BW6" s="58"/>
      <c r="BX6" s="625">
        <v>1</v>
      </c>
      <c r="BY6" s="58"/>
      <c r="BZ6" s="167">
        <f t="shared" si="10"/>
        <v>0</v>
      </c>
      <c r="CA6" s="18"/>
      <c r="CD6" s="569">
        <f t="shared" si="11"/>
        <v>0</v>
      </c>
      <c r="CE6" s="570"/>
      <c r="CF6" s="571"/>
      <c r="CG6" s="571">
        <v>0</v>
      </c>
      <c r="CH6" s="569">
        <f t="shared" si="12"/>
        <v>0</v>
      </c>
    </row>
    <row r="7" spans="1:88" s="2" customFormat="1">
      <c r="A7" s="1875" t="s">
        <v>1304</v>
      </c>
      <c r="B7" s="1878" t="s">
        <v>2396</v>
      </c>
      <c r="C7" s="13">
        <v>2</v>
      </c>
      <c r="D7" s="971" t="s">
        <v>2041</v>
      </c>
      <c r="E7" s="485"/>
      <c r="F7" s="51"/>
      <c r="G7" s="51" t="s">
        <v>1208</v>
      </c>
      <c r="H7" s="50" t="s">
        <v>1300</v>
      </c>
      <c r="I7" s="493">
        <v>3</v>
      </c>
      <c r="J7" s="245">
        <f t="shared" si="13"/>
        <v>0.05</v>
      </c>
      <c r="K7" s="1340">
        <f>AVERAGE(BW7,BQ7,BK7,BE7,AY7,AS7,AM7,AG7,AA7,U7)</f>
        <v>2.7</v>
      </c>
      <c r="L7" s="245">
        <f t="shared" si="14"/>
        <v>0.13333333333333333</v>
      </c>
      <c r="M7" s="1340">
        <f>AVERAGE(BY7,BS7,BM7,BG7,BA7,AU7,AO7,AI7,AC7,W7)</f>
        <v>2.1</v>
      </c>
      <c r="N7" s="1012">
        <f t="shared" si="15"/>
        <v>-0.60000000000000009</v>
      </c>
      <c r="O7" s="500">
        <f t="shared" si="0"/>
        <v>0.89999999999999991</v>
      </c>
      <c r="P7" s="500">
        <f t="shared" si="16"/>
        <v>0.62999999999999989</v>
      </c>
      <c r="Q7" s="816">
        <f t="shared" si="17"/>
        <v>6.9999999999999993E-2</v>
      </c>
      <c r="R7" s="815">
        <f t="shared" si="18"/>
        <v>3.4999999999999996E-2</v>
      </c>
      <c r="S7" s="510"/>
      <c r="T7" s="559">
        <f>ROUND(T8,0)/(ROUND(T9,0)+ROUND(T10,0))</f>
        <v>0</v>
      </c>
      <c r="U7" s="618">
        <f>IF(T7&lt;=0.15,3,IF(T7&lt;=0.3,1.5,0))</f>
        <v>3</v>
      </c>
      <c r="V7" s="559">
        <f>ROUND(V8,0)/(ROUND(V9,0)+ROUND(V10,0))</f>
        <v>0</v>
      </c>
      <c r="W7" s="618">
        <f>IF(V7&lt;=0.15,3,IF(V7&lt;=0.3,1.5,0))</f>
        <v>3</v>
      </c>
      <c r="X7" s="167">
        <f t="shared" si="1"/>
        <v>0</v>
      </c>
      <c r="Y7" s="510"/>
      <c r="Z7" s="559">
        <f>ROUND(Z8,0)/(ROUND(Z9,0)+ROUND(Z10,0))</f>
        <v>0</v>
      </c>
      <c r="AA7" s="618">
        <f>IF(Z7&lt;=0.15,3,IF(Z7&lt;=0.3,1.5,0))</f>
        <v>3</v>
      </c>
      <c r="AB7" s="559">
        <f>ROUND(AB8,0)/(ROUND(AB9,0)+ROUND(AB10,0))</f>
        <v>0.33333333333333331</v>
      </c>
      <c r="AC7" s="618">
        <f>IF(AB7&lt;=0.15,3,IF(AB7&lt;=0.3,1.5,0))</f>
        <v>0</v>
      </c>
      <c r="AD7" s="167">
        <f t="shared" si="2"/>
        <v>1</v>
      </c>
      <c r="AE7" s="510"/>
      <c r="AF7" s="559">
        <f>ROUND(AF8,0)/(ROUND(AF9,0)+ROUND(AF10,0))</f>
        <v>0</v>
      </c>
      <c r="AG7" s="618">
        <f>IF(AF7&lt;=0.15,3,IF(AF7&lt;=0.3,1.5,0))</f>
        <v>3</v>
      </c>
      <c r="AH7" s="559">
        <f>ROUND(AH8,0)/(ROUND(AH9,0)+ROUND(AH10,0))</f>
        <v>0</v>
      </c>
      <c r="AI7" s="618">
        <f>IF(AH7&lt;=0.15,3,IF(AH7&lt;=0.3,1.5,0))</f>
        <v>3</v>
      </c>
      <c r="AJ7" s="167">
        <f t="shared" si="3"/>
        <v>0</v>
      </c>
      <c r="AK7" s="510"/>
      <c r="AL7" s="559">
        <f>ROUND(AL8,0)/(ROUND(AL9,0)+ROUND(AL10,0))</f>
        <v>0</v>
      </c>
      <c r="AM7" s="618">
        <f>IF(AL7&lt;=0.15,3,IF(AL7&lt;=0.3,1.5,0))</f>
        <v>3</v>
      </c>
      <c r="AN7" s="559">
        <f>ROUND(AN8,0)/(ROUND(AN9,0)+ROUND(AN10,0))</f>
        <v>0</v>
      </c>
      <c r="AO7" s="618">
        <f>IF(AN7&lt;=0.15,3,IF(AN7&lt;=0.3,1.5,0))</f>
        <v>3</v>
      </c>
      <c r="AP7" s="167">
        <f t="shared" si="4"/>
        <v>0</v>
      </c>
      <c r="AQ7" s="510"/>
      <c r="AR7" s="559">
        <f>ROUND(AR8,0)/(ROUND(AR9,0)+ROUND(AR10,0))</f>
        <v>0</v>
      </c>
      <c r="AS7" s="618">
        <f>IF(AR7&lt;=0.15,3,IF(AR7&lt;=0.3,1.5,0))</f>
        <v>3</v>
      </c>
      <c r="AT7" s="559">
        <f>ROUND(AT8,0)/(ROUND(AT9,0)+ROUND(AT10,0))</f>
        <v>0.5</v>
      </c>
      <c r="AU7" s="618">
        <f>IF(AT7&lt;=0.15,3,IF(AT7&lt;=0.3,1.5,0))</f>
        <v>0</v>
      </c>
      <c r="AV7" s="167">
        <f t="shared" si="5"/>
        <v>1</v>
      </c>
      <c r="AW7" s="510"/>
      <c r="AX7" s="559">
        <f>ROUND(AX8,0)/(ROUND(AX9,0)+ROUND(AX10,0))</f>
        <v>0</v>
      </c>
      <c r="AY7" s="618">
        <f>IF(AX7&lt;=0.15,3,IF(AX7&lt;=0.3,1.5,0))</f>
        <v>3</v>
      </c>
      <c r="AZ7" s="559">
        <f>ROUND(AZ8,0)/(ROUND(AZ9,0)+ROUND(AZ10,0))</f>
        <v>0</v>
      </c>
      <c r="BA7" s="618">
        <f>IF(AZ7&lt;=0.15,3,IF(AZ7&lt;=0.3,1.5,0))</f>
        <v>3</v>
      </c>
      <c r="BB7" s="167">
        <f t="shared" si="6"/>
        <v>0</v>
      </c>
      <c r="BC7" s="510"/>
      <c r="BD7" s="559">
        <f>ROUND(BD8,0)/(ROUND(BD9,0)+ROUND(BD10,0))</f>
        <v>0</v>
      </c>
      <c r="BE7" s="618">
        <f>IF(BD7&lt;=0.15,3,IF(BD7&lt;=0.3,1.5,0))</f>
        <v>3</v>
      </c>
      <c r="BF7" s="559">
        <f>ROUND(BF8,0)/(ROUND(BF9,0)+ROUND(BF10,0))</f>
        <v>0.5</v>
      </c>
      <c r="BG7" s="618">
        <f>IF(BF7&lt;=0.15,3,IF(BF7&lt;=0.3,1.5,0))</f>
        <v>0</v>
      </c>
      <c r="BH7" s="167">
        <f t="shared" si="7"/>
        <v>1</v>
      </c>
      <c r="BI7" s="510"/>
      <c r="BJ7" s="559">
        <f>ROUND(BJ8,0)/(ROUND(BJ9,0)+ROUND(BJ10,0))</f>
        <v>0</v>
      </c>
      <c r="BK7" s="618">
        <f>IF(BJ7&lt;=0.15,3,IF(BJ7&lt;=0.3,1.5,0))</f>
        <v>3</v>
      </c>
      <c r="BL7" s="559">
        <f>ROUND(BL8,0)/(ROUND(BL9,0)+ROUND(BL10,0))</f>
        <v>0</v>
      </c>
      <c r="BM7" s="618">
        <f>IF(BL7&lt;=0.15,3,IF(BL7&lt;=0.3,1.5,0))</f>
        <v>3</v>
      </c>
      <c r="BN7" s="167">
        <f t="shared" si="8"/>
        <v>0</v>
      </c>
      <c r="BO7" s="510"/>
      <c r="BP7" s="559">
        <f>ROUND(BP8,0)/(ROUND(BP9,0)+ROUND(BP10,0))</f>
        <v>0.5</v>
      </c>
      <c r="BQ7" s="618">
        <f>IF(BP7&lt;=0.15,3,IF(BP7&lt;=0.3,1.5,0))</f>
        <v>0</v>
      </c>
      <c r="BR7" s="559">
        <f>ROUND(BR8,0)/(ROUND(BR9,0)+ROUND(BR10,0))</f>
        <v>0</v>
      </c>
      <c r="BS7" s="618">
        <f>IF(BR7&lt;=0.15,3,IF(BR7&lt;=0.3,1.5,0))</f>
        <v>3</v>
      </c>
      <c r="BT7" s="167">
        <f t="shared" si="9"/>
        <v>-1</v>
      </c>
      <c r="BU7" s="510"/>
      <c r="BV7" s="559">
        <f>ROUND(BV8,0)/(ROUND(BV9,0)+ROUND(BV10,0))</f>
        <v>0</v>
      </c>
      <c r="BW7" s="618">
        <f>IF(BV7&lt;=0.15,3,IF(BV7&lt;=0.3,1.5,0))</f>
        <v>3</v>
      </c>
      <c r="BX7" s="559">
        <f>ROUND(BX8,0)/(ROUND(BX9,0)+ROUND(BX10,0))</f>
        <v>0</v>
      </c>
      <c r="BY7" s="618">
        <f>IF(BX7&lt;=0.15,3,IF(BX7&lt;=0.3,1.5,0))</f>
        <v>3</v>
      </c>
      <c r="BZ7" s="167">
        <f t="shared" si="10"/>
        <v>0</v>
      </c>
      <c r="CA7" s="18"/>
      <c r="CD7" s="569">
        <f t="shared" si="11"/>
        <v>2.7</v>
      </c>
      <c r="CE7" s="570">
        <v>1</v>
      </c>
      <c r="CF7" s="571">
        <f>M7</f>
        <v>2.1</v>
      </c>
      <c r="CG7" s="571">
        <v>0</v>
      </c>
      <c r="CH7" s="569">
        <f t="shared" si="12"/>
        <v>-0.60000000000000009</v>
      </c>
    </row>
    <row r="8" spans="1:88" s="2" customFormat="1">
      <c r="A8" s="1876"/>
      <c r="B8" s="1879"/>
      <c r="C8" s="50">
        <v>2.1</v>
      </c>
      <c r="D8" s="17" t="s">
        <v>1305</v>
      </c>
      <c r="E8" s="485" t="s">
        <v>1223</v>
      </c>
      <c r="F8" s="51"/>
      <c r="G8" s="51"/>
      <c r="H8" s="50"/>
      <c r="I8" s="51"/>
      <c r="J8" s="561">
        <f t="shared" si="13"/>
        <v>0.1</v>
      </c>
      <c r="K8" s="432"/>
      <c r="L8" s="561">
        <f t="shared" si="14"/>
        <v>0.3</v>
      </c>
      <c r="M8" s="432"/>
      <c r="N8" s="502">
        <f t="shared" si="15"/>
        <v>0</v>
      </c>
      <c r="O8" s="65">
        <f t="shared" si="0"/>
        <v>0</v>
      </c>
      <c r="P8" s="500">
        <f t="shared" si="16"/>
        <v>0</v>
      </c>
      <c r="Q8" s="816">
        <f t="shared" si="17"/>
        <v>0</v>
      </c>
      <c r="R8" s="815">
        <f t="shared" si="18"/>
        <v>0</v>
      </c>
      <c r="S8" s="510"/>
      <c r="T8" s="625">
        <v>0</v>
      </c>
      <c r="U8" s="58"/>
      <c r="V8" s="625">
        <v>0</v>
      </c>
      <c r="W8" s="58"/>
      <c r="X8" s="167">
        <f t="shared" si="1"/>
        <v>0</v>
      </c>
      <c r="Y8" s="510"/>
      <c r="Z8" s="625">
        <v>0</v>
      </c>
      <c r="AA8" s="58"/>
      <c r="AB8" s="625">
        <v>1</v>
      </c>
      <c r="AC8" s="58"/>
      <c r="AD8" s="167">
        <f t="shared" si="2"/>
        <v>1</v>
      </c>
      <c r="AE8" s="510"/>
      <c r="AF8" s="625">
        <v>0</v>
      </c>
      <c r="AG8" s="58"/>
      <c r="AH8" s="625">
        <v>0</v>
      </c>
      <c r="AI8" s="58"/>
      <c r="AJ8" s="167">
        <f t="shared" si="3"/>
        <v>0</v>
      </c>
      <c r="AK8" s="510"/>
      <c r="AL8" s="625">
        <v>0</v>
      </c>
      <c r="AM8" s="58"/>
      <c r="AN8" s="625">
        <v>0</v>
      </c>
      <c r="AO8" s="58"/>
      <c r="AP8" s="167">
        <f t="shared" si="4"/>
        <v>0</v>
      </c>
      <c r="AQ8" s="510"/>
      <c r="AR8" s="625">
        <v>0</v>
      </c>
      <c r="AS8" s="58"/>
      <c r="AT8" s="625">
        <v>1</v>
      </c>
      <c r="AU8" s="58"/>
      <c r="AV8" s="167">
        <f t="shared" si="5"/>
        <v>1</v>
      </c>
      <c r="AW8" s="510"/>
      <c r="AX8" s="625">
        <v>0</v>
      </c>
      <c r="AY8" s="58"/>
      <c r="AZ8" s="625">
        <v>0</v>
      </c>
      <c r="BA8" s="58"/>
      <c r="BB8" s="167">
        <f t="shared" si="6"/>
        <v>0</v>
      </c>
      <c r="BC8" s="510"/>
      <c r="BD8" s="625">
        <v>0</v>
      </c>
      <c r="BE8" s="58"/>
      <c r="BF8" s="625">
        <v>1</v>
      </c>
      <c r="BG8" s="58"/>
      <c r="BH8" s="167">
        <f t="shared" si="7"/>
        <v>1</v>
      </c>
      <c r="BI8" s="510"/>
      <c r="BJ8" s="625">
        <v>0</v>
      </c>
      <c r="BK8" s="58"/>
      <c r="BL8" s="625">
        <v>0</v>
      </c>
      <c r="BM8" s="58"/>
      <c r="BN8" s="167">
        <f t="shared" si="8"/>
        <v>0</v>
      </c>
      <c r="BO8" s="510"/>
      <c r="BP8" s="625">
        <v>1</v>
      </c>
      <c r="BQ8" s="58"/>
      <c r="BR8" s="625">
        <v>0</v>
      </c>
      <c r="BS8" s="58"/>
      <c r="BT8" s="167">
        <f t="shared" si="9"/>
        <v>-1</v>
      </c>
      <c r="BU8" s="510"/>
      <c r="BV8" s="625">
        <v>0</v>
      </c>
      <c r="BW8" s="58"/>
      <c r="BX8" s="625">
        <v>0</v>
      </c>
      <c r="BY8" s="58"/>
      <c r="BZ8" s="167">
        <f t="shared" si="10"/>
        <v>0</v>
      </c>
      <c r="CA8" s="18"/>
      <c r="CD8" s="569">
        <f t="shared" si="11"/>
        <v>0</v>
      </c>
      <c r="CE8" s="570"/>
      <c r="CF8" s="571"/>
      <c r="CG8" s="571">
        <v>0</v>
      </c>
      <c r="CH8" s="569">
        <f t="shared" si="12"/>
        <v>0</v>
      </c>
    </row>
    <row r="9" spans="1:88" s="2" customFormat="1">
      <c r="A9" s="1876"/>
      <c r="B9" s="1879"/>
      <c r="C9" s="50">
        <v>2.2000000000000002</v>
      </c>
      <c r="D9" s="17" t="s">
        <v>1306</v>
      </c>
      <c r="E9" s="485" t="s">
        <v>1223</v>
      </c>
      <c r="F9" s="51"/>
      <c r="G9" s="51"/>
      <c r="H9" s="50"/>
      <c r="I9" s="51"/>
      <c r="J9" s="561">
        <f t="shared" si="13"/>
        <v>1.3</v>
      </c>
      <c r="K9" s="432"/>
      <c r="L9" s="561">
        <f t="shared" si="14"/>
        <v>1.3</v>
      </c>
      <c r="M9" s="432"/>
      <c r="N9" s="502">
        <f t="shared" si="15"/>
        <v>0</v>
      </c>
      <c r="O9" s="65">
        <f t="shared" si="0"/>
        <v>0</v>
      </c>
      <c r="P9" s="500">
        <f t="shared" si="16"/>
        <v>0</v>
      </c>
      <c r="Q9" s="816">
        <f t="shared" si="17"/>
        <v>0</v>
      </c>
      <c r="R9" s="815">
        <f t="shared" si="18"/>
        <v>0</v>
      </c>
      <c r="S9" s="510"/>
      <c r="T9" s="625">
        <v>1</v>
      </c>
      <c r="U9" s="58"/>
      <c r="V9" s="625">
        <v>1</v>
      </c>
      <c r="W9" s="58"/>
      <c r="X9" s="167">
        <f t="shared" si="1"/>
        <v>0</v>
      </c>
      <c r="Y9" s="510"/>
      <c r="Z9" s="625">
        <v>2</v>
      </c>
      <c r="AA9" s="58"/>
      <c r="AB9" s="625">
        <v>2</v>
      </c>
      <c r="AC9" s="58"/>
      <c r="AD9" s="167">
        <f t="shared" si="2"/>
        <v>0</v>
      </c>
      <c r="AE9" s="510"/>
      <c r="AF9" s="625">
        <v>2</v>
      </c>
      <c r="AG9" s="58"/>
      <c r="AH9" s="625">
        <v>2</v>
      </c>
      <c r="AI9" s="58"/>
      <c r="AJ9" s="167">
        <f t="shared" si="3"/>
        <v>0</v>
      </c>
      <c r="AK9" s="510"/>
      <c r="AL9" s="625">
        <v>1</v>
      </c>
      <c r="AM9" s="58"/>
      <c r="AN9" s="625">
        <v>1</v>
      </c>
      <c r="AO9" s="58"/>
      <c r="AP9" s="167">
        <f t="shared" si="4"/>
        <v>0</v>
      </c>
      <c r="AQ9" s="510"/>
      <c r="AR9" s="625">
        <v>1</v>
      </c>
      <c r="AS9" s="58"/>
      <c r="AT9" s="625">
        <v>1</v>
      </c>
      <c r="AU9" s="58"/>
      <c r="AV9" s="167">
        <f t="shared" si="5"/>
        <v>0</v>
      </c>
      <c r="AW9" s="510"/>
      <c r="AX9" s="625">
        <v>1</v>
      </c>
      <c r="AY9" s="58"/>
      <c r="AZ9" s="625">
        <v>1</v>
      </c>
      <c r="BA9" s="58"/>
      <c r="BB9" s="167">
        <f t="shared" si="6"/>
        <v>0</v>
      </c>
      <c r="BC9" s="510"/>
      <c r="BD9" s="625">
        <v>1</v>
      </c>
      <c r="BE9" s="58"/>
      <c r="BF9" s="625">
        <v>1</v>
      </c>
      <c r="BG9" s="58"/>
      <c r="BH9" s="167">
        <f t="shared" si="7"/>
        <v>0</v>
      </c>
      <c r="BI9" s="510"/>
      <c r="BJ9" s="625">
        <v>2</v>
      </c>
      <c r="BK9" s="58"/>
      <c r="BL9" s="625">
        <v>2</v>
      </c>
      <c r="BM9" s="58"/>
      <c r="BN9" s="167">
        <f t="shared" si="8"/>
        <v>0</v>
      </c>
      <c r="BO9" s="510"/>
      <c r="BP9" s="625">
        <v>1</v>
      </c>
      <c r="BQ9" s="58"/>
      <c r="BR9" s="625">
        <v>1</v>
      </c>
      <c r="BS9" s="58"/>
      <c r="BT9" s="167">
        <f t="shared" si="9"/>
        <v>0</v>
      </c>
      <c r="BU9" s="510"/>
      <c r="BV9" s="625">
        <v>1</v>
      </c>
      <c r="BW9" s="58"/>
      <c r="BX9" s="625">
        <v>1</v>
      </c>
      <c r="BY9" s="58"/>
      <c r="BZ9" s="167">
        <f t="shared" si="10"/>
        <v>0</v>
      </c>
      <c r="CA9" s="18"/>
      <c r="CD9" s="569">
        <f t="shared" si="11"/>
        <v>0</v>
      </c>
      <c r="CE9" s="570"/>
      <c r="CF9" s="571"/>
      <c r="CG9" s="571">
        <v>0</v>
      </c>
      <c r="CH9" s="569">
        <f t="shared" si="12"/>
        <v>0</v>
      </c>
    </row>
    <row r="10" spans="1:88" s="2" customFormat="1">
      <c r="A10" s="1877"/>
      <c r="B10" s="1880"/>
      <c r="C10" s="50">
        <v>2.2999999999999998</v>
      </c>
      <c r="D10" s="17" t="s">
        <v>1307</v>
      </c>
      <c r="E10" s="485" t="s">
        <v>1223</v>
      </c>
      <c r="F10" s="51"/>
      <c r="G10" s="51"/>
      <c r="H10" s="50"/>
      <c r="I10" s="51"/>
      <c r="J10" s="561">
        <f t="shared" si="13"/>
        <v>0.1</v>
      </c>
      <c r="K10" s="432"/>
      <c r="L10" s="561">
        <f t="shared" si="14"/>
        <v>0.3</v>
      </c>
      <c r="M10" s="432"/>
      <c r="N10" s="502">
        <f t="shared" si="15"/>
        <v>0</v>
      </c>
      <c r="O10" s="65">
        <f t="shared" si="0"/>
        <v>0</v>
      </c>
      <c r="P10" s="500">
        <f t="shared" si="16"/>
        <v>0</v>
      </c>
      <c r="Q10" s="816">
        <f t="shared" si="17"/>
        <v>0</v>
      </c>
      <c r="R10" s="815">
        <f t="shared" si="18"/>
        <v>0</v>
      </c>
      <c r="S10" s="510"/>
      <c r="T10" s="625">
        <v>0</v>
      </c>
      <c r="U10" s="58"/>
      <c r="V10" s="625">
        <v>0</v>
      </c>
      <c r="W10" s="58"/>
      <c r="X10" s="167">
        <f t="shared" si="1"/>
        <v>0</v>
      </c>
      <c r="Y10" s="510"/>
      <c r="Z10" s="625">
        <v>0</v>
      </c>
      <c r="AA10" s="58"/>
      <c r="AB10" s="625">
        <v>1</v>
      </c>
      <c r="AC10" s="58"/>
      <c r="AD10" s="167">
        <f t="shared" si="2"/>
        <v>1</v>
      </c>
      <c r="AE10" s="510"/>
      <c r="AF10" s="625">
        <v>0</v>
      </c>
      <c r="AG10" s="58"/>
      <c r="AH10" s="625">
        <v>0</v>
      </c>
      <c r="AI10" s="58"/>
      <c r="AJ10" s="167">
        <f t="shared" si="3"/>
        <v>0</v>
      </c>
      <c r="AK10" s="510"/>
      <c r="AL10" s="625">
        <v>0</v>
      </c>
      <c r="AM10" s="58"/>
      <c r="AN10" s="625">
        <v>0</v>
      </c>
      <c r="AO10" s="58"/>
      <c r="AP10" s="167">
        <f t="shared" si="4"/>
        <v>0</v>
      </c>
      <c r="AQ10" s="510"/>
      <c r="AR10" s="625">
        <v>0</v>
      </c>
      <c r="AS10" s="58"/>
      <c r="AT10" s="625">
        <v>1</v>
      </c>
      <c r="AU10" s="58"/>
      <c r="AV10" s="167">
        <f t="shared" si="5"/>
        <v>1</v>
      </c>
      <c r="AW10" s="510"/>
      <c r="AX10" s="625">
        <v>0</v>
      </c>
      <c r="AY10" s="58"/>
      <c r="AZ10" s="625">
        <v>0</v>
      </c>
      <c r="BA10" s="58"/>
      <c r="BB10" s="167">
        <f t="shared" si="6"/>
        <v>0</v>
      </c>
      <c r="BC10" s="510"/>
      <c r="BD10" s="625">
        <v>0</v>
      </c>
      <c r="BE10" s="58"/>
      <c r="BF10" s="625">
        <v>1</v>
      </c>
      <c r="BG10" s="58"/>
      <c r="BH10" s="167">
        <f t="shared" si="7"/>
        <v>1</v>
      </c>
      <c r="BI10" s="510"/>
      <c r="BJ10" s="625">
        <v>0</v>
      </c>
      <c r="BK10" s="58"/>
      <c r="BL10" s="625">
        <v>0</v>
      </c>
      <c r="BM10" s="58"/>
      <c r="BN10" s="167">
        <f t="shared" si="8"/>
        <v>0</v>
      </c>
      <c r="BO10" s="510"/>
      <c r="BP10" s="625">
        <v>1</v>
      </c>
      <c r="BQ10" s="58"/>
      <c r="BR10" s="625">
        <v>0</v>
      </c>
      <c r="BS10" s="58"/>
      <c r="BT10" s="167">
        <f t="shared" si="9"/>
        <v>-1</v>
      </c>
      <c r="BU10" s="510"/>
      <c r="BV10" s="625">
        <v>0</v>
      </c>
      <c r="BW10" s="58"/>
      <c r="BX10" s="625">
        <v>0</v>
      </c>
      <c r="BY10" s="58"/>
      <c r="BZ10" s="167">
        <f t="shared" si="10"/>
        <v>0</v>
      </c>
      <c r="CA10" s="18"/>
      <c r="CD10" s="569">
        <f t="shared" si="11"/>
        <v>0</v>
      </c>
      <c r="CE10" s="570"/>
      <c r="CF10" s="571"/>
      <c r="CG10" s="571">
        <v>0</v>
      </c>
      <c r="CH10" s="569">
        <f t="shared" si="12"/>
        <v>0</v>
      </c>
    </row>
    <row r="11" spans="1:88" s="2" customFormat="1">
      <c r="A11" s="263" t="s">
        <v>1308</v>
      </c>
      <c r="B11" s="263" t="s">
        <v>1309</v>
      </c>
      <c r="C11" s="13">
        <v>3</v>
      </c>
      <c r="D11" s="20" t="s">
        <v>2120</v>
      </c>
      <c r="E11" s="485" t="s">
        <v>1223</v>
      </c>
      <c r="F11" s="51"/>
      <c r="G11" s="51" t="s">
        <v>1208</v>
      </c>
      <c r="H11" s="50" t="s">
        <v>1300</v>
      </c>
      <c r="I11" s="493">
        <v>3</v>
      </c>
      <c r="J11" s="561">
        <f t="shared" si="13"/>
        <v>11</v>
      </c>
      <c r="K11" s="432">
        <f>AVERAGE(BW11,BQ11,BK11,BE11,AY11,AS11,AM11,AG11,AA11,U11)</f>
        <v>3</v>
      </c>
      <c r="L11" s="561">
        <f t="shared" si="14"/>
        <v>11</v>
      </c>
      <c r="M11" s="432">
        <f>AVERAGE(BY11,BS11,BM11,BG11,BA11,AU11,AO11,AI11,AC11,W11)</f>
        <v>3</v>
      </c>
      <c r="N11" s="502">
        <f t="shared" si="15"/>
        <v>0</v>
      </c>
      <c r="O11" s="65">
        <f t="shared" si="0"/>
        <v>0</v>
      </c>
      <c r="P11" s="500">
        <f t="shared" si="16"/>
        <v>0</v>
      </c>
      <c r="Q11" s="816">
        <f t="shared" si="17"/>
        <v>0</v>
      </c>
      <c r="R11" s="815">
        <f t="shared" si="18"/>
        <v>0</v>
      </c>
      <c r="S11" s="510"/>
      <c r="T11" s="625">
        <v>11</v>
      </c>
      <c r="U11" s="618">
        <f>IF(T11&gt;=3,3,IF(T11&gt;0,1.5,0))</f>
        <v>3</v>
      </c>
      <c r="V11" s="625">
        <v>11</v>
      </c>
      <c r="W11" s="618">
        <f>IF(V11&gt;=3,3,IF(V11&gt;0,1.5,0))</f>
        <v>3</v>
      </c>
      <c r="X11" s="167">
        <f t="shared" si="1"/>
        <v>0</v>
      </c>
      <c r="Y11" s="510"/>
      <c r="Z11" s="625">
        <v>11</v>
      </c>
      <c r="AA11" s="618">
        <f>IF(Z11&gt;=3,3,IF(Z11&gt;0,1.5,0))</f>
        <v>3</v>
      </c>
      <c r="AB11" s="625">
        <v>11</v>
      </c>
      <c r="AC11" s="618">
        <f>IF(AB11&gt;=3,3,IF(AB11&gt;0,1.5,0))</f>
        <v>3</v>
      </c>
      <c r="AD11" s="167">
        <f t="shared" si="2"/>
        <v>0</v>
      </c>
      <c r="AE11" s="510"/>
      <c r="AF11" s="625">
        <v>11</v>
      </c>
      <c r="AG11" s="618">
        <f>IF(AF11&gt;=3,3,IF(AF11&gt;0,1.5,0))</f>
        <v>3</v>
      </c>
      <c r="AH11" s="625">
        <v>11</v>
      </c>
      <c r="AI11" s="618">
        <f>IF(AH11&gt;=3,3,IF(AH11&gt;0,1.5,0))</f>
        <v>3</v>
      </c>
      <c r="AJ11" s="167">
        <f t="shared" si="3"/>
        <v>0</v>
      </c>
      <c r="AK11" s="510"/>
      <c r="AL11" s="625">
        <v>11</v>
      </c>
      <c r="AM11" s="618">
        <f>IF(AL11&gt;=3,3,IF(AL11&gt;0,1.5,0))</f>
        <v>3</v>
      </c>
      <c r="AN11" s="625">
        <v>11</v>
      </c>
      <c r="AO11" s="618">
        <f>IF(AN11&gt;=3,3,IF(AN11&gt;0,1.5,0))</f>
        <v>3</v>
      </c>
      <c r="AP11" s="167">
        <f t="shared" si="4"/>
        <v>0</v>
      </c>
      <c r="AQ11" s="510"/>
      <c r="AR11" s="625">
        <v>11</v>
      </c>
      <c r="AS11" s="618">
        <f>IF(AR11&gt;=3,3,IF(AR11&gt;0,1.5,0))</f>
        <v>3</v>
      </c>
      <c r="AT11" s="625">
        <v>11</v>
      </c>
      <c r="AU11" s="618">
        <f>IF(AT11&gt;=3,3,IF(AT11&gt;0,1.5,0))</f>
        <v>3</v>
      </c>
      <c r="AV11" s="167">
        <f t="shared" si="5"/>
        <v>0</v>
      </c>
      <c r="AW11" s="510"/>
      <c r="AX11" s="625">
        <v>11</v>
      </c>
      <c r="AY11" s="618">
        <f>IF(AX11&gt;=3,3,IF(AX11&gt;0,1.5,0))</f>
        <v>3</v>
      </c>
      <c r="AZ11" s="625">
        <v>11</v>
      </c>
      <c r="BA11" s="618">
        <f>IF(AZ11&gt;=3,3,IF(AZ11&gt;0,1.5,0))</f>
        <v>3</v>
      </c>
      <c r="BB11" s="167">
        <f t="shared" si="6"/>
        <v>0</v>
      </c>
      <c r="BC11" s="510"/>
      <c r="BD11" s="625">
        <v>11</v>
      </c>
      <c r="BE11" s="618">
        <f>IF(BD11&gt;=3,3,IF(BD11&gt;0,1.5,0))</f>
        <v>3</v>
      </c>
      <c r="BF11" s="625">
        <v>11</v>
      </c>
      <c r="BG11" s="618">
        <f>IF(BF11&gt;=3,3,IF(BF11&gt;0,1.5,0))</f>
        <v>3</v>
      </c>
      <c r="BH11" s="167">
        <f t="shared" si="7"/>
        <v>0</v>
      </c>
      <c r="BI11" s="510"/>
      <c r="BJ11" s="625">
        <v>11</v>
      </c>
      <c r="BK11" s="618">
        <f>IF(BJ11&gt;=3,3,IF(BJ11&gt;0,1.5,0))</f>
        <v>3</v>
      </c>
      <c r="BL11" s="625">
        <v>11</v>
      </c>
      <c r="BM11" s="618">
        <f>IF(BL11&gt;=3,3,IF(BL11&gt;0,1.5,0))</f>
        <v>3</v>
      </c>
      <c r="BN11" s="167">
        <f t="shared" si="8"/>
        <v>0</v>
      </c>
      <c r="BO11" s="510"/>
      <c r="BP11" s="625">
        <v>11</v>
      </c>
      <c r="BQ11" s="618">
        <f>IF(BP11&gt;=3,3,IF(BP11&gt;0,1.5,0))</f>
        <v>3</v>
      </c>
      <c r="BR11" s="625">
        <v>11</v>
      </c>
      <c r="BS11" s="618">
        <f>IF(BR11&gt;=3,3,IF(BR11&gt;0,1.5,0))</f>
        <v>3</v>
      </c>
      <c r="BT11" s="167">
        <f t="shared" si="9"/>
        <v>0</v>
      </c>
      <c r="BU11" s="510"/>
      <c r="BV11" s="625">
        <v>11</v>
      </c>
      <c r="BW11" s="618">
        <f>IF(BV11&gt;=3,3,IF(BV11&gt;0,1.5,0))</f>
        <v>3</v>
      </c>
      <c r="BX11" s="625">
        <v>11</v>
      </c>
      <c r="BY11" s="618">
        <f>IF(BX11&gt;=3,3,IF(BX11&gt;0,1.5,0))</f>
        <v>3</v>
      </c>
      <c r="BZ11" s="167">
        <f t="shared" si="10"/>
        <v>0</v>
      </c>
      <c r="CA11" s="18"/>
      <c r="CD11" s="569">
        <f t="shared" si="11"/>
        <v>3</v>
      </c>
      <c r="CE11" s="570">
        <v>1</v>
      </c>
      <c r="CF11" s="571">
        <f>M11</f>
        <v>3</v>
      </c>
      <c r="CG11" s="571">
        <v>0</v>
      </c>
      <c r="CH11" s="569">
        <f t="shared" si="12"/>
        <v>0</v>
      </c>
    </row>
    <row r="12" spans="1:88" s="2" customFormat="1">
      <c r="A12" s="262" t="s">
        <v>1310</v>
      </c>
      <c r="B12" s="262" t="s">
        <v>1311</v>
      </c>
      <c r="C12" s="13">
        <v>4</v>
      </c>
      <c r="D12" s="20" t="s">
        <v>156</v>
      </c>
      <c r="E12" s="485" t="s">
        <v>528</v>
      </c>
      <c r="F12" s="51"/>
      <c r="G12" s="51" t="s">
        <v>474</v>
      </c>
      <c r="H12" s="50" t="s">
        <v>1300</v>
      </c>
      <c r="I12" s="493">
        <v>4</v>
      </c>
      <c r="J12" s="492" t="s">
        <v>1312</v>
      </c>
      <c r="K12" s="432">
        <f>AVERAGE(BW12,BQ12,BK12,BE12,AY12,AS12,AM12,AG12,AA12,U12)</f>
        <v>4</v>
      </c>
      <c r="L12" s="492" t="s">
        <v>1312</v>
      </c>
      <c r="M12" s="432">
        <f>AVERAGE(BY12,BS12,BM12,BG12,BA12,AU12,AO12,AI12,AC12,W12)</f>
        <v>4</v>
      </c>
      <c r="N12" s="502">
        <f t="shared" si="15"/>
        <v>0</v>
      </c>
      <c r="O12" s="65">
        <f t="shared" si="0"/>
        <v>0</v>
      </c>
      <c r="P12" s="500">
        <f t="shared" si="16"/>
        <v>0</v>
      </c>
      <c r="Q12" s="816">
        <f t="shared" si="17"/>
        <v>0</v>
      </c>
      <c r="R12" s="815">
        <f t="shared" si="18"/>
        <v>0</v>
      </c>
      <c r="S12" s="510"/>
      <c r="T12" s="625" t="s">
        <v>1312</v>
      </c>
      <c r="U12" s="618">
        <v>4</v>
      </c>
      <c r="V12" s="625" t="s">
        <v>1312</v>
      </c>
      <c r="W12" s="618">
        <v>4</v>
      </c>
      <c r="X12" s="167">
        <f>IF((V12=T12)=TRUE,0,1)</f>
        <v>0</v>
      </c>
      <c r="Y12" s="510"/>
      <c r="Z12" s="625" t="s">
        <v>1312</v>
      </c>
      <c r="AA12" s="618">
        <v>4</v>
      </c>
      <c r="AB12" s="625" t="s">
        <v>1312</v>
      </c>
      <c r="AC12" s="618">
        <v>4</v>
      </c>
      <c r="AD12" s="167">
        <f>IF((AB12=Z12)=TRUE,0,1)</f>
        <v>0</v>
      </c>
      <c r="AE12" s="510"/>
      <c r="AF12" s="625" t="s">
        <v>1312</v>
      </c>
      <c r="AG12" s="618">
        <v>4</v>
      </c>
      <c r="AH12" s="625" t="s">
        <v>1312</v>
      </c>
      <c r="AI12" s="618">
        <v>4</v>
      </c>
      <c r="AJ12" s="167">
        <f>IF((AH12=AF12)=TRUE,0,1)</f>
        <v>0</v>
      </c>
      <c r="AK12" s="510"/>
      <c r="AL12" s="625" t="s">
        <v>1312</v>
      </c>
      <c r="AM12" s="618">
        <v>4</v>
      </c>
      <c r="AN12" s="625" t="s">
        <v>1312</v>
      </c>
      <c r="AO12" s="618">
        <v>4</v>
      </c>
      <c r="AP12" s="167">
        <f>IF((AN12=AL12)=TRUE,0,1)</f>
        <v>0</v>
      </c>
      <c r="AQ12" s="510"/>
      <c r="AR12" s="625" t="s">
        <v>1312</v>
      </c>
      <c r="AS12" s="618">
        <v>4</v>
      </c>
      <c r="AT12" s="625" t="s">
        <v>1312</v>
      </c>
      <c r="AU12" s="618">
        <v>4</v>
      </c>
      <c r="AV12" s="167">
        <f>IF((AT12=AR12)=TRUE,0,1)</f>
        <v>0</v>
      </c>
      <c r="AW12" s="510"/>
      <c r="AX12" s="625" t="s">
        <v>1312</v>
      </c>
      <c r="AY12" s="618">
        <v>4</v>
      </c>
      <c r="AZ12" s="625" t="s">
        <v>1312</v>
      </c>
      <c r="BA12" s="618">
        <v>4</v>
      </c>
      <c r="BB12" s="167">
        <f>IF((AZ12=AX12)=TRUE,0,1)</f>
        <v>0</v>
      </c>
      <c r="BC12" s="510"/>
      <c r="BD12" s="625" t="s">
        <v>1312</v>
      </c>
      <c r="BE12" s="618">
        <v>4</v>
      </c>
      <c r="BF12" s="625" t="s">
        <v>1312</v>
      </c>
      <c r="BG12" s="618">
        <v>4</v>
      </c>
      <c r="BH12" s="167">
        <f>IF((BF12=BD12)=TRUE,0,1)</f>
        <v>0</v>
      </c>
      <c r="BI12" s="510"/>
      <c r="BJ12" s="625" t="s">
        <v>1312</v>
      </c>
      <c r="BK12" s="618">
        <v>4</v>
      </c>
      <c r="BL12" s="625" t="s">
        <v>1312</v>
      </c>
      <c r="BM12" s="618">
        <v>4</v>
      </c>
      <c r="BN12" s="167">
        <f>IF((BL12=BJ12)=TRUE,0,1)</f>
        <v>0</v>
      </c>
      <c r="BO12" s="510"/>
      <c r="BP12" s="625" t="s">
        <v>1312</v>
      </c>
      <c r="BQ12" s="618">
        <v>4</v>
      </c>
      <c r="BR12" s="625" t="s">
        <v>1312</v>
      </c>
      <c r="BS12" s="618">
        <v>4</v>
      </c>
      <c r="BT12" s="167">
        <f>IF((BR12=BP12)=TRUE,0,1)</f>
        <v>0</v>
      </c>
      <c r="BU12" s="510"/>
      <c r="BV12" s="625" t="s">
        <v>1312</v>
      </c>
      <c r="BW12" s="618">
        <v>4</v>
      </c>
      <c r="BX12" s="625" t="s">
        <v>1312</v>
      </c>
      <c r="BY12" s="618">
        <v>4</v>
      </c>
      <c r="BZ12" s="167">
        <f>IF((BX12=BV12)=TRUE,0,1)</f>
        <v>0</v>
      </c>
      <c r="CA12" s="18"/>
      <c r="CD12" s="569">
        <f t="shared" si="11"/>
        <v>4</v>
      </c>
      <c r="CE12" s="570">
        <v>1</v>
      </c>
      <c r="CF12" s="571">
        <f>M12</f>
        <v>4</v>
      </c>
      <c r="CG12" s="571">
        <v>0</v>
      </c>
      <c r="CH12" s="569">
        <f t="shared" si="12"/>
        <v>0</v>
      </c>
    </row>
    <row r="13" spans="1:88" s="2" customFormat="1">
      <c r="A13" s="1898" t="s">
        <v>1314</v>
      </c>
      <c r="B13" s="1899" t="s">
        <v>1315</v>
      </c>
      <c r="C13" s="13">
        <v>5</v>
      </c>
      <c r="D13" s="20" t="s">
        <v>1313</v>
      </c>
      <c r="E13" s="485"/>
      <c r="F13" s="51"/>
      <c r="G13" s="51" t="s">
        <v>1279</v>
      </c>
      <c r="H13" s="50" t="s">
        <v>1300</v>
      </c>
      <c r="I13" s="493">
        <v>6</v>
      </c>
      <c r="J13" s="561">
        <f t="shared" ref="J13:J35" si="19">AVERAGE(BV13,BP13,BJ13,BD13,AX13,AR13,AL13,AF13,Z13,T13)</f>
        <v>0.29596995402900411</v>
      </c>
      <c r="K13" s="432">
        <f>AVERAGE(BW13,BQ13,BK13,BE13,AY13,AS13,AM13,AG13,AA13,U13)</f>
        <v>6</v>
      </c>
      <c r="L13" s="561">
        <f t="shared" ref="L13:L35" si="20">AVERAGE(BX13,BR13,BL13,BF13,AZ13,AT13,AN13,AH13,AB13,V13)</f>
        <v>0.19522150237825861</v>
      </c>
      <c r="M13" s="432">
        <f>AVERAGE(BY13,BS13,BM13,BG13,BA13,AU13,AO13,AI13,AC13,W13)</f>
        <v>6</v>
      </c>
      <c r="N13" s="502">
        <f t="shared" si="15"/>
        <v>0</v>
      </c>
      <c r="O13" s="65">
        <f t="shared" si="0"/>
        <v>0</v>
      </c>
      <c r="P13" s="500">
        <f t="shared" si="16"/>
        <v>0</v>
      </c>
      <c r="Q13" s="816">
        <f t="shared" si="17"/>
        <v>0</v>
      </c>
      <c r="R13" s="815">
        <f t="shared" si="18"/>
        <v>0</v>
      </c>
      <c r="S13" s="510"/>
      <c r="T13" s="560">
        <f>ROUND(T14,0)/ROUND(T15,0)</f>
        <v>0.33333333333333331</v>
      </c>
      <c r="U13" s="246">
        <f>IF(T13&lt;=10,6,IF(T13&lt;=15,2,0))</f>
        <v>6</v>
      </c>
      <c r="V13" s="560">
        <f>ROUND(V14,0)/ROUND(V15,0)</f>
        <v>0.2</v>
      </c>
      <c r="W13" s="246">
        <f>IF(V13&lt;=10,6,IF(V13&lt;=15,2,0))</f>
        <v>6</v>
      </c>
      <c r="X13" s="167">
        <f t="shared" ref="X13:X35" si="21">IF(AND(T13=0,V13&lt;&gt;0),1,IF(AND(T13=0,V13=0),0,V13/T13-1))</f>
        <v>-0.39999999999999991</v>
      </c>
      <c r="Y13" s="510"/>
      <c r="Z13" s="560">
        <f>ROUND(Z14,0)/ROUND(Z15,0)</f>
        <v>0.21487603305785125</v>
      </c>
      <c r="AA13" s="246">
        <f>IF(Z13&lt;=10,6,IF(Z13&lt;=15,2,0))</f>
        <v>6</v>
      </c>
      <c r="AB13" s="560">
        <f>ROUND(AB14,0)/ROUND(AB15,0)</f>
        <v>0.13962264150943396</v>
      </c>
      <c r="AC13" s="246">
        <f>IF(AB13&lt;=10,6,IF(AB13&lt;=15,2,0))</f>
        <v>6</v>
      </c>
      <c r="AD13" s="167">
        <f t="shared" ref="AD13:AD35" si="22">IF(AND(Z13=0,AB13&lt;&gt;0),1,IF(AND(Z13=0,AB13=0),0,AB13/Z13-1))</f>
        <v>-0.35021770682148046</v>
      </c>
      <c r="AE13" s="510"/>
      <c r="AF13" s="560">
        <f>ROUND(AF14,0)/ROUND(AF15,0)</f>
        <v>0.14723926380368099</v>
      </c>
      <c r="AG13" s="246">
        <f>IF(AF13&lt;=10,6,IF(AF13&lt;=15,2,0))</f>
        <v>6</v>
      </c>
      <c r="AH13" s="560">
        <f>ROUND(AH14,0)/ROUND(AH15,0)</f>
        <v>0.17449664429530201</v>
      </c>
      <c r="AI13" s="246">
        <f>IF(AH13&lt;=10,6,IF(AH13&lt;=15,2,0))</f>
        <v>6</v>
      </c>
      <c r="AJ13" s="167">
        <f t="shared" ref="AJ13:AJ35" si="23">IF(AND(AF13=0,AH13&lt;&gt;0),1,IF(AND(AF13=0,AH13=0),0,AH13/AF13-1))</f>
        <v>0.18512304250559275</v>
      </c>
      <c r="AK13" s="510"/>
      <c r="AL13" s="560">
        <f>ROUND(AL14,0)/ROUND(AL15,0)</f>
        <v>0.625</v>
      </c>
      <c r="AM13" s="246">
        <f>IF(AL13&lt;=10,6,IF(AL13&lt;=15,2,0))</f>
        <v>6</v>
      </c>
      <c r="AN13" s="560">
        <f>ROUND(AN14,0)/ROUND(AN15,0)</f>
        <v>0.20289855072463769</v>
      </c>
      <c r="AO13" s="246">
        <f>IF(AN13&lt;=10,6,IF(AN13&lt;=15,2,0))</f>
        <v>6</v>
      </c>
      <c r="AP13" s="167">
        <f t="shared" ref="AP13:AP35" si="24">IF(AND(AL13=0,AN13&lt;&gt;0),1,IF(AND(AL13=0,AN13=0),0,AN13/AL13-1))</f>
        <v>-0.67536231884057973</v>
      </c>
      <c r="AQ13" s="510"/>
      <c r="AR13" s="560">
        <f>ROUND(AR14,0)/ROUND(AR15,0)</f>
        <v>0.22661122661122662</v>
      </c>
      <c r="AS13" s="246">
        <f>IF(AR13&lt;=10,6,IF(AR13&lt;=15,2,0))</f>
        <v>6</v>
      </c>
      <c r="AT13" s="560">
        <f>ROUND(AT14,0)/ROUND(AT15,0)</f>
        <v>0.21602787456445993</v>
      </c>
      <c r="AU13" s="246">
        <f>IF(AT13&lt;=10,6,IF(AT13&lt;=15,2,0))</f>
        <v>6</v>
      </c>
      <c r="AV13" s="167">
        <f t="shared" ref="AV13:AV35" si="25">IF(AND(AR13=0,AT13&lt;&gt;0),1,IF(AND(AR13=0,AT13=0),0,AT13/AR13-1))</f>
        <v>-4.6702681967841997E-2</v>
      </c>
      <c r="AW13" s="510"/>
      <c r="AX13" s="560">
        <f>ROUND(AX14,0)/ROUND(AX15,0)</f>
        <v>0.16188870151770657</v>
      </c>
      <c r="AY13" s="246">
        <f>IF(AX13&lt;=10,6,IF(AX13&lt;=15,2,0))</f>
        <v>6</v>
      </c>
      <c r="AZ13" s="560">
        <f>ROUND(AZ14,0)/ROUND(AZ15,0)</f>
        <v>0.18338108882521489</v>
      </c>
      <c r="BA13" s="246">
        <f>IF(AZ13&lt;=10,6,IF(AZ13&lt;=15,2,0))</f>
        <v>6</v>
      </c>
      <c r="BB13" s="167">
        <f t="shared" ref="BB13:BB35" si="26">IF(AND(AX13=0,AZ13&lt;&gt;0),1,IF(AND(AX13=0,AZ13=0),0,AZ13/AX13-1))</f>
        <v>0.13276026743075464</v>
      </c>
      <c r="BC13" s="510"/>
      <c r="BD13" s="560">
        <f>ROUND(BD14,0)/ROUND(BD15,0)</f>
        <v>0.48837209302325579</v>
      </c>
      <c r="BE13" s="246">
        <f>IF(BD13&lt;=10,6,IF(BD13&lt;=15,2,0))</f>
        <v>6</v>
      </c>
      <c r="BF13" s="560">
        <f>ROUND(BF14,0)/ROUND(BF15,0)</f>
        <v>0.1388888888888889</v>
      </c>
      <c r="BG13" s="246">
        <f>IF(BF13&lt;=10,6,IF(BF13&lt;=15,2,0))</f>
        <v>6</v>
      </c>
      <c r="BH13" s="167">
        <f t="shared" ref="BH13:BH35" si="27">IF(AND(BD13=0,BF13&lt;&gt;0),1,IF(AND(BD13=0,BF13=0),0,BF13/BD13-1))</f>
        <v>-0.71560846560846558</v>
      </c>
      <c r="BI13" s="510"/>
      <c r="BJ13" s="560">
        <f>ROUND(BJ14,0)/ROUND(BJ15,0)</f>
        <v>0.18421052631578946</v>
      </c>
      <c r="BK13" s="246">
        <f>IF(BJ13&lt;=10,6,IF(BJ13&lt;=15,2,0))</f>
        <v>6</v>
      </c>
      <c r="BL13" s="560">
        <f>ROUND(BL14,0)/ROUND(BL15,0)</f>
        <v>0.1799163179916318</v>
      </c>
      <c r="BM13" s="246">
        <f>IF(BL13&lt;=10,6,IF(BL13&lt;=15,2,0))</f>
        <v>6</v>
      </c>
      <c r="BN13" s="167">
        <f t="shared" ref="BN13:BN35" si="28">IF(AND(BJ13=0,BL13&lt;&gt;0),1,IF(AND(BJ13=0,BL13=0),0,BL13/BJ13-1))</f>
        <v>-2.3311416616855873E-2</v>
      </c>
      <c r="BO13" s="510"/>
      <c r="BP13" s="560">
        <f>ROUND(BP14,0)/ROUND(BP15,0)</f>
        <v>0.40425531914893614</v>
      </c>
      <c r="BQ13" s="246">
        <f>IF(BP13&lt;=10,6,IF(BP13&lt;=15,2,0))</f>
        <v>6</v>
      </c>
      <c r="BR13" s="560">
        <f>ROUND(BR14,0)/ROUND(BR15,0)</f>
        <v>0.19230769230769232</v>
      </c>
      <c r="BS13" s="246">
        <f>IF(BR13&lt;=10,6,IF(BR13&lt;=15,2,0))</f>
        <v>6</v>
      </c>
      <c r="BT13" s="167">
        <f t="shared" ref="BT13:BT35" si="29">IF(AND(BP13=0,BR13&lt;&gt;0),1,IF(AND(BP13=0,BR13=0),0,BR13/BP13-1))</f>
        <v>-0.52429149797570851</v>
      </c>
      <c r="BU13" s="510"/>
      <c r="BV13" s="560">
        <f>ROUND(BV14,0)/ROUND(BV15,0)</f>
        <v>0.17391304347826086</v>
      </c>
      <c r="BW13" s="246">
        <f>IF(BV13&lt;=10,6,IF(BV13&lt;=15,2,0))</f>
        <v>6</v>
      </c>
      <c r="BX13" s="560">
        <f>ROUND(BX14,0)/ROUND(BX15,0)</f>
        <v>0.32467532467532467</v>
      </c>
      <c r="BY13" s="246">
        <f>IF(BX13&lt;=10,6,IF(BX13&lt;=15,2,0))</f>
        <v>6</v>
      </c>
      <c r="BZ13" s="167">
        <f t="shared" ref="BZ13:BZ35" si="30">IF(AND(BV13=0,BX13&lt;&gt;0),1,IF(AND(BV13=0,BX13=0),0,BX13/BV13-1))</f>
        <v>0.86688311688311681</v>
      </c>
      <c r="CA13" s="18"/>
      <c r="CD13" s="569">
        <f t="shared" si="11"/>
        <v>6</v>
      </c>
      <c r="CE13" s="570">
        <v>1</v>
      </c>
      <c r="CF13" s="571">
        <f>M13</f>
        <v>6</v>
      </c>
      <c r="CG13" s="571">
        <v>0</v>
      </c>
      <c r="CH13" s="569">
        <f t="shared" si="12"/>
        <v>0</v>
      </c>
    </row>
    <row r="14" spans="1:88" s="2" customFormat="1">
      <c r="A14" s="1876"/>
      <c r="B14" s="1879"/>
      <c r="C14" s="50">
        <v>5.0999999999999996</v>
      </c>
      <c r="D14" s="1683" t="s">
        <v>1316</v>
      </c>
      <c r="E14" s="1684" t="s">
        <v>1223</v>
      </c>
      <c r="F14" s="1658" t="s">
        <v>1317</v>
      </c>
      <c r="G14" s="1643"/>
      <c r="H14" s="1663"/>
      <c r="I14" s="1643"/>
      <c r="J14" s="1685">
        <f t="shared" si="19"/>
        <v>47.232999999999997</v>
      </c>
      <c r="K14" s="1686"/>
      <c r="L14" s="1685">
        <f t="shared" si="20"/>
        <v>51.501999999999995</v>
      </c>
      <c r="M14" s="1686"/>
      <c r="N14" s="1662">
        <f t="shared" si="15"/>
        <v>0</v>
      </c>
      <c r="O14" s="1687">
        <f t="shared" si="0"/>
        <v>0</v>
      </c>
      <c r="P14" s="1662">
        <f t="shared" si="16"/>
        <v>0</v>
      </c>
      <c r="Q14" s="1671">
        <f t="shared" si="17"/>
        <v>0</v>
      </c>
      <c r="R14" s="1672">
        <f t="shared" si="18"/>
        <v>0</v>
      </c>
      <c r="S14" s="1673"/>
      <c r="T14" s="1663">
        <v>7.06</v>
      </c>
      <c r="U14" s="1661">
        <v>7.0632000000000001</v>
      </c>
      <c r="V14" s="1663">
        <v>3.42</v>
      </c>
      <c r="W14" s="1661">
        <v>2.7235</v>
      </c>
      <c r="X14" s="1688">
        <f t="shared" si="21"/>
        <v>-0.51558073654390935</v>
      </c>
      <c r="Y14" s="1673"/>
      <c r="Z14" s="1663">
        <v>51.74</v>
      </c>
      <c r="AA14" s="1663">
        <v>51.74</v>
      </c>
      <c r="AB14" s="1663">
        <v>37.15</v>
      </c>
      <c r="AC14" s="1661">
        <v>15.680999999999999</v>
      </c>
      <c r="AD14" s="1688">
        <f t="shared" si="22"/>
        <v>-0.28198685736374185</v>
      </c>
      <c r="AE14" s="1673"/>
      <c r="AF14" s="1663">
        <v>47.69</v>
      </c>
      <c r="AG14" s="1661">
        <v>47.693399999999997</v>
      </c>
      <c r="AH14" s="1663">
        <v>77.92</v>
      </c>
      <c r="AI14" s="1661">
        <v>48.936799999999998</v>
      </c>
      <c r="AJ14" s="1688">
        <f t="shared" si="23"/>
        <v>0.63388551058922227</v>
      </c>
      <c r="AK14" s="1673"/>
      <c r="AL14" s="1663">
        <v>30.38</v>
      </c>
      <c r="AM14" s="1661">
        <v>30.377199999999998</v>
      </c>
      <c r="AN14" s="1663">
        <v>14.29</v>
      </c>
      <c r="AO14" s="1661">
        <v>11.513</v>
      </c>
      <c r="AP14" s="1688">
        <f t="shared" si="24"/>
        <v>-0.52962475312705726</v>
      </c>
      <c r="AQ14" s="1673"/>
      <c r="AR14" s="1663">
        <v>109.27</v>
      </c>
      <c r="AS14" s="1661">
        <v>109.2711</v>
      </c>
      <c r="AT14" s="1663">
        <v>124.19</v>
      </c>
      <c r="AU14" s="1661">
        <v>58.374299999999998</v>
      </c>
      <c r="AV14" s="1688">
        <f t="shared" si="25"/>
        <v>0.13654250938043377</v>
      </c>
      <c r="AW14" s="1673"/>
      <c r="AX14" s="1663">
        <v>96.47</v>
      </c>
      <c r="AY14" s="1661">
        <v>96.473100000000002</v>
      </c>
      <c r="AZ14" s="1663">
        <v>128.24</v>
      </c>
      <c r="BA14" s="1661">
        <v>74.119900000000001</v>
      </c>
      <c r="BB14" s="1688">
        <f t="shared" si="26"/>
        <v>0.32932517881206613</v>
      </c>
      <c r="BC14" s="1673"/>
      <c r="BD14" s="1663">
        <v>21.04</v>
      </c>
      <c r="BE14" s="1661">
        <v>21.0365</v>
      </c>
      <c r="BF14" s="1663">
        <v>10.039999999999999</v>
      </c>
      <c r="BG14" s="1661">
        <v>5.5510999999999999</v>
      </c>
      <c r="BH14" s="1688">
        <f t="shared" si="27"/>
        <v>-0.52281368821292773</v>
      </c>
      <c r="BI14" s="1673"/>
      <c r="BJ14" s="1663">
        <v>77.459999999999994</v>
      </c>
      <c r="BK14" s="1661">
        <v>77.454999999999998</v>
      </c>
      <c r="BL14" s="1663">
        <v>85.54</v>
      </c>
      <c r="BM14" s="1661">
        <v>46.4739</v>
      </c>
      <c r="BN14" s="1688">
        <f t="shared" si="28"/>
        <v>0.10431190291763515</v>
      </c>
      <c r="BO14" s="1673"/>
      <c r="BP14" s="1663">
        <v>18.920000000000002</v>
      </c>
      <c r="BQ14" s="1661">
        <v>18.920100000000001</v>
      </c>
      <c r="BR14" s="1663">
        <v>9.58</v>
      </c>
      <c r="BS14" s="1661">
        <v>3.9902000000000002</v>
      </c>
      <c r="BT14" s="1688">
        <f t="shared" si="29"/>
        <v>-0.4936575052854123</v>
      </c>
      <c r="BU14" s="1673"/>
      <c r="BV14" s="1663">
        <v>12.3</v>
      </c>
      <c r="BW14" s="1661">
        <v>12.298400000000001</v>
      </c>
      <c r="BX14" s="1663">
        <v>24.65</v>
      </c>
      <c r="BY14" s="1661">
        <v>20.344799999999999</v>
      </c>
      <c r="BZ14" s="1688">
        <f t="shared" si="30"/>
        <v>1.0040650406504064</v>
      </c>
      <c r="CA14" s="18"/>
      <c r="CD14" s="569">
        <f t="shared" si="11"/>
        <v>0</v>
      </c>
      <c r="CE14" s="570"/>
      <c r="CF14" s="571"/>
      <c r="CG14" s="571">
        <v>0</v>
      </c>
      <c r="CH14" s="569">
        <f t="shared" si="12"/>
        <v>0</v>
      </c>
    </row>
    <row r="15" spans="1:88" s="2" customFormat="1">
      <c r="A15" s="1877"/>
      <c r="B15" s="1880"/>
      <c r="C15" s="492">
        <v>5.2</v>
      </c>
      <c r="D15" s="1683" t="s">
        <v>1318</v>
      </c>
      <c r="E15" s="1684" t="s">
        <v>1223</v>
      </c>
      <c r="F15" s="1658" t="s">
        <v>1317</v>
      </c>
      <c r="G15" s="1643"/>
      <c r="H15" s="1663"/>
      <c r="I15" s="1643"/>
      <c r="J15" s="1685">
        <f t="shared" si="19"/>
        <v>228.8</v>
      </c>
      <c r="K15" s="1686"/>
      <c r="L15" s="1685">
        <f t="shared" si="20"/>
        <v>274.7</v>
      </c>
      <c r="M15" s="1686"/>
      <c r="N15" s="1662">
        <f t="shared" si="15"/>
        <v>0</v>
      </c>
      <c r="O15" s="1687">
        <f t="shared" si="0"/>
        <v>0</v>
      </c>
      <c r="P15" s="1662">
        <f t="shared" si="16"/>
        <v>0</v>
      </c>
      <c r="Q15" s="1671">
        <f t="shared" si="17"/>
        <v>0</v>
      </c>
      <c r="R15" s="1672">
        <f t="shared" si="18"/>
        <v>0</v>
      </c>
      <c r="S15" s="1673"/>
      <c r="T15" s="1663">
        <v>21</v>
      </c>
      <c r="U15" s="1661">
        <v>21</v>
      </c>
      <c r="V15" s="1663">
        <v>15</v>
      </c>
      <c r="W15" s="1661">
        <v>15</v>
      </c>
      <c r="X15" s="1688">
        <f t="shared" si="21"/>
        <v>-0.2857142857142857</v>
      </c>
      <c r="Y15" s="1673"/>
      <c r="Z15" s="1663">
        <v>242</v>
      </c>
      <c r="AA15" s="1661">
        <v>246</v>
      </c>
      <c r="AB15" s="1663">
        <v>265</v>
      </c>
      <c r="AC15" s="1661">
        <v>265</v>
      </c>
      <c r="AD15" s="1688">
        <f t="shared" si="22"/>
        <v>9.5041322314049603E-2</v>
      </c>
      <c r="AE15" s="1673"/>
      <c r="AF15" s="1663">
        <v>326</v>
      </c>
      <c r="AG15" s="1661">
        <v>326</v>
      </c>
      <c r="AH15" s="1663">
        <v>447</v>
      </c>
      <c r="AI15" s="1661">
        <v>447</v>
      </c>
      <c r="AJ15" s="1688">
        <f t="shared" si="23"/>
        <v>0.37116564417177922</v>
      </c>
      <c r="AK15" s="1673"/>
      <c r="AL15" s="1663">
        <v>48</v>
      </c>
      <c r="AM15" s="1661">
        <v>48</v>
      </c>
      <c r="AN15" s="1663">
        <v>69</v>
      </c>
      <c r="AO15" s="1661">
        <v>69</v>
      </c>
      <c r="AP15" s="1688">
        <f t="shared" si="24"/>
        <v>0.4375</v>
      </c>
      <c r="AQ15" s="1673"/>
      <c r="AR15" s="1663">
        <v>481</v>
      </c>
      <c r="AS15" s="1661">
        <v>481</v>
      </c>
      <c r="AT15" s="1663">
        <v>574</v>
      </c>
      <c r="AU15" s="1661">
        <v>574</v>
      </c>
      <c r="AV15" s="1688">
        <f t="shared" si="25"/>
        <v>0.1933471933471933</v>
      </c>
      <c r="AW15" s="1673"/>
      <c r="AX15" s="1663">
        <v>593</v>
      </c>
      <c r="AY15" s="1661">
        <v>593</v>
      </c>
      <c r="AZ15" s="1663">
        <v>698</v>
      </c>
      <c r="BA15" s="1661">
        <v>698</v>
      </c>
      <c r="BB15" s="1688">
        <f t="shared" si="26"/>
        <v>0.17706576728499157</v>
      </c>
      <c r="BC15" s="1673"/>
      <c r="BD15" s="1663">
        <v>43</v>
      </c>
      <c r="BE15" s="1661">
        <v>43</v>
      </c>
      <c r="BF15" s="1663">
        <v>72</v>
      </c>
      <c r="BG15" s="1661">
        <v>72</v>
      </c>
      <c r="BH15" s="1688">
        <f t="shared" si="27"/>
        <v>0.67441860465116288</v>
      </c>
      <c r="BI15" s="1673"/>
      <c r="BJ15" s="1663">
        <v>418</v>
      </c>
      <c r="BK15" s="1661">
        <v>418</v>
      </c>
      <c r="BL15" s="1663">
        <v>478</v>
      </c>
      <c r="BM15" s="1661">
        <v>478</v>
      </c>
      <c r="BN15" s="1688">
        <f t="shared" si="28"/>
        <v>0.14354066985645941</v>
      </c>
      <c r="BO15" s="1673"/>
      <c r="BP15" s="1663">
        <v>47</v>
      </c>
      <c r="BQ15" s="1661">
        <v>47</v>
      </c>
      <c r="BR15" s="1663">
        <v>52</v>
      </c>
      <c r="BS15" s="1661">
        <v>52</v>
      </c>
      <c r="BT15" s="1688">
        <f t="shared" si="29"/>
        <v>0.1063829787234043</v>
      </c>
      <c r="BU15" s="1673"/>
      <c r="BV15" s="1663">
        <v>69</v>
      </c>
      <c r="BW15" s="1661">
        <v>70</v>
      </c>
      <c r="BX15" s="1663">
        <v>77</v>
      </c>
      <c r="BY15" s="1661">
        <v>77</v>
      </c>
      <c r="BZ15" s="1688">
        <f t="shared" si="30"/>
        <v>0.11594202898550732</v>
      </c>
      <c r="CA15" s="18"/>
      <c r="CD15" s="569">
        <f t="shared" si="11"/>
        <v>0</v>
      </c>
      <c r="CE15" s="570"/>
      <c r="CF15" s="571"/>
      <c r="CG15" s="571">
        <v>0</v>
      </c>
      <c r="CH15" s="569">
        <f t="shared" si="12"/>
        <v>0</v>
      </c>
    </row>
    <row r="16" spans="1:88" s="2" customFormat="1" ht="14.25" customHeight="1">
      <c r="A16" s="1898" t="s">
        <v>1319</v>
      </c>
      <c r="B16" s="1899" t="s">
        <v>1320</v>
      </c>
      <c r="C16" s="23">
        <v>6</v>
      </c>
      <c r="D16" s="20" t="s">
        <v>2005</v>
      </c>
      <c r="E16" s="1570"/>
      <c r="F16" s="1641"/>
      <c r="G16" s="1641" t="s">
        <v>1279</v>
      </c>
      <c r="H16" s="1600" t="s">
        <v>1297</v>
      </c>
      <c r="I16" s="1471">
        <v>8</v>
      </c>
      <c r="J16" s="1685">
        <f t="shared" si="19"/>
        <v>0.19256075630859426</v>
      </c>
      <c r="K16" s="1904">
        <v>0</v>
      </c>
      <c r="L16" s="1685">
        <f t="shared" si="20"/>
        <v>0.27705140170725684</v>
      </c>
      <c r="M16" s="1904">
        <v>0</v>
      </c>
      <c r="N16" s="1662">
        <f t="shared" si="15"/>
        <v>0</v>
      </c>
      <c r="O16" s="1910">
        <f t="shared" si="0"/>
        <v>8</v>
      </c>
      <c r="P16" s="1910">
        <f t="shared" si="16"/>
        <v>5.6</v>
      </c>
      <c r="Q16" s="1913">
        <f t="shared" si="17"/>
        <v>0.62222222222222223</v>
      </c>
      <c r="R16" s="1692">
        <f t="shared" si="18"/>
        <v>0.31111111111111112</v>
      </c>
      <c r="S16" s="1693"/>
      <c r="T16" s="1656">
        <v>9.5238095238095233E-2</v>
      </c>
      <c r="U16" s="1644"/>
      <c r="V16" s="1656">
        <v>0.5</v>
      </c>
      <c r="W16" s="1651"/>
      <c r="X16" s="1642">
        <f t="shared" si="21"/>
        <v>4.25</v>
      </c>
      <c r="Y16" s="1693"/>
      <c r="Z16" s="1656">
        <v>0.33606557377049179</v>
      </c>
      <c r="AA16" s="1644" t="s">
        <v>1321</v>
      </c>
      <c r="AB16" s="1656">
        <v>0.37218045112781956</v>
      </c>
      <c r="AC16" s="1651"/>
      <c r="AD16" s="1642">
        <f t="shared" si="22"/>
        <v>0.10746378140473145</v>
      </c>
      <c r="AE16" s="1693"/>
      <c r="AF16" s="1644">
        <v>0.31402439024390244</v>
      </c>
      <c r="AG16" s="1644"/>
      <c r="AH16" s="1644">
        <v>0.24</v>
      </c>
      <c r="AI16" s="1651"/>
      <c r="AJ16" s="1642">
        <f t="shared" si="23"/>
        <v>-0.23572815533980584</v>
      </c>
      <c r="AK16" s="1693"/>
      <c r="AL16" s="1656">
        <v>0.14583333333333334</v>
      </c>
      <c r="AM16" s="1644"/>
      <c r="AN16" s="1656">
        <v>0.13043478260869565</v>
      </c>
      <c r="AO16" s="1651"/>
      <c r="AP16" s="1642">
        <f t="shared" si="24"/>
        <v>-0.10559006211180133</v>
      </c>
      <c r="AQ16" s="1693"/>
      <c r="AR16" s="1644">
        <v>0.18556701030927836</v>
      </c>
      <c r="AS16" s="1644"/>
      <c r="AT16" s="1644">
        <v>0.14459930313588851</v>
      </c>
      <c r="AU16" s="1651"/>
      <c r="AV16" s="1642">
        <f t="shared" si="25"/>
        <v>-0.22077042198993413</v>
      </c>
      <c r="AW16" s="1693"/>
      <c r="AX16" s="1656">
        <v>0.10906040268456375</v>
      </c>
      <c r="AY16" s="1644"/>
      <c r="AZ16" s="1656">
        <v>0.16142857142857142</v>
      </c>
      <c r="BA16" s="1631"/>
      <c r="BB16" s="1642">
        <f t="shared" si="26"/>
        <v>0.48017582417582427</v>
      </c>
      <c r="BC16" s="1693"/>
      <c r="BD16" s="1656">
        <v>0.20930232558139536</v>
      </c>
      <c r="BE16" s="1644"/>
      <c r="BF16" s="1656">
        <v>0.41095890410958902</v>
      </c>
      <c r="BG16" s="1651"/>
      <c r="BH16" s="1642">
        <f t="shared" si="27"/>
        <v>0.96347031963470298</v>
      </c>
      <c r="BI16" s="1693"/>
      <c r="BJ16" s="1656">
        <v>0.18439716312056736</v>
      </c>
      <c r="BK16" s="1644"/>
      <c r="BL16" s="1656">
        <v>0.13958333333333334</v>
      </c>
      <c r="BM16" s="1651"/>
      <c r="BN16" s="1642">
        <f t="shared" si="28"/>
        <v>-0.24302884615384612</v>
      </c>
      <c r="BO16" s="1693"/>
      <c r="BP16" s="1656">
        <v>0.14893617021276595</v>
      </c>
      <c r="BQ16" s="1644"/>
      <c r="BR16" s="1656">
        <v>0.30769230769230771</v>
      </c>
      <c r="BS16" s="1651"/>
      <c r="BT16" s="1642">
        <f t="shared" si="29"/>
        <v>1.0659340659340661</v>
      </c>
      <c r="BU16" s="1693"/>
      <c r="BV16" s="1656">
        <f>IF(BV18=0,"",BV17/BV18)</f>
        <v>0.19718309859154928</v>
      </c>
      <c r="BW16" s="1644"/>
      <c r="BX16" s="1656">
        <f>IF(BX18=0,"",BX17/BX18)</f>
        <v>0.36363636363636365</v>
      </c>
      <c r="BY16" s="1657" t="s">
        <v>1321</v>
      </c>
      <c r="BZ16" s="1642">
        <f t="shared" si="30"/>
        <v>0.84415584415584433</v>
      </c>
      <c r="CA16" s="18"/>
      <c r="CD16" s="569">
        <v>8</v>
      </c>
      <c r="CE16" s="570">
        <v>1</v>
      </c>
      <c r="CF16" s="569">
        <v>8</v>
      </c>
      <c r="CG16" s="571">
        <v>0</v>
      </c>
      <c r="CH16" s="569">
        <v>8</v>
      </c>
      <c r="CI16" s="2" t="s">
        <v>1442</v>
      </c>
      <c r="CJ16" s="2">
        <v>2.98</v>
      </c>
    </row>
    <row r="17" spans="1:86" s="2" customFormat="1">
      <c r="A17" s="1876"/>
      <c r="B17" s="1879"/>
      <c r="C17" s="492">
        <v>6.1</v>
      </c>
      <c r="D17" s="1683" t="s">
        <v>1322</v>
      </c>
      <c r="E17" s="1684" t="s">
        <v>1223</v>
      </c>
      <c r="F17" s="1658" t="s">
        <v>1317</v>
      </c>
      <c r="G17" s="1643"/>
      <c r="H17" s="1689"/>
      <c r="I17" s="1469"/>
      <c r="J17" s="1685">
        <f t="shared" si="19"/>
        <v>45.7</v>
      </c>
      <c r="K17" s="1905"/>
      <c r="L17" s="1685">
        <f t="shared" si="20"/>
        <v>56.1</v>
      </c>
      <c r="M17" s="1905"/>
      <c r="N17" s="1662">
        <f t="shared" si="15"/>
        <v>0</v>
      </c>
      <c r="O17" s="1911"/>
      <c r="P17" s="1911"/>
      <c r="Q17" s="1914"/>
      <c r="R17" s="1690"/>
      <c r="S17" s="1673"/>
      <c r="T17" s="1663">
        <v>2</v>
      </c>
      <c r="U17" s="1661">
        <v>5</v>
      </c>
      <c r="V17" s="1663">
        <v>8</v>
      </c>
      <c r="W17" s="1681">
        <v>10</v>
      </c>
      <c r="X17" s="1688">
        <f t="shared" si="21"/>
        <v>3</v>
      </c>
      <c r="Y17" s="1673"/>
      <c r="Z17" s="1663">
        <v>82</v>
      </c>
      <c r="AA17" s="1661">
        <v>101</v>
      </c>
      <c r="AB17" s="1663">
        <v>99</v>
      </c>
      <c r="AC17" s="1681">
        <v>134</v>
      </c>
      <c r="AD17" s="1688">
        <f t="shared" si="22"/>
        <v>0.20731707317073167</v>
      </c>
      <c r="AE17" s="1673"/>
      <c r="AF17" s="1663">
        <v>103</v>
      </c>
      <c r="AG17" s="1661">
        <v>134</v>
      </c>
      <c r="AH17" s="1663">
        <v>108</v>
      </c>
      <c r="AI17" s="1681">
        <v>161</v>
      </c>
      <c r="AJ17" s="1688">
        <f t="shared" si="23"/>
        <v>4.8543689320388328E-2</v>
      </c>
      <c r="AK17" s="1673"/>
      <c r="AL17" s="1663">
        <v>7</v>
      </c>
      <c r="AM17" s="1661">
        <v>11</v>
      </c>
      <c r="AN17" s="1663">
        <v>9</v>
      </c>
      <c r="AO17" s="1681">
        <v>16</v>
      </c>
      <c r="AP17" s="1688">
        <f t="shared" si="24"/>
        <v>0.28571428571428581</v>
      </c>
      <c r="AQ17" s="1673"/>
      <c r="AR17" s="1663">
        <v>90</v>
      </c>
      <c r="AS17" s="1661">
        <v>139</v>
      </c>
      <c r="AT17" s="1663">
        <v>83</v>
      </c>
      <c r="AU17" s="1681">
        <v>141</v>
      </c>
      <c r="AV17" s="1688">
        <f t="shared" si="25"/>
        <v>-7.7777777777777724E-2</v>
      </c>
      <c r="AW17" s="1673"/>
      <c r="AX17" s="1663">
        <v>65</v>
      </c>
      <c r="AY17" s="1661">
        <v>133</v>
      </c>
      <c r="AZ17" s="1663">
        <v>113</v>
      </c>
      <c r="BA17" s="1632">
        <v>190</v>
      </c>
      <c r="BB17" s="1688">
        <f t="shared" si="26"/>
        <v>0.7384615384615385</v>
      </c>
      <c r="BC17" s="1673"/>
      <c r="BD17" s="1663">
        <v>9</v>
      </c>
      <c r="BE17" s="1661">
        <v>15</v>
      </c>
      <c r="BF17" s="1663">
        <v>30</v>
      </c>
      <c r="BG17" s="1681">
        <v>40</v>
      </c>
      <c r="BH17" s="1688">
        <f t="shared" si="27"/>
        <v>2.3333333333333335</v>
      </c>
      <c r="BI17" s="1673"/>
      <c r="BJ17" s="1663">
        <v>78</v>
      </c>
      <c r="BK17" s="1661">
        <v>127</v>
      </c>
      <c r="BL17" s="1663">
        <v>67</v>
      </c>
      <c r="BM17" s="1681">
        <v>127</v>
      </c>
      <c r="BN17" s="1688">
        <f t="shared" si="28"/>
        <v>-0.14102564102564108</v>
      </c>
      <c r="BO17" s="1673"/>
      <c r="BP17" s="1663">
        <v>7</v>
      </c>
      <c r="BQ17" s="1661">
        <v>127</v>
      </c>
      <c r="BR17" s="1663">
        <v>16</v>
      </c>
      <c r="BS17" s="1681"/>
      <c r="BT17" s="1688">
        <f t="shared" si="29"/>
        <v>1.2857142857142856</v>
      </c>
      <c r="BU17" s="1673"/>
      <c r="BV17" s="1663">
        <v>14</v>
      </c>
      <c r="BW17" s="1661">
        <v>24</v>
      </c>
      <c r="BX17" s="1663">
        <v>28</v>
      </c>
      <c r="BY17" s="1682">
        <v>39</v>
      </c>
      <c r="BZ17" s="1688">
        <f t="shared" si="30"/>
        <v>1</v>
      </c>
      <c r="CA17" s="18"/>
      <c r="CD17" s="569">
        <f t="shared" ref="CD17:CD38" si="31">K17</f>
        <v>0</v>
      </c>
      <c r="CE17" s="570"/>
      <c r="CF17" s="571"/>
      <c r="CG17" s="571">
        <v>0</v>
      </c>
      <c r="CH17" s="569">
        <f t="shared" ref="CH17:CH38" si="32">N17</f>
        <v>0</v>
      </c>
    </row>
    <row r="18" spans="1:86" s="2" customFormat="1">
      <c r="A18" s="1877"/>
      <c r="B18" s="1880"/>
      <c r="C18" s="492">
        <v>6.2</v>
      </c>
      <c r="D18" s="1683" t="s">
        <v>2525</v>
      </c>
      <c r="E18" s="1684" t="s">
        <v>1223</v>
      </c>
      <c r="F18" s="1658" t="s">
        <v>1317</v>
      </c>
      <c r="G18" s="1643"/>
      <c r="H18" s="1689"/>
      <c r="I18" s="1470"/>
      <c r="J18" s="1685">
        <f t="shared" si="19"/>
        <v>230.6</v>
      </c>
      <c r="K18" s="1906"/>
      <c r="L18" s="1685">
        <f t="shared" si="20"/>
        <v>275.7</v>
      </c>
      <c r="M18" s="1906"/>
      <c r="N18" s="1662">
        <f t="shared" si="15"/>
        <v>0</v>
      </c>
      <c r="O18" s="1912"/>
      <c r="P18" s="1912"/>
      <c r="Q18" s="1915"/>
      <c r="R18" s="1691"/>
      <c r="S18" s="1673"/>
      <c r="T18" s="1663">
        <v>21</v>
      </c>
      <c r="U18" s="1661">
        <v>21</v>
      </c>
      <c r="V18" s="1663">
        <v>16</v>
      </c>
      <c r="W18" s="1681">
        <v>16</v>
      </c>
      <c r="X18" s="1688">
        <f t="shared" si="21"/>
        <v>-0.23809523809523814</v>
      </c>
      <c r="Y18" s="1673"/>
      <c r="Z18" s="1663">
        <v>244</v>
      </c>
      <c r="AA18" s="1661">
        <v>251</v>
      </c>
      <c r="AB18" s="1663">
        <v>266</v>
      </c>
      <c r="AC18" s="1681">
        <v>264</v>
      </c>
      <c r="AD18" s="1688">
        <f t="shared" si="22"/>
        <v>9.0163934426229497E-2</v>
      </c>
      <c r="AE18" s="1673"/>
      <c r="AF18" s="1663">
        <v>328</v>
      </c>
      <c r="AG18" s="1661">
        <v>338</v>
      </c>
      <c r="AH18" s="1663">
        <v>450</v>
      </c>
      <c r="AI18" s="1681">
        <v>439</v>
      </c>
      <c r="AJ18" s="1688">
        <f t="shared" si="23"/>
        <v>0.37195121951219523</v>
      </c>
      <c r="AK18" s="1673"/>
      <c r="AL18" s="1663">
        <v>48</v>
      </c>
      <c r="AM18" s="1661">
        <v>43</v>
      </c>
      <c r="AN18" s="1663">
        <v>69</v>
      </c>
      <c r="AO18" s="1681">
        <v>70</v>
      </c>
      <c r="AP18" s="1688">
        <f t="shared" si="24"/>
        <v>0.4375</v>
      </c>
      <c r="AQ18" s="1673"/>
      <c r="AR18" s="1663">
        <v>485</v>
      </c>
      <c r="AS18" s="1661">
        <v>477</v>
      </c>
      <c r="AT18" s="1663">
        <v>574</v>
      </c>
      <c r="AU18" s="1681">
        <v>556</v>
      </c>
      <c r="AV18" s="1688">
        <f t="shared" si="25"/>
        <v>0.18350515463917527</v>
      </c>
      <c r="AW18" s="1673"/>
      <c r="AX18" s="1663">
        <v>596</v>
      </c>
      <c r="AY18" s="1661">
        <v>610</v>
      </c>
      <c r="AZ18" s="1663">
        <v>700</v>
      </c>
      <c r="BA18" s="1633">
        <v>685</v>
      </c>
      <c r="BB18" s="1688">
        <f t="shared" si="26"/>
        <v>0.17449664429530198</v>
      </c>
      <c r="BC18" s="1673"/>
      <c r="BD18" s="1663">
        <v>43</v>
      </c>
      <c r="BE18" s="1661">
        <v>42</v>
      </c>
      <c r="BF18" s="1663">
        <v>73</v>
      </c>
      <c r="BG18" s="1681">
        <v>64</v>
      </c>
      <c r="BH18" s="1688">
        <f t="shared" si="27"/>
        <v>0.69767441860465107</v>
      </c>
      <c r="BI18" s="1673"/>
      <c r="BJ18" s="1663">
        <v>423</v>
      </c>
      <c r="BK18" s="1661">
        <v>426</v>
      </c>
      <c r="BL18" s="1663">
        <v>480</v>
      </c>
      <c r="BM18" s="1681">
        <v>484</v>
      </c>
      <c r="BN18" s="1688">
        <f t="shared" si="28"/>
        <v>0.13475177304964547</v>
      </c>
      <c r="BO18" s="1673"/>
      <c r="BP18" s="1663">
        <v>47</v>
      </c>
      <c r="BQ18" s="1661">
        <v>45</v>
      </c>
      <c r="BR18" s="1663">
        <v>52</v>
      </c>
      <c r="BS18" s="1681">
        <v>50</v>
      </c>
      <c r="BT18" s="1688">
        <f t="shared" si="29"/>
        <v>0.1063829787234043</v>
      </c>
      <c r="BU18" s="1673"/>
      <c r="BV18" s="1663">
        <v>71</v>
      </c>
      <c r="BW18" s="1661">
        <v>62</v>
      </c>
      <c r="BX18" s="1663">
        <v>77</v>
      </c>
      <c r="BY18" s="1682">
        <v>74</v>
      </c>
      <c r="BZ18" s="1688">
        <f t="shared" si="30"/>
        <v>8.4507042253521236E-2</v>
      </c>
      <c r="CA18" s="18"/>
      <c r="CD18" s="569">
        <f t="shared" si="31"/>
        <v>0</v>
      </c>
      <c r="CE18" s="570"/>
      <c r="CF18" s="571"/>
      <c r="CG18" s="571">
        <v>0</v>
      </c>
      <c r="CH18" s="569">
        <f t="shared" si="32"/>
        <v>0</v>
      </c>
    </row>
    <row r="19" spans="1:86" s="2" customFormat="1">
      <c r="A19" s="1890" t="s">
        <v>1324</v>
      </c>
      <c r="B19" s="1891" t="s">
        <v>1325</v>
      </c>
      <c r="C19" s="23">
        <v>7</v>
      </c>
      <c r="D19" s="20" t="s">
        <v>1323</v>
      </c>
      <c r="E19" s="485"/>
      <c r="F19" s="51"/>
      <c r="G19" s="51" t="s">
        <v>1279</v>
      </c>
      <c r="H19" s="50" t="s">
        <v>1300</v>
      </c>
      <c r="I19" s="493">
        <v>6</v>
      </c>
      <c r="J19" s="245">
        <f t="shared" si="19"/>
        <v>1</v>
      </c>
      <c r="K19" s="432">
        <f>AVERAGE(BW19,BQ19,BK19,BE19,AY19,AS19,AM19,AG19,AA19,U19)</f>
        <v>6</v>
      </c>
      <c r="L19" s="245">
        <f t="shared" si="20"/>
        <v>1</v>
      </c>
      <c r="M19" s="432">
        <f>AVERAGE(BY19,BS19,BM19,BG19,BA19,AU19,AO19,AI19,AC19,W19)</f>
        <v>6</v>
      </c>
      <c r="N19" s="502">
        <f t="shared" si="15"/>
        <v>0</v>
      </c>
      <c r="O19" s="65">
        <f t="shared" si="0"/>
        <v>0</v>
      </c>
      <c r="P19" s="500">
        <f t="shared" si="16"/>
        <v>0</v>
      </c>
      <c r="Q19" s="816">
        <f t="shared" si="17"/>
        <v>0</v>
      </c>
      <c r="R19" s="815">
        <f t="shared" si="18"/>
        <v>0</v>
      </c>
      <c r="S19" s="510"/>
      <c r="T19" s="1610">
        <v>1</v>
      </c>
      <c r="U19" s="1609"/>
      <c r="V19" s="1610">
        <v>1</v>
      </c>
      <c r="W19" s="1609"/>
      <c r="X19" s="167">
        <f t="shared" si="21"/>
        <v>0</v>
      </c>
      <c r="Y19" s="510"/>
      <c r="Z19" s="1613">
        <v>1</v>
      </c>
      <c r="AA19" s="1612">
        <v>6</v>
      </c>
      <c r="AB19" s="1613">
        <v>1</v>
      </c>
      <c r="AC19" s="1612"/>
      <c r="AD19" s="167">
        <f t="shared" si="22"/>
        <v>0</v>
      </c>
      <c r="AE19" s="510"/>
      <c r="AF19" s="1616">
        <v>1</v>
      </c>
      <c r="AG19" s="1615"/>
      <c r="AH19" s="1616">
        <v>1</v>
      </c>
      <c r="AI19" s="1615"/>
      <c r="AJ19" s="167">
        <f t="shared" si="23"/>
        <v>0</v>
      </c>
      <c r="AK19" s="510"/>
      <c r="AL19" s="1620">
        <v>1</v>
      </c>
      <c r="AM19" s="1618"/>
      <c r="AN19" s="1620">
        <v>1</v>
      </c>
      <c r="AO19" s="1618"/>
      <c r="AP19" s="167">
        <f t="shared" si="24"/>
        <v>0</v>
      </c>
      <c r="AQ19" s="510"/>
      <c r="AR19" s="1624">
        <v>1</v>
      </c>
      <c r="AS19" s="1623"/>
      <c r="AT19" s="1624">
        <v>1</v>
      </c>
      <c r="AU19" s="1623"/>
      <c r="AV19" s="1619">
        <f t="shared" si="25"/>
        <v>0</v>
      </c>
      <c r="AW19" s="1622"/>
      <c r="AX19" s="1628">
        <v>1</v>
      </c>
      <c r="AY19" s="1627"/>
      <c r="AZ19" s="1628">
        <v>1</v>
      </c>
      <c r="BA19" s="1627"/>
      <c r="BB19" s="167">
        <f t="shared" si="26"/>
        <v>0</v>
      </c>
      <c r="BC19" s="510"/>
      <c r="BD19" s="1635">
        <v>1</v>
      </c>
      <c r="BE19" s="1634"/>
      <c r="BF19" s="1635">
        <v>1</v>
      </c>
      <c r="BG19" s="1634"/>
      <c r="BH19" s="167">
        <f t="shared" si="27"/>
        <v>0</v>
      </c>
      <c r="BI19" s="510"/>
      <c r="BJ19" s="1638">
        <v>1</v>
      </c>
      <c r="BK19" s="1637"/>
      <c r="BL19" s="1638">
        <v>1</v>
      </c>
      <c r="BM19" s="1637"/>
      <c r="BN19" s="167">
        <f t="shared" si="28"/>
        <v>0</v>
      </c>
      <c r="BO19" s="510"/>
      <c r="BP19" s="1645">
        <v>1</v>
      </c>
      <c r="BQ19" s="1641"/>
      <c r="BR19" s="1645">
        <v>1</v>
      </c>
      <c r="BS19" s="1641"/>
      <c r="BT19" s="167">
        <f t="shared" si="29"/>
        <v>0</v>
      </c>
      <c r="BU19" s="510"/>
      <c r="BV19" s="1645">
        <f>BV20/BV21</f>
        <v>1</v>
      </c>
      <c r="BW19" s="1641"/>
      <c r="BX19" s="1645">
        <f>BX20/BX21</f>
        <v>1</v>
      </c>
      <c r="BY19" s="1641">
        <f>IF(BX19&gt;=0.95,6,IF(BX19&gt;0.9,2,0))</f>
        <v>6</v>
      </c>
      <c r="BZ19" s="1642">
        <f t="shared" si="30"/>
        <v>0</v>
      </c>
      <c r="CA19" s="18"/>
      <c r="CD19" s="569">
        <f t="shared" si="31"/>
        <v>6</v>
      </c>
      <c r="CE19" s="570">
        <v>1</v>
      </c>
      <c r="CF19" s="571">
        <f>M19</f>
        <v>6</v>
      </c>
      <c r="CG19" s="571">
        <v>0</v>
      </c>
      <c r="CH19" s="569">
        <f t="shared" si="32"/>
        <v>0</v>
      </c>
    </row>
    <row r="20" spans="1:86" s="2" customFormat="1">
      <c r="A20" s="1876"/>
      <c r="B20" s="1879"/>
      <c r="C20" s="492">
        <v>7.1</v>
      </c>
      <c r="D20" s="1683" t="s">
        <v>1326</v>
      </c>
      <c r="E20" s="1684" t="s">
        <v>1223</v>
      </c>
      <c r="F20" s="1658" t="s">
        <v>1317</v>
      </c>
      <c r="G20" s="1643"/>
      <c r="H20" s="1663"/>
      <c r="I20" s="1643"/>
      <c r="J20" s="1694">
        <f t="shared" si="19"/>
        <v>228.8</v>
      </c>
      <c r="K20" s="1686"/>
      <c r="L20" s="1694">
        <f t="shared" si="20"/>
        <v>274.7</v>
      </c>
      <c r="M20" s="1686"/>
      <c r="N20" s="1662">
        <f t="shared" si="15"/>
        <v>0</v>
      </c>
      <c r="O20" s="1687">
        <f t="shared" si="0"/>
        <v>0</v>
      </c>
      <c r="P20" s="1662">
        <f t="shared" si="16"/>
        <v>0</v>
      </c>
      <c r="Q20" s="1671">
        <f t="shared" si="17"/>
        <v>0</v>
      </c>
      <c r="R20" s="1672">
        <f t="shared" si="18"/>
        <v>0</v>
      </c>
      <c r="S20" s="1673"/>
      <c r="T20" s="1663">
        <v>21</v>
      </c>
      <c r="U20" s="1661">
        <v>21</v>
      </c>
      <c r="V20" s="1663">
        <v>15</v>
      </c>
      <c r="W20" s="1661">
        <v>16</v>
      </c>
      <c r="X20" s="1688">
        <f t="shared" si="21"/>
        <v>-0.2857142857142857</v>
      </c>
      <c r="Y20" s="1673"/>
      <c r="Z20" s="1663">
        <v>242</v>
      </c>
      <c r="AA20" s="1661">
        <v>251</v>
      </c>
      <c r="AB20" s="1663">
        <v>265</v>
      </c>
      <c r="AC20" s="1661">
        <v>264</v>
      </c>
      <c r="AD20" s="1688">
        <f t="shared" si="22"/>
        <v>9.5041322314049603E-2</v>
      </c>
      <c r="AE20" s="1673"/>
      <c r="AF20" s="1663">
        <v>326</v>
      </c>
      <c r="AG20" s="1661">
        <v>338</v>
      </c>
      <c r="AH20" s="1663">
        <v>447</v>
      </c>
      <c r="AI20" s="1661">
        <v>439</v>
      </c>
      <c r="AJ20" s="1688">
        <f t="shared" si="23"/>
        <v>0.37116564417177922</v>
      </c>
      <c r="AK20" s="1673"/>
      <c r="AL20" s="1663">
        <v>48</v>
      </c>
      <c r="AM20" s="1661">
        <v>43</v>
      </c>
      <c r="AN20" s="1663">
        <v>69</v>
      </c>
      <c r="AO20" s="1661">
        <v>70</v>
      </c>
      <c r="AP20" s="1688">
        <f t="shared" si="24"/>
        <v>0.4375</v>
      </c>
      <c r="AQ20" s="1673"/>
      <c r="AR20" s="1663">
        <v>481</v>
      </c>
      <c r="AS20" s="1661">
        <v>477</v>
      </c>
      <c r="AT20" s="1663">
        <v>574</v>
      </c>
      <c r="AU20" s="1661">
        <v>556</v>
      </c>
      <c r="AV20" s="1688">
        <f t="shared" si="25"/>
        <v>0.1933471933471933</v>
      </c>
      <c r="AW20" s="1673"/>
      <c r="AX20" s="1663">
        <v>593</v>
      </c>
      <c r="AY20" s="1661">
        <v>610</v>
      </c>
      <c r="AZ20" s="1663">
        <v>698</v>
      </c>
      <c r="BA20" s="1661">
        <v>685</v>
      </c>
      <c r="BB20" s="1688">
        <f t="shared" si="26"/>
        <v>0.17706576728499157</v>
      </c>
      <c r="BC20" s="1673"/>
      <c r="BD20" s="1663">
        <v>43</v>
      </c>
      <c r="BE20" s="1661">
        <v>42</v>
      </c>
      <c r="BF20" s="1663">
        <v>72</v>
      </c>
      <c r="BG20" s="1661">
        <v>64</v>
      </c>
      <c r="BH20" s="1688">
        <f t="shared" si="27"/>
        <v>0.67441860465116288</v>
      </c>
      <c r="BI20" s="1673"/>
      <c r="BJ20" s="1663">
        <v>418</v>
      </c>
      <c r="BK20" s="1661">
        <v>426</v>
      </c>
      <c r="BL20" s="1663">
        <v>478</v>
      </c>
      <c r="BM20" s="1661">
        <v>484</v>
      </c>
      <c r="BN20" s="1688">
        <f t="shared" si="28"/>
        <v>0.14354066985645941</v>
      </c>
      <c r="BO20" s="1673"/>
      <c r="BP20" s="1663">
        <v>47</v>
      </c>
      <c r="BQ20" s="1661">
        <v>45</v>
      </c>
      <c r="BR20" s="1663">
        <v>52</v>
      </c>
      <c r="BS20" s="1661">
        <v>50</v>
      </c>
      <c r="BT20" s="1688">
        <f t="shared" si="29"/>
        <v>0.1063829787234043</v>
      </c>
      <c r="BU20" s="1673"/>
      <c r="BV20" s="1663">
        <v>69</v>
      </c>
      <c r="BW20" s="1661">
        <v>62</v>
      </c>
      <c r="BX20" s="1663">
        <v>77</v>
      </c>
      <c r="BY20" s="1661">
        <v>74</v>
      </c>
      <c r="BZ20" s="1688">
        <f t="shared" si="30"/>
        <v>0.11594202898550732</v>
      </c>
      <c r="CA20" s="18"/>
      <c r="CD20" s="569">
        <f t="shared" si="31"/>
        <v>0</v>
      </c>
      <c r="CE20" s="570"/>
      <c r="CF20" s="571"/>
      <c r="CG20" s="571">
        <v>0</v>
      </c>
      <c r="CH20" s="569">
        <f t="shared" si="32"/>
        <v>0</v>
      </c>
    </row>
    <row r="21" spans="1:86" s="2" customFormat="1">
      <c r="A21" s="1877"/>
      <c r="B21" s="1880"/>
      <c r="C21" s="492">
        <v>7.2</v>
      </c>
      <c r="D21" s="1683" t="s">
        <v>2529</v>
      </c>
      <c r="E21" s="1684" t="s">
        <v>1223</v>
      </c>
      <c r="F21" s="1658" t="s">
        <v>1317</v>
      </c>
      <c r="G21" s="1643"/>
      <c r="H21" s="1663"/>
      <c r="I21" s="1643"/>
      <c r="J21" s="1694">
        <f t="shared" si="19"/>
        <v>228.8</v>
      </c>
      <c r="K21" s="1686"/>
      <c r="L21" s="1694">
        <f t="shared" si="20"/>
        <v>274.7</v>
      </c>
      <c r="M21" s="1686"/>
      <c r="N21" s="1662">
        <f t="shared" si="15"/>
        <v>0</v>
      </c>
      <c r="O21" s="1687">
        <f t="shared" si="0"/>
        <v>0</v>
      </c>
      <c r="P21" s="1662">
        <f t="shared" si="16"/>
        <v>0</v>
      </c>
      <c r="Q21" s="1671">
        <f t="shared" si="17"/>
        <v>0</v>
      </c>
      <c r="R21" s="1672">
        <f t="shared" si="18"/>
        <v>0</v>
      </c>
      <c r="S21" s="1673"/>
      <c r="T21" s="1663">
        <v>21</v>
      </c>
      <c r="U21" s="1661">
        <v>21</v>
      </c>
      <c r="V21" s="1663">
        <v>15</v>
      </c>
      <c r="W21" s="1661">
        <v>15</v>
      </c>
      <c r="X21" s="1688">
        <f t="shared" si="21"/>
        <v>-0.2857142857142857</v>
      </c>
      <c r="Y21" s="1673"/>
      <c r="Z21" s="1663">
        <v>242</v>
      </c>
      <c r="AA21" s="1661">
        <v>246</v>
      </c>
      <c r="AB21" s="1663">
        <v>265</v>
      </c>
      <c r="AC21" s="1661">
        <v>265</v>
      </c>
      <c r="AD21" s="1688">
        <f t="shared" si="22"/>
        <v>9.5041322314049603E-2</v>
      </c>
      <c r="AE21" s="1673"/>
      <c r="AF21" s="1663">
        <v>326</v>
      </c>
      <c r="AG21" s="1661">
        <v>326</v>
      </c>
      <c r="AH21" s="1663">
        <v>447</v>
      </c>
      <c r="AI21" s="1661">
        <v>447</v>
      </c>
      <c r="AJ21" s="1688">
        <f t="shared" si="23"/>
        <v>0.37116564417177922</v>
      </c>
      <c r="AK21" s="1673"/>
      <c r="AL21" s="1663">
        <v>48</v>
      </c>
      <c r="AM21" s="1661">
        <v>48</v>
      </c>
      <c r="AN21" s="1663">
        <v>69</v>
      </c>
      <c r="AO21" s="1661">
        <v>69</v>
      </c>
      <c r="AP21" s="1688">
        <f t="shared" si="24"/>
        <v>0.4375</v>
      </c>
      <c r="AQ21" s="1673"/>
      <c r="AR21" s="1663">
        <v>481</v>
      </c>
      <c r="AS21" s="1661">
        <v>481</v>
      </c>
      <c r="AT21" s="1663">
        <v>574</v>
      </c>
      <c r="AU21" s="1661">
        <v>574</v>
      </c>
      <c r="AV21" s="1688">
        <f t="shared" si="25"/>
        <v>0.1933471933471933</v>
      </c>
      <c r="AW21" s="1673"/>
      <c r="AX21" s="1663">
        <v>593</v>
      </c>
      <c r="AY21" s="1661">
        <v>593</v>
      </c>
      <c r="AZ21" s="1663">
        <v>698</v>
      </c>
      <c r="BA21" s="1661">
        <v>698</v>
      </c>
      <c r="BB21" s="1688">
        <f t="shared" si="26"/>
        <v>0.17706576728499157</v>
      </c>
      <c r="BC21" s="1673"/>
      <c r="BD21" s="1663">
        <v>43</v>
      </c>
      <c r="BE21" s="1661">
        <v>43</v>
      </c>
      <c r="BF21" s="1663">
        <v>72</v>
      </c>
      <c r="BG21" s="1661">
        <v>72</v>
      </c>
      <c r="BH21" s="1688">
        <f t="shared" si="27"/>
        <v>0.67441860465116288</v>
      </c>
      <c r="BI21" s="1673"/>
      <c r="BJ21" s="1663">
        <v>418</v>
      </c>
      <c r="BK21" s="1661">
        <v>418</v>
      </c>
      <c r="BL21" s="1663">
        <v>478</v>
      </c>
      <c r="BM21" s="1661">
        <v>478</v>
      </c>
      <c r="BN21" s="1688">
        <f t="shared" si="28"/>
        <v>0.14354066985645941</v>
      </c>
      <c r="BO21" s="1673"/>
      <c r="BP21" s="1663">
        <v>47</v>
      </c>
      <c r="BQ21" s="1661">
        <v>47</v>
      </c>
      <c r="BR21" s="1663">
        <v>52</v>
      </c>
      <c r="BS21" s="1661">
        <v>52</v>
      </c>
      <c r="BT21" s="1688">
        <f t="shared" si="29"/>
        <v>0.1063829787234043</v>
      </c>
      <c r="BU21" s="1673"/>
      <c r="BV21" s="1663">
        <v>69</v>
      </c>
      <c r="BW21" s="1661">
        <v>70</v>
      </c>
      <c r="BX21" s="1663">
        <v>77</v>
      </c>
      <c r="BY21" s="1661">
        <v>77</v>
      </c>
      <c r="BZ21" s="1688">
        <f t="shared" si="30"/>
        <v>0.11594202898550732</v>
      </c>
      <c r="CA21" s="18"/>
      <c r="CD21" s="569">
        <f t="shared" si="31"/>
        <v>0</v>
      </c>
      <c r="CE21" s="570"/>
      <c r="CF21" s="571"/>
      <c r="CG21" s="571">
        <v>0</v>
      </c>
      <c r="CH21" s="569">
        <f t="shared" si="32"/>
        <v>0</v>
      </c>
    </row>
    <row r="22" spans="1:86" s="2" customFormat="1">
      <c r="A22" s="1890" t="s">
        <v>1327</v>
      </c>
      <c r="B22" s="1891" t="s">
        <v>2053</v>
      </c>
      <c r="C22" s="23">
        <v>8</v>
      </c>
      <c r="D22" s="20" t="s">
        <v>2052</v>
      </c>
      <c r="E22" s="485"/>
      <c r="F22" s="51"/>
      <c r="G22" s="51" t="s">
        <v>1279</v>
      </c>
      <c r="H22" s="50" t="s">
        <v>1300</v>
      </c>
      <c r="I22" s="493">
        <v>4</v>
      </c>
      <c r="J22" s="245">
        <f t="shared" si="19"/>
        <v>1.5902292237165686E-3</v>
      </c>
      <c r="K22" s="432">
        <f>AVERAGE(BW22,BQ22,BK22,BE22,AY22,AS22,AM22,AG22,AA22,U22)</f>
        <v>4</v>
      </c>
      <c r="L22" s="245">
        <f t="shared" si="20"/>
        <v>1.4789077515953426E-3</v>
      </c>
      <c r="M22" s="432">
        <f>AVERAGE(BY22,BS22,BM22,BG22,BA22,AU22,AO22,AI22,AC22,W22)</f>
        <v>4</v>
      </c>
      <c r="N22" s="502">
        <f t="shared" si="15"/>
        <v>0</v>
      </c>
      <c r="O22" s="65">
        <f t="shared" si="0"/>
        <v>0</v>
      </c>
      <c r="P22" s="500">
        <f t="shared" si="16"/>
        <v>0</v>
      </c>
      <c r="Q22" s="816">
        <f t="shared" si="17"/>
        <v>0</v>
      </c>
      <c r="R22" s="815">
        <f t="shared" si="18"/>
        <v>0</v>
      </c>
      <c r="S22" s="510"/>
      <c r="T22" s="1610">
        <v>0</v>
      </c>
      <c r="U22" s="1611"/>
      <c r="V22" s="1610">
        <v>0</v>
      </c>
      <c r="W22" s="1611"/>
      <c r="X22" s="167">
        <f t="shared" si="21"/>
        <v>0</v>
      </c>
      <c r="Y22" s="510"/>
      <c r="Z22" s="1613">
        <v>3.1469841985289526E-3</v>
      </c>
      <c r="AA22" s="1614">
        <v>4</v>
      </c>
      <c r="AB22" s="1613">
        <v>1.5211895132335E-3</v>
      </c>
      <c r="AC22" s="1614"/>
      <c r="AD22" s="167">
        <f t="shared" si="22"/>
        <v>-0.51661990741975283</v>
      </c>
      <c r="AE22" s="510"/>
      <c r="AF22" s="1616">
        <v>2.4467432766885951E-3</v>
      </c>
      <c r="AG22" s="1617"/>
      <c r="AH22" s="1616">
        <v>1.7684316154687517E-3</v>
      </c>
      <c r="AI22" s="1617"/>
      <c r="AJ22" s="167">
        <f t="shared" si="23"/>
        <v>-0.27723041795290659</v>
      </c>
      <c r="AK22" s="510"/>
      <c r="AL22" s="1620">
        <v>4.64365611643561E-4</v>
      </c>
      <c r="AM22" s="1621"/>
      <c r="AN22" s="1620">
        <v>1.0027301204000793E-3</v>
      </c>
      <c r="AO22" s="1621"/>
      <c r="AP22" s="167">
        <f t="shared" si="24"/>
        <v>1.159354817104238</v>
      </c>
      <c r="AQ22" s="510"/>
      <c r="AR22" s="1625">
        <v>7.7872144889375291E-4</v>
      </c>
      <c r="AS22" s="1626"/>
      <c r="AT22" s="1625">
        <v>1.2664504433854786E-3</v>
      </c>
      <c r="AU22" s="1626"/>
      <c r="AV22" s="1619">
        <f t="shared" si="25"/>
        <v>0.62632022680843158</v>
      </c>
      <c r="AW22" s="1622"/>
      <c r="AX22" s="1628">
        <v>4.3829614973091022E-3</v>
      </c>
      <c r="AY22" s="1629"/>
      <c r="AZ22" s="1628">
        <v>5.0277752761106152E-3</v>
      </c>
      <c r="BA22" s="1629"/>
      <c r="BB22" s="167">
        <f t="shared" si="26"/>
        <v>0.14711828502198654</v>
      </c>
      <c r="BC22" s="510"/>
      <c r="BD22" s="1635">
        <v>1.2581446937234932E-3</v>
      </c>
      <c r="BE22" s="1636"/>
      <c r="BF22" s="1635">
        <v>6.5449782580478152E-4</v>
      </c>
      <c r="BG22" s="1636"/>
      <c r="BH22" s="167">
        <f t="shared" si="27"/>
        <v>-0.47979129183640401</v>
      </c>
      <c r="BI22" s="510"/>
      <c r="BJ22" s="1638">
        <v>2.0563809364927397E-3</v>
      </c>
      <c r="BK22" s="1639"/>
      <c r="BL22" s="1638">
        <v>1.8901948117608287E-3</v>
      </c>
      <c r="BM22" s="1639"/>
      <c r="BN22" s="167">
        <f t="shared" si="28"/>
        <v>-8.0814853796179253E-2</v>
      </c>
      <c r="BO22" s="510"/>
      <c r="BP22" s="1645">
        <v>9.5299948130616978E-4</v>
      </c>
      <c r="BQ22" s="1646"/>
      <c r="BR22" s="1645">
        <v>4.5040839995629507E-5</v>
      </c>
      <c r="BS22" s="1646"/>
      <c r="BT22" s="167">
        <f t="shared" si="29"/>
        <v>-0.95273781268600788</v>
      </c>
      <c r="BU22" s="510"/>
      <c r="BV22" s="1645">
        <f>BV23/BV24</f>
        <v>4.1499109257931501E-4</v>
      </c>
      <c r="BW22" s="1646"/>
      <c r="BX22" s="1645">
        <f>BX23/BX24</f>
        <v>1.612767069793763E-3</v>
      </c>
      <c r="BY22" s="1646">
        <f>IF(BX22&lt;=0.2,4,0)</f>
        <v>4</v>
      </c>
      <c r="BZ22" s="1642">
        <f t="shared" si="30"/>
        <v>2.8862691239222769</v>
      </c>
      <c r="CA22" s="18"/>
      <c r="CD22" s="569">
        <f t="shared" si="31"/>
        <v>4</v>
      </c>
      <c r="CE22" s="570">
        <v>1</v>
      </c>
      <c r="CF22" s="571">
        <f>M22</f>
        <v>4</v>
      </c>
      <c r="CG22" s="571">
        <v>0</v>
      </c>
      <c r="CH22" s="569">
        <f t="shared" si="32"/>
        <v>0</v>
      </c>
    </row>
    <row r="23" spans="1:86" s="2" customFormat="1">
      <c r="A23" s="1876"/>
      <c r="B23" s="1879"/>
      <c r="C23" s="492">
        <v>8.1</v>
      </c>
      <c r="D23" s="1683" t="s">
        <v>1328</v>
      </c>
      <c r="E23" s="1684" t="s">
        <v>1223</v>
      </c>
      <c r="F23" s="1658" t="s">
        <v>1317</v>
      </c>
      <c r="G23" s="1643"/>
      <c r="H23" s="1663"/>
      <c r="I23" s="1643"/>
      <c r="J23" s="1694">
        <f t="shared" si="19"/>
        <v>5546.2300000000005</v>
      </c>
      <c r="K23" s="1686"/>
      <c r="L23" s="1694">
        <f t="shared" si="20"/>
        <v>5061.6470000000008</v>
      </c>
      <c r="M23" s="1686"/>
      <c r="N23" s="1662">
        <f t="shared" si="15"/>
        <v>0</v>
      </c>
      <c r="O23" s="1687">
        <f t="shared" si="0"/>
        <v>0</v>
      </c>
      <c r="P23" s="1662">
        <f t="shared" si="16"/>
        <v>0</v>
      </c>
      <c r="Q23" s="1671">
        <f t="shared" si="17"/>
        <v>0</v>
      </c>
      <c r="R23" s="1672">
        <f t="shared" si="18"/>
        <v>0</v>
      </c>
      <c r="S23" s="1673"/>
      <c r="T23" s="1663">
        <v>0</v>
      </c>
      <c r="U23" s="1661">
        <v>50000</v>
      </c>
      <c r="V23" s="1663">
        <v>0</v>
      </c>
      <c r="W23" s="1661">
        <v>0</v>
      </c>
      <c r="X23" s="1688">
        <f t="shared" si="21"/>
        <v>0</v>
      </c>
      <c r="Y23" s="1673"/>
      <c r="Z23" s="1663">
        <v>11188.69</v>
      </c>
      <c r="AA23" s="1661">
        <v>11188.69</v>
      </c>
      <c r="AB23" s="1663">
        <v>5560.21</v>
      </c>
      <c r="AC23" s="1663">
        <v>5560.21</v>
      </c>
      <c r="AD23" s="1688">
        <f t="shared" si="22"/>
        <v>-0.50305084866950467</v>
      </c>
      <c r="AE23" s="1673"/>
      <c r="AF23" s="1663">
        <v>11665.34</v>
      </c>
      <c r="AG23" s="1661">
        <v>11665.34</v>
      </c>
      <c r="AH23" s="1663">
        <v>9717.84</v>
      </c>
      <c r="AI23" s="1663">
        <v>9717.84</v>
      </c>
      <c r="AJ23" s="1688">
        <f t="shared" si="23"/>
        <v>-0.16694755575062536</v>
      </c>
      <c r="AK23" s="1673"/>
      <c r="AL23" s="1663">
        <v>190.95</v>
      </c>
      <c r="AM23" s="1661">
        <v>190.95</v>
      </c>
      <c r="AN23" s="1663">
        <v>823.33</v>
      </c>
      <c r="AO23" s="1663">
        <v>823.33</v>
      </c>
      <c r="AP23" s="1688">
        <f t="shared" si="24"/>
        <v>3.3117570044514277</v>
      </c>
      <c r="AQ23" s="1673"/>
      <c r="AR23" s="1663">
        <v>4101.07</v>
      </c>
      <c r="AS23" s="1661">
        <v>4101.07</v>
      </c>
      <c r="AT23" s="1663">
        <v>5924.87</v>
      </c>
      <c r="AU23" s="1663">
        <v>5924.87</v>
      </c>
      <c r="AV23" s="1688">
        <f t="shared" si="25"/>
        <v>0.44471320899179978</v>
      </c>
      <c r="AW23" s="1673"/>
      <c r="AX23" s="1663">
        <v>21175.14</v>
      </c>
      <c r="AY23" s="1630">
        <v>71175.14</v>
      </c>
      <c r="AZ23" s="1663">
        <v>22574.74</v>
      </c>
      <c r="BA23" s="1663">
        <v>22574.74</v>
      </c>
      <c r="BB23" s="1688">
        <f t="shared" si="26"/>
        <v>6.6096375277802322E-2</v>
      </c>
      <c r="BC23" s="1673"/>
      <c r="BD23" s="1663">
        <v>1145.5899999999999</v>
      </c>
      <c r="BE23" s="1661">
        <v>1145.5899999999999</v>
      </c>
      <c r="BF23" s="1663">
        <v>675.32</v>
      </c>
      <c r="BG23" s="1663">
        <v>675.32</v>
      </c>
      <c r="BH23" s="1688">
        <f t="shared" si="27"/>
        <v>-0.4105046308015956</v>
      </c>
      <c r="BI23" s="1673"/>
      <c r="BJ23" s="1663">
        <v>4301.45</v>
      </c>
      <c r="BK23" s="1661">
        <v>4301.45</v>
      </c>
      <c r="BL23" s="1663">
        <v>4726.76</v>
      </c>
      <c r="BM23" s="1663">
        <v>4726.76</v>
      </c>
      <c r="BN23" s="1688">
        <f t="shared" si="28"/>
        <v>9.8875960431947574E-2</v>
      </c>
      <c r="BO23" s="1673"/>
      <c r="BP23" s="1663">
        <v>1294.07</v>
      </c>
      <c r="BQ23" s="1661">
        <v>1294.07</v>
      </c>
      <c r="BR23" s="1663">
        <v>35.67</v>
      </c>
      <c r="BS23" s="1663">
        <v>35.67</v>
      </c>
      <c r="BT23" s="1688">
        <f t="shared" si="29"/>
        <v>-0.97243580331821311</v>
      </c>
      <c r="BU23" s="1673"/>
      <c r="BV23" s="1663">
        <v>400</v>
      </c>
      <c r="BW23" s="1661">
        <v>400</v>
      </c>
      <c r="BX23" s="1663">
        <v>577.73</v>
      </c>
      <c r="BY23" s="1663">
        <v>577.73</v>
      </c>
      <c r="BZ23" s="1688">
        <f t="shared" si="30"/>
        <v>0.44432500000000008</v>
      </c>
      <c r="CA23" s="18"/>
      <c r="CD23" s="569">
        <f t="shared" si="31"/>
        <v>0</v>
      </c>
      <c r="CE23" s="570"/>
      <c r="CF23" s="571"/>
      <c r="CG23" s="571">
        <v>0</v>
      </c>
      <c r="CH23" s="569">
        <f t="shared" si="32"/>
        <v>0</v>
      </c>
    </row>
    <row r="24" spans="1:86" s="2" customFormat="1">
      <c r="A24" s="1877"/>
      <c r="B24" s="1880"/>
      <c r="C24" s="492">
        <v>8.1999999999999993</v>
      </c>
      <c r="D24" s="1683" t="s">
        <v>1329</v>
      </c>
      <c r="E24" s="1684" t="s">
        <v>1223</v>
      </c>
      <c r="F24" s="1658" t="s">
        <v>1317</v>
      </c>
      <c r="G24" s="1643"/>
      <c r="H24" s="1663"/>
      <c r="I24" s="1643"/>
      <c r="J24" s="1695">
        <f t="shared" si="19"/>
        <v>2532859.9740000004</v>
      </c>
      <c r="K24" s="1686"/>
      <c r="L24" s="1695">
        <f t="shared" si="20"/>
        <v>2463703.389</v>
      </c>
      <c r="M24" s="1686"/>
      <c r="N24" s="1662">
        <f t="shared" si="15"/>
        <v>0</v>
      </c>
      <c r="O24" s="1687">
        <f t="shared" si="0"/>
        <v>0</v>
      </c>
      <c r="P24" s="1662">
        <f t="shared" si="16"/>
        <v>0</v>
      </c>
      <c r="Q24" s="1671">
        <f t="shared" si="17"/>
        <v>0</v>
      </c>
      <c r="R24" s="1672">
        <f>Q24/2</f>
        <v>0</v>
      </c>
      <c r="S24" s="1673"/>
      <c r="T24" s="1663">
        <v>1172604.6599999999</v>
      </c>
      <c r="U24" s="1661">
        <v>1166604.6599999999</v>
      </c>
      <c r="V24" s="1663">
        <v>814607.27</v>
      </c>
      <c r="W24" s="1663">
        <v>814607.27</v>
      </c>
      <c r="X24" s="1688">
        <f t="shared" si="21"/>
        <v>-0.30530101253392594</v>
      </c>
      <c r="Y24" s="1673"/>
      <c r="Z24" s="1663">
        <v>3555368.98</v>
      </c>
      <c r="AA24" s="1661">
        <v>3525493.98</v>
      </c>
      <c r="AB24" s="1663">
        <v>3655172.45</v>
      </c>
      <c r="AC24" s="1663">
        <v>3655172.45</v>
      </c>
      <c r="AD24" s="1688">
        <f t="shared" si="22"/>
        <v>2.8071198956120869E-2</v>
      </c>
      <c r="AE24" s="1673"/>
      <c r="AF24" s="1663">
        <v>4767700.8499999996</v>
      </c>
      <c r="AG24" s="1661">
        <v>4572888.57</v>
      </c>
      <c r="AH24" s="1663">
        <v>5495174.3200000003</v>
      </c>
      <c r="AI24" s="1663">
        <v>5495174.3200000003</v>
      </c>
      <c r="AJ24" s="1688">
        <f t="shared" si="23"/>
        <v>0.15258370709227709</v>
      </c>
      <c r="AK24" s="1673"/>
      <c r="AL24" s="1663">
        <v>411206.16</v>
      </c>
      <c r="AM24" s="1661">
        <v>411206.16</v>
      </c>
      <c r="AN24" s="1663">
        <v>821088.33</v>
      </c>
      <c r="AO24" s="1663">
        <v>821088.33</v>
      </c>
      <c r="AP24" s="1688">
        <f t="shared" si="24"/>
        <v>0.9967802281950251</v>
      </c>
      <c r="AQ24" s="1673"/>
      <c r="AR24" s="1663">
        <v>5266414.59</v>
      </c>
      <c r="AS24" s="1661">
        <v>5061226.99</v>
      </c>
      <c r="AT24" s="1663">
        <v>4678327.55</v>
      </c>
      <c r="AU24" s="1663">
        <v>4678327.55</v>
      </c>
      <c r="AV24" s="1688">
        <f t="shared" si="25"/>
        <v>-0.11166744090309078</v>
      </c>
      <c r="AW24" s="1673"/>
      <c r="AX24" s="1663">
        <v>4831240.25</v>
      </c>
      <c r="AY24" s="1661">
        <v>4762540.8600000003</v>
      </c>
      <c r="AZ24" s="1663">
        <v>4490005.7699999996</v>
      </c>
      <c r="BA24" s="1663">
        <v>4490005.7699999996</v>
      </c>
      <c r="BB24" s="1688">
        <f t="shared" si="26"/>
        <v>-7.0630824041507889E-2</v>
      </c>
      <c r="BC24" s="1673"/>
      <c r="BD24" s="1663">
        <v>910539.15</v>
      </c>
      <c r="BE24" s="1661">
        <v>910539.15</v>
      </c>
      <c r="BF24" s="1663">
        <v>1031813.97</v>
      </c>
      <c r="BG24" s="1663">
        <v>1031813.97</v>
      </c>
      <c r="BH24" s="1688">
        <f t="shared" si="27"/>
        <v>0.13319012147912579</v>
      </c>
      <c r="BI24" s="1673"/>
      <c r="BJ24" s="1663">
        <v>2091757.38</v>
      </c>
      <c r="BK24" s="1661">
        <v>1934236.83</v>
      </c>
      <c r="BL24" s="1663">
        <v>2500673.46</v>
      </c>
      <c r="BM24" s="1663">
        <v>2500673.46</v>
      </c>
      <c r="BN24" s="1688">
        <f t="shared" si="28"/>
        <v>0.19548924933158363</v>
      </c>
      <c r="BO24" s="1673"/>
      <c r="BP24" s="1663">
        <v>1357891.61</v>
      </c>
      <c r="BQ24" s="1661">
        <v>1357891.61</v>
      </c>
      <c r="BR24" s="1663">
        <v>791947.93</v>
      </c>
      <c r="BS24" s="1663">
        <v>791947.93</v>
      </c>
      <c r="BT24" s="1688">
        <f t="shared" si="29"/>
        <v>-0.41678118918490115</v>
      </c>
      <c r="BU24" s="1673"/>
      <c r="BV24" s="1663">
        <v>963876.11</v>
      </c>
      <c r="BW24" s="1661">
        <v>934238.11</v>
      </c>
      <c r="BX24" s="1663">
        <v>358222.84</v>
      </c>
      <c r="BY24" s="1663">
        <v>358222.84</v>
      </c>
      <c r="BZ24" s="1688">
        <f t="shared" si="30"/>
        <v>-0.62835178060383712</v>
      </c>
      <c r="CA24" s="18"/>
      <c r="CD24" s="569">
        <f t="shared" si="31"/>
        <v>0</v>
      </c>
      <c r="CE24" s="570"/>
      <c r="CF24" s="571"/>
      <c r="CG24" s="571">
        <v>0</v>
      </c>
      <c r="CH24" s="569">
        <f t="shared" si="32"/>
        <v>0</v>
      </c>
    </row>
    <row r="25" spans="1:86" s="2" customFormat="1">
      <c r="A25" s="1892" t="s">
        <v>1331</v>
      </c>
      <c r="B25" s="1895" t="s">
        <v>2376</v>
      </c>
      <c r="C25" s="13">
        <v>9</v>
      </c>
      <c r="D25" s="20" t="s">
        <v>1330</v>
      </c>
      <c r="E25" s="485" t="s">
        <v>1223</v>
      </c>
      <c r="F25" s="491" t="s">
        <v>1231</v>
      </c>
      <c r="G25" s="51" t="s">
        <v>1279</v>
      </c>
      <c r="H25" s="1881" t="s">
        <v>1300</v>
      </c>
      <c r="I25" s="1883">
        <v>4</v>
      </c>
      <c r="J25" s="563">
        <f t="shared" si="19"/>
        <v>0</v>
      </c>
      <c r="K25" s="1884">
        <f>AVERAGE(BW25,BQ25,BK25,BE25,AY25,AS25,AM25,AG25,AA25,U25)</f>
        <v>4</v>
      </c>
      <c r="L25" s="563">
        <f t="shared" si="20"/>
        <v>0</v>
      </c>
      <c r="M25" s="1884">
        <f>AVERAGE(BY25,BS25,BM25,BG25,BA25,AU25,AO25,AI25,AC25,W25)</f>
        <v>4</v>
      </c>
      <c r="N25" s="502">
        <f t="shared" si="15"/>
        <v>0</v>
      </c>
      <c r="O25" s="65">
        <f t="shared" si="0"/>
        <v>0</v>
      </c>
      <c r="P25" s="500">
        <f t="shared" si="16"/>
        <v>0</v>
      </c>
      <c r="Q25" s="816">
        <f t="shared" si="17"/>
        <v>0</v>
      </c>
      <c r="R25" s="815">
        <f t="shared" si="18"/>
        <v>0</v>
      </c>
      <c r="S25" s="510"/>
      <c r="T25" s="625">
        <v>0</v>
      </c>
      <c r="U25" s="1874">
        <f>4-SUM(T25:T28)</f>
        <v>4</v>
      </c>
      <c r="V25" s="625">
        <v>0</v>
      </c>
      <c r="W25" s="1874">
        <f>4-SUM(V25:V28)</f>
        <v>4</v>
      </c>
      <c r="X25" s="167">
        <f t="shared" si="21"/>
        <v>0</v>
      </c>
      <c r="Y25" s="510"/>
      <c r="Z25" s="625">
        <v>0</v>
      </c>
      <c r="AA25" s="1874">
        <f>4-SUM(Z25:Z28)</f>
        <v>4</v>
      </c>
      <c r="AB25" s="625">
        <v>0</v>
      </c>
      <c r="AC25" s="1874">
        <f>4-SUM(AB25:AB28)</f>
        <v>4</v>
      </c>
      <c r="AD25" s="167">
        <f t="shared" si="22"/>
        <v>0</v>
      </c>
      <c r="AE25" s="510"/>
      <c r="AF25" s="625">
        <v>0</v>
      </c>
      <c r="AG25" s="1874">
        <f>4-SUM(AF25:AF28)</f>
        <v>4</v>
      </c>
      <c r="AH25" s="625">
        <v>0</v>
      </c>
      <c r="AI25" s="1874">
        <f>4-SUM(AH25:AH28)</f>
        <v>4</v>
      </c>
      <c r="AJ25" s="167">
        <f t="shared" si="23"/>
        <v>0</v>
      </c>
      <c r="AK25" s="510"/>
      <c r="AL25" s="625">
        <v>0</v>
      </c>
      <c r="AM25" s="1874">
        <f>4-SUM(AL25:AL28)</f>
        <v>4</v>
      </c>
      <c r="AN25" s="625">
        <v>0</v>
      </c>
      <c r="AO25" s="1874">
        <f>4-SUM(AN25:AN28)</f>
        <v>4</v>
      </c>
      <c r="AP25" s="167">
        <f t="shared" si="24"/>
        <v>0</v>
      </c>
      <c r="AQ25" s="510"/>
      <c r="AR25" s="625">
        <v>0</v>
      </c>
      <c r="AS25" s="1874">
        <f>4-SUM(AR25:AR28)</f>
        <v>4</v>
      </c>
      <c r="AT25" s="625">
        <v>0</v>
      </c>
      <c r="AU25" s="1874">
        <f>4-SUM(AT25:AT28)</f>
        <v>4</v>
      </c>
      <c r="AV25" s="167">
        <f t="shared" si="25"/>
        <v>0</v>
      </c>
      <c r="AW25" s="510"/>
      <c r="AX25" s="625">
        <v>0</v>
      </c>
      <c r="AY25" s="1874">
        <f>4-SUM(AX25:AX28)</f>
        <v>4</v>
      </c>
      <c r="AZ25" s="625">
        <v>0</v>
      </c>
      <c r="BA25" s="1874">
        <f>4-SUM(AZ25:AZ28)</f>
        <v>4</v>
      </c>
      <c r="BB25" s="167">
        <f t="shared" si="26"/>
        <v>0</v>
      </c>
      <c r="BC25" s="510"/>
      <c r="BD25" s="625">
        <v>0</v>
      </c>
      <c r="BE25" s="1874">
        <f>4-SUM(BD25:BD28)</f>
        <v>4</v>
      </c>
      <c r="BF25" s="625">
        <v>0</v>
      </c>
      <c r="BG25" s="1874">
        <f>4-SUM(BF25:BF28)</f>
        <v>4</v>
      </c>
      <c r="BH25" s="167">
        <f t="shared" si="27"/>
        <v>0</v>
      </c>
      <c r="BI25" s="510"/>
      <c r="BJ25" s="625">
        <v>0</v>
      </c>
      <c r="BK25" s="1874">
        <f>4-SUM(BJ25:BJ28)</f>
        <v>4</v>
      </c>
      <c r="BL25" s="625">
        <v>0</v>
      </c>
      <c r="BM25" s="1874">
        <f>4-SUM(BL25:BL28)</f>
        <v>4</v>
      </c>
      <c r="BN25" s="167">
        <f t="shared" si="28"/>
        <v>0</v>
      </c>
      <c r="BO25" s="510"/>
      <c r="BP25" s="625">
        <v>0</v>
      </c>
      <c r="BQ25" s="1874">
        <f>4-SUM(BP25:BP28)</f>
        <v>4</v>
      </c>
      <c r="BR25" s="625">
        <v>0</v>
      </c>
      <c r="BS25" s="1874">
        <f>4-SUM(BR25:BR28)</f>
        <v>4</v>
      </c>
      <c r="BT25" s="167">
        <f t="shared" si="29"/>
        <v>0</v>
      </c>
      <c r="BU25" s="510"/>
      <c r="BV25" s="625">
        <v>0</v>
      </c>
      <c r="BW25" s="1874">
        <f>4-SUM(BV25:BV28)</f>
        <v>4</v>
      </c>
      <c r="BX25" s="625">
        <v>0</v>
      </c>
      <c r="BY25" s="1874">
        <f>4-SUM(BX25:BX28)</f>
        <v>4</v>
      </c>
      <c r="BZ25" s="167">
        <f t="shared" si="30"/>
        <v>0</v>
      </c>
      <c r="CA25" s="18"/>
      <c r="CD25" s="569">
        <f t="shared" si="31"/>
        <v>4</v>
      </c>
      <c r="CE25" s="570">
        <v>1</v>
      </c>
      <c r="CF25" s="571">
        <f>M25</f>
        <v>4</v>
      </c>
      <c r="CG25" s="571">
        <v>0</v>
      </c>
      <c r="CH25" s="569">
        <f t="shared" si="32"/>
        <v>0</v>
      </c>
    </row>
    <row r="26" spans="1:86" s="2" customFormat="1">
      <c r="A26" s="1893"/>
      <c r="B26" s="1896"/>
      <c r="C26" s="13">
        <v>10</v>
      </c>
      <c r="D26" s="20" t="s">
        <v>2387</v>
      </c>
      <c r="E26" s="485" t="s">
        <v>1223</v>
      </c>
      <c r="F26" s="491" t="s">
        <v>1231</v>
      </c>
      <c r="G26" s="51" t="s">
        <v>1279</v>
      </c>
      <c r="H26" s="1881"/>
      <c r="I26" s="1883"/>
      <c r="J26" s="563">
        <f t="shared" si="19"/>
        <v>0</v>
      </c>
      <c r="K26" s="1885"/>
      <c r="L26" s="563">
        <f t="shared" si="20"/>
        <v>0</v>
      </c>
      <c r="M26" s="1885"/>
      <c r="N26" s="502">
        <f t="shared" si="15"/>
        <v>0</v>
      </c>
      <c r="O26" s="65">
        <f t="shared" si="0"/>
        <v>0</v>
      </c>
      <c r="P26" s="500">
        <f t="shared" si="16"/>
        <v>0</v>
      </c>
      <c r="Q26" s="816">
        <f t="shared" si="17"/>
        <v>0</v>
      </c>
      <c r="R26" s="815">
        <f t="shared" si="18"/>
        <v>0</v>
      </c>
      <c r="S26" s="510"/>
      <c r="T26" s="625">
        <v>0</v>
      </c>
      <c r="U26" s="1874"/>
      <c r="V26" s="625">
        <v>0</v>
      </c>
      <c r="W26" s="1874"/>
      <c r="X26" s="167">
        <f t="shared" si="21"/>
        <v>0</v>
      </c>
      <c r="Y26" s="510"/>
      <c r="Z26" s="625">
        <v>0</v>
      </c>
      <c r="AA26" s="1874"/>
      <c r="AB26" s="625">
        <v>0</v>
      </c>
      <c r="AC26" s="1874"/>
      <c r="AD26" s="167">
        <f t="shared" si="22"/>
        <v>0</v>
      </c>
      <c r="AE26" s="510"/>
      <c r="AF26" s="625">
        <v>0</v>
      </c>
      <c r="AG26" s="1874"/>
      <c r="AH26" s="625">
        <v>0</v>
      </c>
      <c r="AI26" s="1874"/>
      <c r="AJ26" s="167">
        <f t="shared" si="23"/>
        <v>0</v>
      </c>
      <c r="AK26" s="510"/>
      <c r="AL26" s="625">
        <v>0</v>
      </c>
      <c r="AM26" s="1874"/>
      <c r="AN26" s="625">
        <v>0</v>
      </c>
      <c r="AO26" s="1874"/>
      <c r="AP26" s="167">
        <f t="shared" si="24"/>
        <v>0</v>
      </c>
      <c r="AQ26" s="510"/>
      <c r="AR26" s="625">
        <v>0</v>
      </c>
      <c r="AS26" s="1874"/>
      <c r="AT26" s="625">
        <v>0</v>
      </c>
      <c r="AU26" s="1874"/>
      <c r="AV26" s="167">
        <f t="shared" si="25"/>
        <v>0</v>
      </c>
      <c r="AW26" s="510"/>
      <c r="AX26" s="625">
        <v>0</v>
      </c>
      <c r="AY26" s="1874"/>
      <c r="AZ26" s="625">
        <v>0</v>
      </c>
      <c r="BA26" s="1874"/>
      <c r="BB26" s="167">
        <f t="shared" si="26"/>
        <v>0</v>
      </c>
      <c r="BC26" s="510"/>
      <c r="BD26" s="625">
        <v>0</v>
      </c>
      <c r="BE26" s="1874"/>
      <c r="BF26" s="625">
        <v>0</v>
      </c>
      <c r="BG26" s="1874"/>
      <c r="BH26" s="167">
        <f t="shared" si="27"/>
        <v>0</v>
      </c>
      <c r="BI26" s="510"/>
      <c r="BJ26" s="625">
        <v>0</v>
      </c>
      <c r="BK26" s="1874"/>
      <c r="BL26" s="625">
        <v>0</v>
      </c>
      <c r="BM26" s="1874"/>
      <c r="BN26" s="167">
        <f t="shared" si="28"/>
        <v>0</v>
      </c>
      <c r="BO26" s="510"/>
      <c r="BP26" s="625">
        <v>0</v>
      </c>
      <c r="BQ26" s="1874"/>
      <c r="BR26" s="625">
        <v>0</v>
      </c>
      <c r="BS26" s="1874"/>
      <c r="BT26" s="167">
        <f t="shared" si="29"/>
        <v>0</v>
      </c>
      <c r="BU26" s="510"/>
      <c r="BV26" s="625">
        <v>0</v>
      </c>
      <c r="BW26" s="1874"/>
      <c r="BX26" s="625">
        <v>0</v>
      </c>
      <c r="BY26" s="1874"/>
      <c r="BZ26" s="167">
        <f t="shared" si="30"/>
        <v>0</v>
      </c>
      <c r="CA26" s="18"/>
      <c r="CD26" s="569">
        <f t="shared" si="31"/>
        <v>0</v>
      </c>
      <c r="CE26" s="570">
        <v>1</v>
      </c>
      <c r="CF26" s="571"/>
      <c r="CG26" s="571">
        <v>0</v>
      </c>
      <c r="CH26" s="569">
        <f t="shared" si="32"/>
        <v>0</v>
      </c>
    </row>
    <row r="27" spans="1:86" s="2" customFormat="1">
      <c r="A27" s="1893"/>
      <c r="B27" s="1896"/>
      <c r="C27" s="13">
        <v>11</v>
      </c>
      <c r="D27" s="20" t="s">
        <v>1333</v>
      </c>
      <c r="E27" s="485" t="s">
        <v>1223</v>
      </c>
      <c r="F27" s="491" t="s">
        <v>1231</v>
      </c>
      <c r="G27" s="51" t="s">
        <v>1279</v>
      </c>
      <c r="H27" s="1881"/>
      <c r="I27" s="1883"/>
      <c r="J27" s="563">
        <f t="shared" si="19"/>
        <v>0</v>
      </c>
      <c r="K27" s="1885"/>
      <c r="L27" s="563">
        <f t="shared" si="20"/>
        <v>0</v>
      </c>
      <c r="M27" s="1885"/>
      <c r="N27" s="502">
        <f t="shared" si="15"/>
        <v>0</v>
      </c>
      <c r="O27" s="65">
        <f t="shared" si="0"/>
        <v>0</v>
      </c>
      <c r="P27" s="500">
        <f t="shared" si="16"/>
        <v>0</v>
      </c>
      <c r="Q27" s="816">
        <f t="shared" si="17"/>
        <v>0</v>
      </c>
      <c r="R27" s="815">
        <f t="shared" si="18"/>
        <v>0</v>
      </c>
      <c r="S27" s="510"/>
      <c r="T27" s="625">
        <v>0</v>
      </c>
      <c r="U27" s="1874"/>
      <c r="V27" s="625">
        <v>0</v>
      </c>
      <c r="W27" s="1874"/>
      <c r="X27" s="167">
        <f t="shared" si="21"/>
        <v>0</v>
      </c>
      <c r="Y27" s="510"/>
      <c r="Z27" s="625">
        <v>0</v>
      </c>
      <c r="AA27" s="1874"/>
      <c r="AB27" s="625">
        <v>0</v>
      </c>
      <c r="AC27" s="1874"/>
      <c r="AD27" s="167">
        <f t="shared" si="22"/>
        <v>0</v>
      </c>
      <c r="AE27" s="510"/>
      <c r="AF27" s="625">
        <v>0</v>
      </c>
      <c r="AG27" s="1874"/>
      <c r="AH27" s="625">
        <v>0</v>
      </c>
      <c r="AI27" s="1874"/>
      <c r="AJ27" s="167">
        <f t="shared" si="23"/>
        <v>0</v>
      </c>
      <c r="AK27" s="510"/>
      <c r="AL27" s="625">
        <v>0</v>
      </c>
      <c r="AM27" s="1874"/>
      <c r="AN27" s="625">
        <v>0</v>
      </c>
      <c r="AO27" s="1874"/>
      <c r="AP27" s="167">
        <f t="shared" si="24"/>
        <v>0</v>
      </c>
      <c r="AQ27" s="510"/>
      <c r="AR27" s="625">
        <v>0</v>
      </c>
      <c r="AS27" s="1874"/>
      <c r="AT27" s="625">
        <v>0</v>
      </c>
      <c r="AU27" s="1874"/>
      <c r="AV27" s="167">
        <f t="shared" si="25"/>
        <v>0</v>
      </c>
      <c r="AW27" s="510"/>
      <c r="AX27" s="625">
        <v>0</v>
      </c>
      <c r="AY27" s="1874"/>
      <c r="AZ27" s="625">
        <v>0</v>
      </c>
      <c r="BA27" s="1874"/>
      <c r="BB27" s="167">
        <f t="shared" si="26"/>
        <v>0</v>
      </c>
      <c r="BC27" s="510"/>
      <c r="BD27" s="625">
        <v>0</v>
      </c>
      <c r="BE27" s="1874"/>
      <c r="BF27" s="625">
        <v>0</v>
      </c>
      <c r="BG27" s="1874"/>
      <c r="BH27" s="167">
        <f t="shared" si="27"/>
        <v>0</v>
      </c>
      <c r="BI27" s="510"/>
      <c r="BJ27" s="625">
        <v>0</v>
      </c>
      <c r="BK27" s="1874"/>
      <c r="BL27" s="625">
        <v>0</v>
      </c>
      <c r="BM27" s="1874"/>
      <c r="BN27" s="167">
        <f t="shared" si="28"/>
        <v>0</v>
      </c>
      <c r="BO27" s="510"/>
      <c r="BP27" s="625">
        <v>0</v>
      </c>
      <c r="BQ27" s="1874"/>
      <c r="BR27" s="625">
        <v>0</v>
      </c>
      <c r="BS27" s="1874"/>
      <c r="BT27" s="167">
        <f t="shared" si="29"/>
        <v>0</v>
      </c>
      <c r="BU27" s="510"/>
      <c r="BV27" s="625">
        <v>0</v>
      </c>
      <c r="BW27" s="1874"/>
      <c r="BX27" s="625">
        <v>0</v>
      </c>
      <c r="BY27" s="1874"/>
      <c r="BZ27" s="167">
        <f t="shared" si="30"/>
        <v>0</v>
      </c>
      <c r="CA27" s="18"/>
      <c r="CD27" s="569">
        <f t="shared" si="31"/>
        <v>0</v>
      </c>
      <c r="CE27" s="570">
        <v>1</v>
      </c>
      <c r="CF27" s="571"/>
      <c r="CG27" s="571">
        <v>0</v>
      </c>
      <c r="CH27" s="569">
        <f t="shared" si="32"/>
        <v>0</v>
      </c>
    </row>
    <row r="28" spans="1:86" s="2" customFormat="1">
      <c r="A28" s="1894"/>
      <c r="B28" s="1897"/>
      <c r="C28" s="13">
        <v>12</v>
      </c>
      <c r="D28" s="20" t="s">
        <v>1334</v>
      </c>
      <c r="E28" s="485" t="s">
        <v>1223</v>
      </c>
      <c r="F28" s="491" t="s">
        <v>1231</v>
      </c>
      <c r="G28" s="51" t="s">
        <v>1279</v>
      </c>
      <c r="H28" s="1881"/>
      <c r="I28" s="1883"/>
      <c r="J28" s="563">
        <f t="shared" si="19"/>
        <v>0</v>
      </c>
      <c r="K28" s="1886"/>
      <c r="L28" s="563">
        <f t="shared" si="20"/>
        <v>0</v>
      </c>
      <c r="M28" s="1886"/>
      <c r="N28" s="502">
        <f t="shared" si="15"/>
        <v>0</v>
      </c>
      <c r="O28" s="65">
        <f t="shared" si="0"/>
        <v>0</v>
      </c>
      <c r="P28" s="500">
        <f t="shared" si="16"/>
        <v>0</v>
      </c>
      <c r="Q28" s="816">
        <f t="shared" si="17"/>
        <v>0</v>
      </c>
      <c r="R28" s="815">
        <f t="shared" si="18"/>
        <v>0</v>
      </c>
      <c r="S28" s="510"/>
      <c r="T28" s="625">
        <v>0</v>
      </c>
      <c r="U28" s="1874"/>
      <c r="V28" s="625">
        <v>0</v>
      </c>
      <c r="W28" s="1874"/>
      <c r="X28" s="167">
        <f t="shared" si="21"/>
        <v>0</v>
      </c>
      <c r="Y28" s="510"/>
      <c r="Z28" s="625">
        <v>0</v>
      </c>
      <c r="AA28" s="1874"/>
      <c r="AB28" s="625">
        <v>0</v>
      </c>
      <c r="AC28" s="1874"/>
      <c r="AD28" s="167">
        <f t="shared" si="22"/>
        <v>0</v>
      </c>
      <c r="AE28" s="510"/>
      <c r="AF28" s="625">
        <v>0</v>
      </c>
      <c r="AG28" s="1874"/>
      <c r="AH28" s="625">
        <v>0</v>
      </c>
      <c r="AI28" s="1874"/>
      <c r="AJ28" s="167">
        <f t="shared" si="23"/>
        <v>0</v>
      </c>
      <c r="AK28" s="510"/>
      <c r="AL28" s="625">
        <v>0</v>
      </c>
      <c r="AM28" s="1874"/>
      <c r="AN28" s="625">
        <v>0</v>
      </c>
      <c r="AO28" s="1874"/>
      <c r="AP28" s="167">
        <f t="shared" si="24"/>
        <v>0</v>
      </c>
      <c r="AQ28" s="510"/>
      <c r="AR28" s="625">
        <v>0</v>
      </c>
      <c r="AS28" s="1874"/>
      <c r="AT28" s="625">
        <v>0</v>
      </c>
      <c r="AU28" s="1874"/>
      <c r="AV28" s="167">
        <f t="shared" si="25"/>
        <v>0</v>
      </c>
      <c r="AW28" s="510"/>
      <c r="AX28" s="625">
        <v>0</v>
      </c>
      <c r="AY28" s="1874"/>
      <c r="AZ28" s="625">
        <v>0</v>
      </c>
      <c r="BA28" s="1874"/>
      <c r="BB28" s="167">
        <f t="shared" si="26"/>
        <v>0</v>
      </c>
      <c r="BC28" s="510"/>
      <c r="BD28" s="625">
        <v>0</v>
      </c>
      <c r="BE28" s="1874"/>
      <c r="BF28" s="625">
        <v>0</v>
      </c>
      <c r="BG28" s="1874"/>
      <c r="BH28" s="167">
        <f t="shared" si="27"/>
        <v>0</v>
      </c>
      <c r="BI28" s="510"/>
      <c r="BJ28" s="625">
        <v>0</v>
      </c>
      <c r="BK28" s="1874"/>
      <c r="BL28" s="625">
        <v>0</v>
      </c>
      <c r="BM28" s="1874"/>
      <c r="BN28" s="167">
        <f t="shared" si="28"/>
        <v>0</v>
      </c>
      <c r="BO28" s="510"/>
      <c r="BP28" s="625">
        <v>0</v>
      </c>
      <c r="BQ28" s="1874"/>
      <c r="BR28" s="625">
        <v>0</v>
      </c>
      <c r="BS28" s="1874"/>
      <c r="BT28" s="167">
        <f t="shared" si="29"/>
        <v>0</v>
      </c>
      <c r="BU28" s="510"/>
      <c r="BV28" s="625">
        <v>0</v>
      </c>
      <c r="BW28" s="1874"/>
      <c r="BX28" s="625">
        <v>0</v>
      </c>
      <c r="BY28" s="1874"/>
      <c r="BZ28" s="167">
        <f t="shared" si="30"/>
        <v>0</v>
      </c>
      <c r="CA28" s="18"/>
      <c r="CD28" s="569">
        <f t="shared" si="31"/>
        <v>0</v>
      </c>
      <c r="CE28" s="570">
        <v>1</v>
      </c>
      <c r="CF28" s="571"/>
      <c r="CG28" s="571">
        <v>0</v>
      </c>
      <c r="CH28" s="569">
        <f t="shared" si="32"/>
        <v>0</v>
      </c>
    </row>
    <row r="29" spans="1:86" s="2" customFormat="1" ht="14.25" customHeight="1">
      <c r="A29" s="1875" t="s">
        <v>1736</v>
      </c>
      <c r="B29" s="1878" t="s">
        <v>1335</v>
      </c>
      <c r="C29" s="13">
        <v>13</v>
      </c>
      <c r="D29" s="20" t="s">
        <v>1747</v>
      </c>
      <c r="E29" s="485" t="s">
        <v>1223</v>
      </c>
      <c r="F29" s="491" t="s">
        <v>1231</v>
      </c>
      <c r="G29" s="51" t="s">
        <v>1208</v>
      </c>
      <c r="H29" s="1902" t="s">
        <v>1300</v>
      </c>
      <c r="I29" s="1883">
        <v>20</v>
      </c>
      <c r="J29" s="563">
        <f t="shared" si="19"/>
        <v>0</v>
      </c>
      <c r="K29" s="1884">
        <f>AVERAGE(BW29,BQ29,BK29,BE29,AY29,AS29,AM29,AG29,AA29,U29)</f>
        <v>20</v>
      </c>
      <c r="L29" s="563">
        <f t="shared" si="20"/>
        <v>0</v>
      </c>
      <c r="M29" s="1884">
        <f>AVERAGE(BY29,BS29,BM29,BG29,BA29,AU29,AO29,AI29,AC29,W29)</f>
        <v>20</v>
      </c>
      <c r="N29" s="502">
        <f t="shared" si="15"/>
        <v>0</v>
      </c>
      <c r="O29" s="65">
        <f t="shared" si="0"/>
        <v>0</v>
      </c>
      <c r="P29" s="500">
        <f t="shared" si="16"/>
        <v>0</v>
      </c>
      <c r="Q29" s="816">
        <f t="shared" si="17"/>
        <v>0</v>
      </c>
      <c r="R29" s="815">
        <f t="shared" si="18"/>
        <v>0</v>
      </c>
      <c r="S29" s="510"/>
      <c r="T29" s="625">
        <v>0</v>
      </c>
      <c r="U29" s="1874">
        <f>20-T29*0.5-T30*3</f>
        <v>20</v>
      </c>
      <c r="V29" s="625">
        <v>0</v>
      </c>
      <c r="W29" s="1874">
        <f>20-V29*0.5-V30*3</f>
        <v>20</v>
      </c>
      <c r="X29" s="167">
        <f t="shared" si="21"/>
        <v>0</v>
      </c>
      <c r="Y29" s="510"/>
      <c r="Z29" s="625">
        <v>0</v>
      </c>
      <c r="AA29" s="1874">
        <f>20-Z29*0.5-Z30*3</f>
        <v>20</v>
      </c>
      <c r="AB29" s="625">
        <v>0</v>
      </c>
      <c r="AC29" s="1874">
        <f>20-AB29*0.5-AB30*3</f>
        <v>20</v>
      </c>
      <c r="AD29" s="167">
        <f t="shared" si="22"/>
        <v>0</v>
      </c>
      <c r="AE29" s="510"/>
      <c r="AF29" s="625">
        <v>0</v>
      </c>
      <c r="AG29" s="1874">
        <f>20-AF29*0.5-AF30*3</f>
        <v>20</v>
      </c>
      <c r="AH29" s="625">
        <v>0</v>
      </c>
      <c r="AI29" s="1874">
        <f>20-AH29*0.5-AH30*3</f>
        <v>20</v>
      </c>
      <c r="AJ29" s="167">
        <f t="shared" si="23"/>
        <v>0</v>
      </c>
      <c r="AK29" s="510"/>
      <c r="AL29" s="625">
        <v>0</v>
      </c>
      <c r="AM29" s="1874">
        <f>20-AL29*0.5-AL30*3</f>
        <v>20</v>
      </c>
      <c r="AN29" s="625">
        <v>0</v>
      </c>
      <c r="AO29" s="1874">
        <f>20-AN29*0.5-AN30*3</f>
        <v>20</v>
      </c>
      <c r="AP29" s="167">
        <f t="shared" si="24"/>
        <v>0</v>
      </c>
      <c r="AQ29" s="510"/>
      <c r="AR29" s="625">
        <v>0</v>
      </c>
      <c r="AS29" s="1874">
        <f>20-AR29*0.5-AR30*3</f>
        <v>20</v>
      </c>
      <c r="AT29" s="625">
        <v>0</v>
      </c>
      <c r="AU29" s="1874">
        <f>20-AT29*0.5-AT30*3</f>
        <v>20</v>
      </c>
      <c r="AV29" s="167">
        <f t="shared" si="25"/>
        <v>0</v>
      </c>
      <c r="AW29" s="510"/>
      <c r="AX29" s="625">
        <v>0</v>
      </c>
      <c r="AY29" s="1874">
        <f>20-AX29*0.5-AX30*3</f>
        <v>20</v>
      </c>
      <c r="AZ29" s="625">
        <v>0</v>
      </c>
      <c r="BA29" s="1874">
        <f>20-AZ29*0.5-AZ30*3</f>
        <v>20</v>
      </c>
      <c r="BB29" s="167">
        <f t="shared" si="26"/>
        <v>0</v>
      </c>
      <c r="BC29" s="510"/>
      <c r="BD29" s="625">
        <v>0</v>
      </c>
      <c r="BE29" s="1874">
        <f>20-BD29*0.5-BD30*3</f>
        <v>20</v>
      </c>
      <c r="BF29" s="625">
        <v>0</v>
      </c>
      <c r="BG29" s="1874">
        <f>20-BF29*0.5-BF30*3</f>
        <v>20</v>
      </c>
      <c r="BH29" s="167">
        <f t="shared" si="27"/>
        <v>0</v>
      </c>
      <c r="BI29" s="510"/>
      <c r="BJ29" s="625">
        <v>0</v>
      </c>
      <c r="BK29" s="1874">
        <f>20-BJ29*0.5-BJ30*3</f>
        <v>20</v>
      </c>
      <c r="BL29" s="625">
        <v>0</v>
      </c>
      <c r="BM29" s="1874">
        <f>20-BL29*0.5-BL30*3</f>
        <v>20</v>
      </c>
      <c r="BN29" s="167">
        <f t="shared" si="28"/>
        <v>0</v>
      </c>
      <c r="BO29" s="510"/>
      <c r="BP29" s="625">
        <v>0</v>
      </c>
      <c r="BQ29" s="1874">
        <f>20-BP29*0.5-BP30*3</f>
        <v>20</v>
      </c>
      <c r="BR29" s="625">
        <v>0</v>
      </c>
      <c r="BS29" s="1874">
        <f>20-BR29*0.5-BR30*3</f>
        <v>20</v>
      </c>
      <c r="BT29" s="167">
        <f t="shared" si="29"/>
        <v>0</v>
      </c>
      <c r="BU29" s="510"/>
      <c r="BV29" s="625">
        <v>0</v>
      </c>
      <c r="BW29" s="1874">
        <f>20-BV29*0.5-BV30*3</f>
        <v>20</v>
      </c>
      <c r="BX29" s="625">
        <v>0</v>
      </c>
      <c r="BY29" s="1874">
        <f>20-BX29*0.5-BX30*3</f>
        <v>20</v>
      </c>
      <c r="BZ29" s="167">
        <f t="shared" si="30"/>
        <v>0</v>
      </c>
      <c r="CA29" s="18"/>
      <c r="CD29" s="569">
        <f t="shared" si="31"/>
        <v>20</v>
      </c>
      <c r="CE29" s="570">
        <v>1</v>
      </c>
      <c r="CF29" s="571">
        <f>M29</f>
        <v>20</v>
      </c>
      <c r="CG29" s="571">
        <v>0</v>
      </c>
      <c r="CH29" s="569">
        <f t="shared" si="32"/>
        <v>0</v>
      </c>
    </row>
    <row r="30" spans="1:86" s="2" customFormat="1">
      <c r="A30" s="1877"/>
      <c r="B30" s="1880"/>
      <c r="C30" s="13">
        <v>14</v>
      </c>
      <c r="D30" s="20" t="s">
        <v>1336</v>
      </c>
      <c r="E30" s="485" t="s">
        <v>1223</v>
      </c>
      <c r="F30" s="491" t="s">
        <v>1231</v>
      </c>
      <c r="G30" s="51" t="s">
        <v>1208</v>
      </c>
      <c r="H30" s="1903"/>
      <c r="I30" s="1883"/>
      <c r="J30" s="563">
        <f t="shared" si="19"/>
        <v>0</v>
      </c>
      <c r="K30" s="1886"/>
      <c r="L30" s="563">
        <f t="shared" si="20"/>
        <v>0</v>
      </c>
      <c r="M30" s="1886"/>
      <c r="N30" s="502">
        <f t="shared" si="15"/>
        <v>0</v>
      </c>
      <c r="O30" s="65">
        <f t="shared" si="0"/>
        <v>0</v>
      </c>
      <c r="P30" s="500">
        <f t="shared" si="16"/>
        <v>0</v>
      </c>
      <c r="Q30" s="816">
        <f t="shared" si="17"/>
        <v>0</v>
      </c>
      <c r="R30" s="815">
        <f t="shared" si="18"/>
        <v>0</v>
      </c>
      <c r="S30" s="510"/>
      <c r="T30" s="625">
        <v>0</v>
      </c>
      <c r="U30" s="1874"/>
      <c r="V30" s="625">
        <v>0</v>
      </c>
      <c r="W30" s="1874"/>
      <c r="X30" s="167">
        <f t="shared" si="21"/>
        <v>0</v>
      </c>
      <c r="Y30" s="510"/>
      <c r="Z30" s="625">
        <v>0</v>
      </c>
      <c r="AA30" s="1874"/>
      <c r="AB30" s="625">
        <v>0</v>
      </c>
      <c r="AC30" s="1874"/>
      <c r="AD30" s="167">
        <f t="shared" si="22"/>
        <v>0</v>
      </c>
      <c r="AE30" s="510"/>
      <c r="AF30" s="625">
        <v>0</v>
      </c>
      <c r="AG30" s="1874"/>
      <c r="AH30" s="625">
        <v>0</v>
      </c>
      <c r="AI30" s="1874"/>
      <c r="AJ30" s="167">
        <f t="shared" si="23"/>
        <v>0</v>
      </c>
      <c r="AK30" s="510"/>
      <c r="AL30" s="625">
        <v>0</v>
      </c>
      <c r="AM30" s="1874"/>
      <c r="AN30" s="625">
        <v>0</v>
      </c>
      <c r="AO30" s="1874"/>
      <c r="AP30" s="167">
        <f t="shared" si="24"/>
        <v>0</v>
      </c>
      <c r="AQ30" s="510"/>
      <c r="AR30" s="625">
        <v>0</v>
      </c>
      <c r="AS30" s="1874"/>
      <c r="AT30" s="625">
        <v>0</v>
      </c>
      <c r="AU30" s="1874"/>
      <c r="AV30" s="167">
        <f t="shared" si="25"/>
        <v>0</v>
      </c>
      <c r="AW30" s="510"/>
      <c r="AX30" s="625">
        <v>0</v>
      </c>
      <c r="AY30" s="1874"/>
      <c r="AZ30" s="625">
        <v>0</v>
      </c>
      <c r="BA30" s="1874"/>
      <c r="BB30" s="167">
        <f t="shared" si="26"/>
        <v>0</v>
      </c>
      <c r="BC30" s="510"/>
      <c r="BD30" s="625">
        <v>0</v>
      </c>
      <c r="BE30" s="1874"/>
      <c r="BF30" s="625">
        <v>0</v>
      </c>
      <c r="BG30" s="1874"/>
      <c r="BH30" s="167">
        <f t="shared" si="27"/>
        <v>0</v>
      </c>
      <c r="BI30" s="510"/>
      <c r="BJ30" s="625">
        <v>0</v>
      </c>
      <c r="BK30" s="1874"/>
      <c r="BL30" s="625">
        <v>0</v>
      </c>
      <c r="BM30" s="1874"/>
      <c r="BN30" s="167">
        <f t="shared" si="28"/>
        <v>0</v>
      </c>
      <c r="BO30" s="510"/>
      <c r="BP30" s="625">
        <v>0</v>
      </c>
      <c r="BQ30" s="1874"/>
      <c r="BR30" s="625">
        <v>0</v>
      </c>
      <c r="BS30" s="1874"/>
      <c r="BT30" s="167">
        <f t="shared" si="29"/>
        <v>0</v>
      </c>
      <c r="BU30" s="510"/>
      <c r="BV30" s="625">
        <v>0</v>
      </c>
      <c r="BW30" s="1874"/>
      <c r="BX30" s="625">
        <v>0</v>
      </c>
      <c r="BY30" s="1874"/>
      <c r="BZ30" s="167">
        <f t="shared" si="30"/>
        <v>0</v>
      </c>
      <c r="CA30" s="18"/>
      <c r="CD30" s="569">
        <f t="shared" si="31"/>
        <v>0</v>
      </c>
      <c r="CE30" s="570">
        <v>1</v>
      </c>
      <c r="CF30" s="571"/>
      <c r="CG30" s="571">
        <v>0</v>
      </c>
      <c r="CH30" s="569">
        <f t="shared" si="32"/>
        <v>0</v>
      </c>
    </row>
    <row r="31" spans="1:86" s="2" customFormat="1">
      <c r="A31" s="1875" t="s">
        <v>1337</v>
      </c>
      <c r="B31" s="1878" t="s">
        <v>1338</v>
      </c>
      <c r="C31" s="13">
        <v>15</v>
      </c>
      <c r="D31" s="20" t="s">
        <v>1748</v>
      </c>
      <c r="E31" s="485" t="s">
        <v>1223</v>
      </c>
      <c r="F31" s="491" t="s">
        <v>1231</v>
      </c>
      <c r="G31" s="51" t="s">
        <v>1208</v>
      </c>
      <c r="H31" s="1881" t="s">
        <v>1300</v>
      </c>
      <c r="I31" s="1883">
        <v>12</v>
      </c>
      <c r="J31" s="563">
        <f t="shared" si="19"/>
        <v>0</v>
      </c>
      <c r="K31" s="1884">
        <f>AVERAGE(BW31,BQ31,BK31,BE31,AY31,AS31,AM31,AG31,AA31,U31)</f>
        <v>12</v>
      </c>
      <c r="L31" s="563">
        <f t="shared" si="20"/>
        <v>0</v>
      </c>
      <c r="M31" s="1884">
        <f>AVERAGE(BY31,BS31,BM31,BG31,BA31,AU31,AO31,AI31,AC31,W31)</f>
        <v>12</v>
      </c>
      <c r="N31" s="502">
        <f t="shared" si="15"/>
        <v>0</v>
      </c>
      <c r="O31" s="65">
        <f t="shared" si="0"/>
        <v>0</v>
      </c>
      <c r="P31" s="500">
        <f t="shared" si="16"/>
        <v>0</v>
      </c>
      <c r="Q31" s="816">
        <f t="shared" si="17"/>
        <v>0</v>
      </c>
      <c r="R31" s="815">
        <f t="shared" si="18"/>
        <v>0</v>
      </c>
      <c r="S31" s="510"/>
      <c r="T31" s="625">
        <v>0</v>
      </c>
      <c r="U31" s="1874">
        <f>12-T31*3-T32</f>
        <v>12</v>
      </c>
      <c r="V31" s="625">
        <v>0</v>
      </c>
      <c r="W31" s="1874">
        <f>12-V31*3-V32</f>
        <v>12</v>
      </c>
      <c r="X31" s="167">
        <f t="shared" si="21"/>
        <v>0</v>
      </c>
      <c r="Y31" s="510"/>
      <c r="Z31" s="625">
        <v>0</v>
      </c>
      <c r="AA31" s="1874">
        <f>12-Z31*3-Z32</f>
        <v>12</v>
      </c>
      <c r="AB31" s="625">
        <v>0</v>
      </c>
      <c r="AC31" s="1874">
        <f>12-AB31*3-AB32</f>
        <v>12</v>
      </c>
      <c r="AD31" s="167">
        <f t="shared" si="22"/>
        <v>0</v>
      </c>
      <c r="AE31" s="510"/>
      <c r="AF31" s="625">
        <v>0</v>
      </c>
      <c r="AG31" s="1874">
        <f>12-AF31*3-AF32</f>
        <v>12</v>
      </c>
      <c r="AH31" s="625">
        <v>0</v>
      </c>
      <c r="AI31" s="1874">
        <f>12-AH31*3-AH32</f>
        <v>12</v>
      </c>
      <c r="AJ31" s="167">
        <f t="shared" si="23"/>
        <v>0</v>
      </c>
      <c r="AK31" s="510"/>
      <c r="AL31" s="625">
        <v>0</v>
      </c>
      <c r="AM31" s="1874">
        <f>12-AL31*3-AL32</f>
        <v>12</v>
      </c>
      <c r="AN31" s="625">
        <v>0</v>
      </c>
      <c r="AO31" s="1874">
        <f>12-AN31*3-AN32</f>
        <v>12</v>
      </c>
      <c r="AP31" s="167">
        <f t="shared" si="24"/>
        <v>0</v>
      </c>
      <c r="AQ31" s="510"/>
      <c r="AR31" s="625">
        <v>0</v>
      </c>
      <c r="AS31" s="1874">
        <f>12-AR31*3-AR32</f>
        <v>12</v>
      </c>
      <c r="AT31" s="625">
        <v>0</v>
      </c>
      <c r="AU31" s="1874">
        <f>12-AT31*3-AT32</f>
        <v>12</v>
      </c>
      <c r="AV31" s="167">
        <f t="shared" si="25"/>
        <v>0</v>
      </c>
      <c r="AW31" s="510"/>
      <c r="AX31" s="625">
        <v>0</v>
      </c>
      <c r="AY31" s="1874">
        <f>12-AX31*3-AX32</f>
        <v>12</v>
      </c>
      <c r="AZ31" s="625">
        <v>0</v>
      </c>
      <c r="BA31" s="1874">
        <f>12-AZ31*3-AZ32</f>
        <v>12</v>
      </c>
      <c r="BB31" s="167">
        <f t="shared" si="26"/>
        <v>0</v>
      </c>
      <c r="BC31" s="510"/>
      <c r="BD31" s="625">
        <v>0</v>
      </c>
      <c r="BE31" s="1874">
        <f>12-BD31*3-BD32</f>
        <v>12</v>
      </c>
      <c r="BF31" s="625">
        <v>0</v>
      </c>
      <c r="BG31" s="1874">
        <f>12-BF31*3-BF32</f>
        <v>12</v>
      </c>
      <c r="BH31" s="167">
        <f t="shared" si="27"/>
        <v>0</v>
      </c>
      <c r="BI31" s="510"/>
      <c r="BJ31" s="625">
        <v>0</v>
      </c>
      <c r="BK31" s="1874">
        <f>12-BJ31*3-BJ32</f>
        <v>12</v>
      </c>
      <c r="BL31" s="625">
        <v>0</v>
      </c>
      <c r="BM31" s="1874">
        <f>12-BL31*3-BL32</f>
        <v>12</v>
      </c>
      <c r="BN31" s="167">
        <f t="shared" si="28"/>
        <v>0</v>
      </c>
      <c r="BO31" s="510"/>
      <c r="BP31" s="625">
        <v>0</v>
      </c>
      <c r="BQ31" s="1874">
        <f>12-BP31*3-BP32</f>
        <v>12</v>
      </c>
      <c r="BR31" s="625">
        <v>0</v>
      </c>
      <c r="BS31" s="1874">
        <f>12-BR31*3-BR32</f>
        <v>12</v>
      </c>
      <c r="BT31" s="167">
        <f t="shared" si="29"/>
        <v>0</v>
      </c>
      <c r="BU31" s="510"/>
      <c r="BV31" s="625">
        <v>0</v>
      </c>
      <c r="BW31" s="1874">
        <f>12-BV31*3-BV32</f>
        <v>12</v>
      </c>
      <c r="BX31" s="625">
        <v>0</v>
      </c>
      <c r="BY31" s="1874">
        <f>12-BX31*3-BX32</f>
        <v>12</v>
      </c>
      <c r="BZ31" s="167">
        <f t="shared" si="30"/>
        <v>0</v>
      </c>
      <c r="CA31" s="18"/>
      <c r="CD31" s="569">
        <f t="shared" si="31"/>
        <v>12</v>
      </c>
      <c r="CE31" s="570">
        <v>1</v>
      </c>
      <c r="CF31" s="571">
        <f>M31</f>
        <v>12</v>
      </c>
      <c r="CG31" s="571">
        <v>0</v>
      </c>
      <c r="CH31" s="569">
        <f t="shared" si="32"/>
        <v>0</v>
      </c>
    </row>
    <row r="32" spans="1:86" s="2" customFormat="1">
      <c r="A32" s="1877"/>
      <c r="B32" s="1880"/>
      <c r="C32" s="13">
        <v>16</v>
      </c>
      <c r="D32" s="20" t="s">
        <v>1339</v>
      </c>
      <c r="E32" s="485" t="s">
        <v>1223</v>
      </c>
      <c r="F32" s="491" t="s">
        <v>1231</v>
      </c>
      <c r="G32" s="51" t="s">
        <v>1208</v>
      </c>
      <c r="H32" s="1881"/>
      <c r="I32" s="1883"/>
      <c r="J32" s="563">
        <f t="shared" si="19"/>
        <v>0</v>
      </c>
      <c r="K32" s="1886"/>
      <c r="L32" s="563">
        <f t="shared" si="20"/>
        <v>0</v>
      </c>
      <c r="M32" s="1886"/>
      <c r="N32" s="502">
        <f t="shared" si="15"/>
        <v>0</v>
      </c>
      <c r="O32" s="65">
        <f t="shared" si="0"/>
        <v>0</v>
      </c>
      <c r="P32" s="500">
        <f t="shared" si="16"/>
        <v>0</v>
      </c>
      <c r="Q32" s="816">
        <f t="shared" si="17"/>
        <v>0</v>
      </c>
      <c r="R32" s="815">
        <f t="shared" si="18"/>
        <v>0</v>
      </c>
      <c r="S32" s="510"/>
      <c r="T32" s="625">
        <v>0</v>
      </c>
      <c r="U32" s="1874"/>
      <c r="V32" s="625">
        <v>0</v>
      </c>
      <c r="W32" s="1874"/>
      <c r="X32" s="167">
        <f t="shared" si="21"/>
        <v>0</v>
      </c>
      <c r="Y32" s="510"/>
      <c r="Z32" s="625">
        <v>0</v>
      </c>
      <c r="AA32" s="1874"/>
      <c r="AB32" s="625">
        <v>0</v>
      </c>
      <c r="AC32" s="1874"/>
      <c r="AD32" s="167">
        <f t="shared" si="22"/>
        <v>0</v>
      </c>
      <c r="AE32" s="510"/>
      <c r="AF32" s="625">
        <v>0</v>
      </c>
      <c r="AG32" s="1874"/>
      <c r="AH32" s="625">
        <v>0</v>
      </c>
      <c r="AI32" s="1874"/>
      <c r="AJ32" s="167">
        <f t="shared" si="23"/>
        <v>0</v>
      </c>
      <c r="AK32" s="510"/>
      <c r="AL32" s="625">
        <v>0</v>
      </c>
      <c r="AM32" s="1874"/>
      <c r="AN32" s="625">
        <v>0</v>
      </c>
      <c r="AO32" s="1874"/>
      <c r="AP32" s="167">
        <f t="shared" si="24"/>
        <v>0</v>
      </c>
      <c r="AQ32" s="510"/>
      <c r="AR32" s="625">
        <v>0</v>
      </c>
      <c r="AS32" s="1874"/>
      <c r="AT32" s="625">
        <v>0</v>
      </c>
      <c r="AU32" s="1874"/>
      <c r="AV32" s="167">
        <f t="shared" si="25"/>
        <v>0</v>
      </c>
      <c r="AW32" s="510"/>
      <c r="AX32" s="625">
        <v>0</v>
      </c>
      <c r="AY32" s="1874"/>
      <c r="AZ32" s="625">
        <v>0</v>
      </c>
      <c r="BA32" s="1874"/>
      <c r="BB32" s="167">
        <f t="shared" si="26"/>
        <v>0</v>
      </c>
      <c r="BC32" s="510"/>
      <c r="BD32" s="625">
        <v>0</v>
      </c>
      <c r="BE32" s="1874"/>
      <c r="BF32" s="625">
        <v>0</v>
      </c>
      <c r="BG32" s="1874"/>
      <c r="BH32" s="167">
        <f t="shared" si="27"/>
        <v>0</v>
      </c>
      <c r="BI32" s="510"/>
      <c r="BJ32" s="625">
        <v>0</v>
      </c>
      <c r="BK32" s="1874"/>
      <c r="BL32" s="625">
        <v>0</v>
      </c>
      <c r="BM32" s="1874"/>
      <c r="BN32" s="167">
        <f t="shared" si="28"/>
        <v>0</v>
      </c>
      <c r="BO32" s="510"/>
      <c r="BP32" s="625">
        <v>0</v>
      </c>
      <c r="BQ32" s="1874"/>
      <c r="BR32" s="625">
        <v>0</v>
      </c>
      <c r="BS32" s="1874"/>
      <c r="BT32" s="167">
        <f t="shared" si="29"/>
        <v>0</v>
      </c>
      <c r="BU32" s="510"/>
      <c r="BV32" s="625">
        <v>0</v>
      </c>
      <c r="BW32" s="1874"/>
      <c r="BX32" s="625">
        <v>0</v>
      </c>
      <c r="BY32" s="1874"/>
      <c r="BZ32" s="167">
        <f t="shared" si="30"/>
        <v>0</v>
      </c>
      <c r="CA32" s="18"/>
      <c r="CD32" s="569">
        <f t="shared" si="31"/>
        <v>0</v>
      </c>
      <c r="CE32" s="570">
        <v>1</v>
      </c>
      <c r="CF32" s="571"/>
      <c r="CG32" s="571">
        <v>0</v>
      </c>
      <c r="CH32" s="569">
        <f t="shared" si="32"/>
        <v>0</v>
      </c>
    </row>
    <row r="33" spans="1:86" s="2" customFormat="1">
      <c r="A33" s="263" t="s">
        <v>1284</v>
      </c>
      <c r="B33" s="263" t="s">
        <v>1341</v>
      </c>
      <c r="C33" s="13">
        <v>17</v>
      </c>
      <c r="D33" s="20" t="s">
        <v>1340</v>
      </c>
      <c r="E33" s="485" t="s">
        <v>1223</v>
      </c>
      <c r="F33" s="491" t="s">
        <v>1231</v>
      </c>
      <c r="G33" s="51" t="s">
        <v>1208</v>
      </c>
      <c r="H33" s="50" t="s">
        <v>1300</v>
      </c>
      <c r="I33" s="493" t="s">
        <v>1191</v>
      </c>
      <c r="J33" s="563">
        <f t="shared" si="19"/>
        <v>0</v>
      </c>
      <c r="K33" s="567"/>
      <c r="L33" s="563">
        <f t="shared" si="20"/>
        <v>0</v>
      </c>
      <c r="M33" s="567"/>
      <c r="N33" s="502">
        <f t="shared" si="15"/>
        <v>0</v>
      </c>
      <c r="O33" s="567"/>
      <c r="P33" s="567"/>
      <c r="Q33" s="567"/>
      <c r="R33" s="567"/>
      <c r="S33" s="510"/>
      <c r="T33" s="625">
        <v>0</v>
      </c>
      <c r="U33" s="618" t="s">
        <v>1286</v>
      </c>
      <c r="V33" s="625">
        <v>0</v>
      </c>
      <c r="W33" s="618" t="s">
        <v>1286</v>
      </c>
      <c r="X33" s="167">
        <f t="shared" si="21"/>
        <v>0</v>
      </c>
      <c r="Y33" s="510"/>
      <c r="Z33" s="625">
        <v>0</v>
      </c>
      <c r="AA33" s="618" t="s">
        <v>1286</v>
      </c>
      <c r="AB33" s="625">
        <v>0</v>
      </c>
      <c r="AC33" s="618" t="s">
        <v>1165</v>
      </c>
      <c r="AD33" s="167">
        <f t="shared" si="22"/>
        <v>0</v>
      </c>
      <c r="AE33" s="510"/>
      <c r="AF33" s="625">
        <v>0</v>
      </c>
      <c r="AG33" s="618" t="s">
        <v>1286</v>
      </c>
      <c r="AH33" s="625">
        <v>0</v>
      </c>
      <c r="AI33" s="618" t="s">
        <v>1165</v>
      </c>
      <c r="AJ33" s="167">
        <f t="shared" si="23"/>
        <v>0</v>
      </c>
      <c r="AK33" s="510"/>
      <c r="AL33" s="625">
        <v>0</v>
      </c>
      <c r="AM33" s="618" t="s">
        <v>1286</v>
      </c>
      <c r="AN33" s="625">
        <v>0</v>
      </c>
      <c r="AO33" s="618" t="s">
        <v>1165</v>
      </c>
      <c r="AP33" s="167">
        <f t="shared" si="24"/>
        <v>0</v>
      </c>
      <c r="AQ33" s="510"/>
      <c r="AR33" s="625">
        <v>0</v>
      </c>
      <c r="AS33" s="618" t="s">
        <v>1286</v>
      </c>
      <c r="AT33" s="625">
        <v>0</v>
      </c>
      <c r="AU33" s="618" t="s">
        <v>1165</v>
      </c>
      <c r="AV33" s="167">
        <f t="shared" si="25"/>
        <v>0</v>
      </c>
      <c r="AW33" s="510"/>
      <c r="AX33" s="625">
        <v>0</v>
      </c>
      <c r="AY33" s="618" t="s">
        <v>1286</v>
      </c>
      <c r="AZ33" s="625">
        <v>0</v>
      </c>
      <c r="BA33" s="618" t="s">
        <v>1165</v>
      </c>
      <c r="BB33" s="167">
        <f t="shared" si="26"/>
        <v>0</v>
      </c>
      <c r="BC33" s="510"/>
      <c r="BD33" s="625">
        <v>0</v>
      </c>
      <c r="BE33" s="618" t="s">
        <v>1286</v>
      </c>
      <c r="BF33" s="625">
        <v>0</v>
      </c>
      <c r="BG33" s="618" t="s">
        <v>1165</v>
      </c>
      <c r="BH33" s="167">
        <f t="shared" si="27"/>
        <v>0</v>
      </c>
      <c r="BI33" s="510"/>
      <c r="BJ33" s="625">
        <v>0</v>
      </c>
      <c r="BK33" s="618" t="s">
        <v>1286</v>
      </c>
      <c r="BL33" s="625">
        <v>0</v>
      </c>
      <c r="BM33" s="618" t="s">
        <v>1165</v>
      </c>
      <c r="BN33" s="167">
        <f t="shared" si="28"/>
        <v>0</v>
      </c>
      <c r="BO33" s="510"/>
      <c r="BP33" s="625">
        <v>0</v>
      </c>
      <c r="BQ33" s="618" t="s">
        <v>1286</v>
      </c>
      <c r="BR33" s="625">
        <v>0</v>
      </c>
      <c r="BS33" s="618" t="s">
        <v>1165</v>
      </c>
      <c r="BT33" s="167">
        <f t="shared" si="29"/>
        <v>0</v>
      </c>
      <c r="BU33" s="510"/>
      <c r="BV33" s="625">
        <v>0</v>
      </c>
      <c r="BW33" s="618" t="s">
        <v>1286</v>
      </c>
      <c r="BX33" s="625">
        <v>0</v>
      </c>
      <c r="BY33" s="618" t="s">
        <v>1165</v>
      </c>
      <c r="BZ33" s="167">
        <f t="shared" si="30"/>
        <v>0</v>
      </c>
      <c r="CA33" s="18"/>
      <c r="CD33" s="569">
        <f t="shared" si="31"/>
        <v>0</v>
      </c>
      <c r="CE33" s="570">
        <v>1</v>
      </c>
      <c r="CF33" s="571"/>
      <c r="CG33" s="571">
        <v>0</v>
      </c>
      <c r="CH33" s="569">
        <f t="shared" si="32"/>
        <v>0</v>
      </c>
    </row>
    <row r="34" spans="1:86" s="2" customFormat="1">
      <c r="A34" s="1875" t="s">
        <v>1342</v>
      </c>
      <c r="B34" s="1878" t="s">
        <v>1343</v>
      </c>
      <c r="C34" s="13">
        <v>18</v>
      </c>
      <c r="D34" s="20" t="s">
        <v>1287</v>
      </c>
      <c r="E34" s="485" t="s">
        <v>531</v>
      </c>
      <c r="F34" s="51"/>
      <c r="G34" s="1882" t="s">
        <v>1279</v>
      </c>
      <c r="H34" s="1881" t="s">
        <v>1300</v>
      </c>
      <c r="I34" s="1883">
        <v>2</v>
      </c>
      <c r="J34" s="563">
        <f t="shared" si="19"/>
        <v>0</v>
      </c>
      <c r="K34" s="1884">
        <f>AVERAGE(BW34,BQ34,BK34,BE34,AY34,AS34,AM34,AG34,AA34,U34)</f>
        <v>2</v>
      </c>
      <c r="L34" s="563">
        <f t="shared" si="20"/>
        <v>0</v>
      </c>
      <c r="M34" s="1884">
        <f>AVERAGE(BY34,BS34,BM34,BG34,BA34,AU34,AO34,AI34,AC34,W34)</f>
        <v>2</v>
      </c>
      <c r="N34" s="502">
        <f t="shared" si="15"/>
        <v>0</v>
      </c>
      <c r="O34" s="65">
        <f>I34-M34</f>
        <v>0</v>
      </c>
      <c r="P34" s="500">
        <f t="shared" si="16"/>
        <v>0</v>
      </c>
      <c r="Q34" s="816">
        <f t="shared" si="17"/>
        <v>0</v>
      </c>
      <c r="R34" s="815">
        <f t="shared" si="18"/>
        <v>0</v>
      </c>
      <c r="S34" s="510"/>
      <c r="T34" s="625">
        <v>0</v>
      </c>
      <c r="U34" s="1874">
        <f>2-T34*0.5-T35</f>
        <v>2</v>
      </c>
      <c r="V34" s="625">
        <v>0</v>
      </c>
      <c r="W34" s="1874">
        <f>2-V34*0.5-V35</f>
        <v>2</v>
      </c>
      <c r="X34" s="167">
        <f t="shared" si="21"/>
        <v>0</v>
      </c>
      <c r="Y34" s="510"/>
      <c r="Z34" s="625">
        <v>0</v>
      </c>
      <c r="AA34" s="1874">
        <f>2-Z34*0.5-Z35</f>
        <v>2</v>
      </c>
      <c r="AB34" s="625">
        <v>0</v>
      </c>
      <c r="AC34" s="1874">
        <f>2-AB34*0.5-AB35</f>
        <v>2</v>
      </c>
      <c r="AD34" s="167">
        <f t="shared" si="22"/>
        <v>0</v>
      </c>
      <c r="AE34" s="510"/>
      <c r="AF34" s="625">
        <v>0</v>
      </c>
      <c r="AG34" s="1874">
        <f>2-AF34*0.5-AF35</f>
        <v>2</v>
      </c>
      <c r="AH34" s="625">
        <v>0</v>
      </c>
      <c r="AI34" s="1874">
        <f>2-AH34*0.5-AH35</f>
        <v>2</v>
      </c>
      <c r="AJ34" s="167">
        <f t="shared" si="23"/>
        <v>0</v>
      </c>
      <c r="AK34" s="510"/>
      <c r="AL34" s="625">
        <v>0</v>
      </c>
      <c r="AM34" s="1874">
        <f>2-AL34*0.5-AL35</f>
        <v>2</v>
      </c>
      <c r="AN34" s="625">
        <v>0</v>
      </c>
      <c r="AO34" s="1874">
        <f>2-AN34*0.5-AN35</f>
        <v>2</v>
      </c>
      <c r="AP34" s="167">
        <f t="shared" si="24"/>
        <v>0</v>
      </c>
      <c r="AQ34" s="510"/>
      <c r="AR34" s="625">
        <v>0</v>
      </c>
      <c r="AS34" s="1874">
        <f>2-AR34*0.5-AR35</f>
        <v>2</v>
      </c>
      <c r="AT34" s="625">
        <v>0</v>
      </c>
      <c r="AU34" s="1874">
        <f>2-AT34*0.5-AT35</f>
        <v>2</v>
      </c>
      <c r="AV34" s="167">
        <f t="shared" si="25"/>
        <v>0</v>
      </c>
      <c r="AW34" s="510"/>
      <c r="AX34" s="625">
        <v>0</v>
      </c>
      <c r="AY34" s="1874">
        <f>2-AX34*0.5-AX35</f>
        <v>2</v>
      </c>
      <c r="AZ34" s="625">
        <v>0</v>
      </c>
      <c r="BA34" s="1874">
        <f>2-AZ34*0.5-AZ35</f>
        <v>2</v>
      </c>
      <c r="BB34" s="167">
        <f t="shared" si="26"/>
        <v>0</v>
      </c>
      <c r="BC34" s="510"/>
      <c r="BD34" s="625">
        <v>0</v>
      </c>
      <c r="BE34" s="1874">
        <f>2-BD34*0.5-BD35</f>
        <v>2</v>
      </c>
      <c r="BF34" s="625">
        <v>0</v>
      </c>
      <c r="BG34" s="1874">
        <f>2-BF34*0.5-BF35</f>
        <v>2</v>
      </c>
      <c r="BH34" s="167">
        <f t="shared" si="27"/>
        <v>0</v>
      </c>
      <c r="BI34" s="510"/>
      <c r="BJ34" s="625">
        <v>0</v>
      </c>
      <c r="BK34" s="1874">
        <f>2-BJ34*0.5-BJ35</f>
        <v>2</v>
      </c>
      <c r="BL34" s="625">
        <v>0</v>
      </c>
      <c r="BM34" s="1874">
        <f>2-BL34*0.5-BL35</f>
        <v>2</v>
      </c>
      <c r="BN34" s="167">
        <f t="shared" si="28"/>
        <v>0</v>
      </c>
      <c r="BO34" s="510"/>
      <c r="BP34" s="625">
        <v>0</v>
      </c>
      <c r="BQ34" s="1874">
        <f>2-BP34*0.5-BP35</f>
        <v>2</v>
      </c>
      <c r="BR34" s="625">
        <v>0</v>
      </c>
      <c r="BS34" s="1874">
        <f>2-BR34*0.5-BR35</f>
        <v>2</v>
      </c>
      <c r="BT34" s="167">
        <f t="shared" si="29"/>
        <v>0</v>
      </c>
      <c r="BU34" s="510"/>
      <c r="BV34" s="625">
        <v>0</v>
      </c>
      <c r="BW34" s="1874">
        <f>2-BV34*0.5-BV35</f>
        <v>2</v>
      </c>
      <c r="BX34" s="625">
        <v>0</v>
      </c>
      <c r="BY34" s="1874">
        <f>2-BX34*0.5-BX35</f>
        <v>2</v>
      </c>
      <c r="BZ34" s="167">
        <f t="shared" si="30"/>
        <v>0</v>
      </c>
      <c r="CA34" s="18"/>
      <c r="CD34" s="569">
        <f t="shared" si="31"/>
        <v>2</v>
      </c>
      <c r="CE34" s="570">
        <v>1</v>
      </c>
      <c r="CF34" s="571">
        <f>M34</f>
        <v>2</v>
      </c>
      <c r="CG34" s="570">
        <v>1</v>
      </c>
      <c r="CH34" s="569">
        <f t="shared" si="32"/>
        <v>0</v>
      </c>
    </row>
    <row r="35" spans="1:86" s="2" customFormat="1">
      <c r="A35" s="1877"/>
      <c r="B35" s="1880"/>
      <c r="C35" s="13">
        <v>19</v>
      </c>
      <c r="D35" s="20" t="s">
        <v>1290</v>
      </c>
      <c r="E35" s="485" t="s">
        <v>531</v>
      </c>
      <c r="F35" s="51"/>
      <c r="G35" s="1882"/>
      <c r="H35" s="1881"/>
      <c r="I35" s="1883"/>
      <c r="J35" s="563">
        <f t="shared" si="19"/>
        <v>0</v>
      </c>
      <c r="K35" s="1886"/>
      <c r="L35" s="563">
        <f t="shared" si="20"/>
        <v>0</v>
      </c>
      <c r="M35" s="1886"/>
      <c r="N35" s="502">
        <f t="shared" si="15"/>
        <v>0</v>
      </c>
      <c r="O35" s="65">
        <f>I35-M35</f>
        <v>0</v>
      </c>
      <c r="P35" s="500">
        <f t="shared" si="16"/>
        <v>0</v>
      </c>
      <c r="Q35" s="816">
        <f t="shared" si="17"/>
        <v>0</v>
      </c>
      <c r="R35" s="815">
        <f t="shared" si="18"/>
        <v>0</v>
      </c>
      <c r="S35" s="510"/>
      <c r="T35" s="625">
        <v>0</v>
      </c>
      <c r="U35" s="1874"/>
      <c r="V35" s="625">
        <v>0</v>
      </c>
      <c r="W35" s="1874"/>
      <c r="X35" s="167">
        <f t="shared" si="21"/>
        <v>0</v>
      </c>
      <c r="Y35" s="510"/>
      <c r="Z35" s="625">
        <v>0</v>
      </c>
      <c r="AA35" s="1874"/>
      <c r="AB35" s="625">
        <v>0</v>
      </c>
      <c r="AC35" s="1874"/>
      <c r="AD35" s="167">
        <f t="shared" si="22"/>
        <v>0</v>
      </c>
      <c r="AE35" s="510"/>
      <c r="AF35" s="625">
        <v>0</v>
      </c>
      <c r="AG35" s="1874"/>
      <c r="AH35" s="625">
        <v>0</v>
      </c>
      <c r="AI35" s="1874"/>
      <c r="AJ35" s="167">
        <f t="shared" si="23"/>
        <v>0</v>
      </c>
      <c r="AK35" s="510"/>
      <c r="AL35" s="625">
        <v>0</v>
      </c>
      <c r="AM35" s="1874"/>
      <c r="AN35" s="625">
        <v>0</v>
      </c>
      <c r="AO35" s="1874"/>
      <c r="AP35" s="167">
        <f t="shared" si="24"/>
        <v>0</v>
      </c>
      <c r="AQ35" s="510"/>
      <c r="AR35" s="625">
        <v>0</v>
      </c>
      <c r="AS35" s="1874"/>
      <c r="AT35" s="625">
        <v>0</v>
      </c>
      <c r="AU35" s="1874"/>
      <c r="AV35" s="167">
        <f t="shared" si="25"/>
        <v>0</v>
      </c>
      <c r="AW35" s="510"/>
      <c r="AX35" s="625">
        <v>0</v>
      </c>
      <c r="AY35" s="1874"/>
      <c r="AZ35" s="625">
        <v>0</v>
      </c>
      <c r="BA35" s="1874"/>
      <c r="BB35" s="167">
        <f t="shared" si="26"/>
        <v>0</v>
      </c>
      <c r="BC35" s="510"/>
      <c r="BD35" s="625">
        <v>0</v>
      </c>
      <c r="BE35" s="1874"/>
      <c r="BF35" s="625">
        <v>0</v>
      </c>
      <c r="BG35" s="1874"/>
      <c r="BH35" s="167">
        <f t="shared" si="27"/>
        <v>0</v>
      </c>
      <c r="BI35" s="510"/>
      <c r="BJ35" s="625">
        <v>0</v>
      </c>
      <c r="BK35" s="1874"/>
      <c r="BL35" s="625">
        <v>0</v>
      </c>
      <c r="BM35" s="1874"/>
      <c r="BN35" s="167">
        <f t="shared" si="28"/>
        <v>0</v>
      </c>
      <c r="BO35" s="510"/>
      <c r="BP35" s="625">
        <v>0</v>
      </c>
      <c r="BQ35" s="1874"/>
      <c r="BR35" s="625">
        <v>0</v>
      </c>
      <c r="BS35" s="1874"/>
      <c r="BT35" s="167">
        <f t="shared" si="29"/>
        <v>0</v>
      </c>
      <c r="BU35" s="510"/>
      <c r="BV35" s="625">
        <v>0</v>
      </c>
      <c r="BW35" s="1874"/>
      <c r="BX35" s="625">
        <v>0</v>
      </c>
      <c r="BY35" s="1874"/>
      <c r="BZ35" s="167">
        <f t="shared" si="30"/>
        <v>0</v>
      </c>
      <c r="CA35" s="18"/>
      <c r="CD35" s="569">
        <f t="shared" si="31"/>
        <v>0</v>
      </c>
      <c r="CE35" s="570">
        <v>1</v>
      </c>
      <c r="CF35" s="571"/>
      <c r="CG35" s="570">
        <v>1</v>
      </c>
      <c r="CH35" s="569">
        <f t="shared" si="32"/>
        <v>0</v>
      </c>
    </row>
    <row r="36" spans="1:86" s="2" customFormat="1">
      <c r="A36" s="262" t="s">
        <v>1345</v>
      </c>
      <c r="B36" s="262" t="s">
        <v>1346</v>
      </c>
      <c r="C36" s="13">
        <v>20</v>
      </c>
      <c r="D36" s="20" t="s">
        <v>1344</v>
      </c>
      <c r="E36" s="485" t="s">
        <v>531</v>
      </c>
      <c r="F36" s="51"/>
      <c r="G36" s="51" t="s">
        <v>474</v>
      </c>
      <c r="H36" s="50" t="s">
        <v>1300</v>
      </c>
      <c r="I36" s="493">
        <v>2</v>
      </c>
      <c r="J36" s="492" t="s">
        <v>1347</v>
      </c>
      <c r="K36" s="432">
        <f>AVERAGE(BW36,BQ36,BK36,BE36,AY36,AS36,AM36,AG36,AA36,U36)</f>
        <v>2</v>
      </c>
      <c r="L36" s="492" t="s">
        <v>1347</v>
      </c>
      <c r="M36" s="432">
        <f>AVERAGE(BY36,BS36,BM36,BG36,BA36,AU36,AO36,AI36,AC36,W36)</f>
        <v>2</v>
      </c>
      <c r="N36" s="502">
        <f t="shared" si="15"/>
        <v>0</v>
      </c>
      <c r="O36" s="65">
        <f>I36-M36</f>
        <v>0</v>
      </c>
      <c r="P36" s="500">
        <f t="shared" si="16"/>
        <v>0</v>
      </c>
      <c r="Q36" s="816">
        <f t="shared" si="17"/>
        <v>0</v>
      </c>
      <c r="R36" s="815">
        <f t="shared" si="18"/>
        <v>0</v>
      </c>
      <c r="S36" s="510"/>
      <c r="T36" s="625" t="s">
        <v>1347</v>
      </c>
      <c r="U36" s="618">
        <v>2</v>
      </c>
      <c r="V36" s="625" t="s">
        <v>1347</v>
      </c>
      <c r="W36" s="618">
        <f>IF(LEFT(V36,1)="1",2,0)</f>
        <v>2</v>
      </c>
      <c r="X36" s="167">
        <f>IF((V36=T36)=TRUE,0,1)</f>
        <v>0</v>
      </c>
      <c r="Y36" s="510"/>
      <c r="Z36" s="625" t="s">
        <v>1347</v>
      </c>
      <c r="AA36" s="618">
        <v>2</v>
      </c>
      <c r="AB36" s="625" t="s">
        <v>1347</v>
      </c>
      <c r="AC36" s="618">
        <f>IF(LEFT(AB36,1)="1",2,0)</f>
        <v>2</v>
      </c>
      <c r="AD36" s="167">
        <f>IF((AB36=Z36)=TRUE,0,1)</f>
        <v>0</v>
      </c>
      <c r="AE36" s="510"/>
      <c r="AF36" s="625" t="s">
        <v>1347</v>
      </c>
      <c r="AG36" s="618">
        <v>2</v>
      </c>
      <c r="AH36" s="625" t="s">
        <v>1347</v>
      </c>
      <c r="AI36" s="618">
        <f>IF(LEFT(AH36,1)="1",2,0)</f>
        <v>2</v>
      </c>
      <c r="AJ36" s="167">
        <f>IF((AH36=AF36)=TRUE,0,1)</f>
        <v>0</v>
      </c>
      <c r="AK36" s="510"/>
      <c r="AL36" s="625" t="s">
        <v>1347</v>
      </c>
      <c r="AM36" s="618">
        <v>2</v>
      </c>
      <c r="AN36" s="625" t="s">
        <v>1347</v>
      </c>
      <c r="AO36" s="618">
        <f>IF(LEFT(AN36,1)="1",2,0)</f>
        <v>2</v>
      </c>
      <c r="AP36" s="167">
        <f>IF((AN36=AL36)=TRUE,0,1)</f>
        <v>0</v>
      </c>
      <c r="AQ36" s="510"/>
      <c r="AR36" s="625" t="s">
        <v>1347</v>
      </c>
      <c r="AS36" s="618">
        <v>2</v>
      </c>
      <c r="AT36" s="625" t="s">
        <v>1347</v>
      </c>
      <c r="AU36" s="618">
        <f>IF(LEFT(AT36,1)="1",2,0)</f>
        <v>2</v>
      </c>
      <c r="AV36" s="167">
        <f>IF((AT36=AR36)=TRUE,0,1)</f>
        <v>0</v>
      </c>
      <c r="AW36" s="510"/>
      <c r="AX36" s="625" t="s">
        <v>1347</v>
      </c>
      <c r="AY36" s="618">
        <v>2</v>
      </c>
      <c r="AZ36" s="625" t="s">
        <v>1347</v>
      </c>
      <c r="BA36" s="618">
        <f>IF(LEFT(AZ36,1)="1",2,0)</f>
        <v>2</v>
      </c>
      <c r="BB36" s="167">
        <f>IF((AZ36=AX36)=TRUE,0,1)</f>
        <v>0</v>
      </c>
      <c r="BC36" s="510"/>
      <c r="BD36" s="625" t="s">
        <v>1347</v>
      </c>
      <c r="BE36" s="618">
        <v>2</v>
      </c>
      <c r="BF36" s="625" t="s">
        <v>1347</v>
      </c>
      <c r="BG36" s="618">
        <f>IF(LEFT(BF36,1)="1",2,0)</f>
        <v>2</v>
      </c>
      <c r="BH36" s="167">
        <f>IF((BF36=BD36)=TRUE,0,1)</f>
        <v>0</v>
      </c>
      <c r="BI36" s="510"/>
      <c r="BJ36" s="625" t="s">
        <v>1347</v>
      </c>
      <c r="BK36" s="618">
        <v>2</v>
      </c>
      <c r="BL36" s="625" t="s">
        <v>1347</v>
      </c>
      <c r="BM36" s="618">
        <f>IF(LEFT(BL36,1)="1",2,0)</f>
        <v>2</v>
      </c>
      <c r="BN36" s="167">
        <f>IF((BL36=BJ36)=TRUE,0,1)</f>
        <v>0</v>
      </c>
      <c r="BO36" s="510"/>
      <c r="BP36" s="625" t="s">
        <v>1347</v>
      </c>
      <c r="BQ36" s="618">
        <v>2</v>
      </c>
      <c r="BR36" s="625" t="s">
        <v>1347</v>
      </c>
      <c r="BS36" s="618">
        <f>IF(LEFT(BR36,1)="1",2,0)</f>
        <v>2</v>
      </c>
      <c r="BT36" s="167">
        <f>IF((BR36=BP36)=TRUE,0,1)</f>
        <v>0</v>
      </c>
      <c r="BU36" s="510"/>
      <c r="BV36" s="625" t="s">
        <v>1347</v>
      </c>
      <c r="BW36" s="618">
        <v>2</v>
      </c>
      <c r="BX36" s="625" t="s">
        <v>1347</v>
      </c>
      <c r="BY36" s="618">
        <f>IF(LEFT(BX36,1)="1",2,0)</f>
        <v>2</v>
      </c>
      <c r="BZ36" s="167">
        <f>IF((BX36=BV36)=TRUE,0,1)</f>
        <v>0</v>
      </c>
      <c r="CA36" s="18"/>
      <c r="CD36" s="569">
        <f t="shared" si="31"/>
        <v>2</v>
      </c>
      <c r="CE36" s="570">
        <v>1</v>
      </c>
      <c r="CF36" s="571">
        <f>M36</f>
        <v>2</v>
      </c>
      <c r="CG36" s="570">
        <v>1</v>
      </c>
      <c r="CH36" s="569">
        <f t="shared" si="32"/>
        <v>0</v>
      </c>
    </row>
    <row r="37" spans="1:86" s="2" customFormat="1" ht="17.25" customHeight="1">
      <c r="A37" s="262" t="s">
        <v>1349</v>
      </c>
      <c r="B37" s="262" t="s">
        <v>1350</v>
      </c>
      <c r="C37" s="13">
        <v>21</v>
      </c>
      <c r="D37" s="20" t="s">
        <v>1348</v>
      </c>
      <c r="E37" s="485" t="s">
        <v>531</v>
      </c>
      <c r="F37" s="51"/>
      <c r="G37" s="51" t="s">
        <v>474</v>
      </c>
      <c r="H37" s="50" t="s">
        <v>1300</v>
      </c>
      <c r="I37" s="493">
        <v>1</v>
      </c>
      <c r="J37" s="492" t="s">
        <v>1351</v>
      </c>
      <c r="K37" s="432">
        <f>AVERAGE(BW37,BQ37,BK37,BE37,AY37,AS37,AM37,AG37,AA37,U37)</f>
        <v>1</v>
      </c>
      <c r="L37" s="492" t="s">
        <v>1351</v>
      </c>
      <c r="M37" s="432">
        <f>AVERAGE(BY37,BS37,BM37,BG37,BA37,AU37,AO37,AI37,AC37,W37)</f>
        <v>1</v>
      </c>
      <c r="N37" s="502">
        <f t="shared" si="15"/>
        <v>0</v>
      </c>
      <c r="O37" s="65">
        <f>I37-M37</f>
        <v>0</v>
      </c>
      <c r="P37" s="500">
        <f t="shared" si="16"/>
        <v>0</v>
      </c>
      <c r="Q37" s="816">
        <f t="shared" si="17"/>
        <v>0</v>
      </c>
      <c r="R37" s="815">
        <f t="shared" si="18"/>
        <v>0</v>
      </c>
      <c r="S37" s="510"/>
      <c r="T37" s="625" t="s">
        <v>1351</v>
      </c>
      <c r="U37" s="618">
        <v>1</v>
      </c>
      <c r="V37" s="625" t="s">
        <v>1351</v>
      </c>
      <c r="W37" s="618">
        <f>IF(LEFT(V37,1)="1",1,0)</f>
        <v>1</v>
      </c>
      <c r="X37" s="167">
        <f>IF((V37=T37)=TRUE,0,1)</f>
        <v>0</v>
      </c>
      <c r="Y37" s="510"/>
      <c r="Z37" s="625" t="s">
        <v>1351</v>
      </c>
      <c r="AA37" s="618">
        <v>1</v>
      </c>
      <c r="AB37" s="625" t="s">
        <v>1351</v>
      </c>
      <c r="AC37" s="618">
        <f>IF(LEFT(AB37,1)="1",1,0)</f>
        <v>1</v>
      </c>
      <c r="AD37" s="167">
        <f>IF((AB37=Z37)=TRUE,0,1)</f>
        <v>0</v>
      </c>
      <c r="AE37" s="510"/>
      <c r="AF37" s="625" t="s">
        <v>1351</v>
      </c>
      <c r="AG37" s="618">
        <v>1</v>
      </c>
      <c r="AH37" s="625" t="s">
        <v>1351</v>
      </c>
      <c r="AI37" s="618">
        <f>IF(LEFT(AH37,1)="1",1,0)</f>
        <v>1</v>
      </c>
      <c r="AJ37" s="167">
        <f>IF((AH37=AF37)=TRUE,0,1)</f>
        <v>0</v>
      </c>
      <c r="AK37" s="510"/>
      <c r="AL37" s="625" t="s">
        <v>1351</v>
      </c>
      <c r="AM37" s="618">
        <v>1</v>
      </c>
      <c r="AN37" s="625" t="s">
        <v>1351</v>
      </c>
      <c r="AO37" s="618">
        <f>IF(LEFT(AN37,1)="1",1,0)</f>
        <v>1</v>
      </c>
      <c r="AP37" s="167">
        <f>IF((AN37=AL37)=TRUE,0,1)</f>
        <v>0</v>
      </c>
      <c r="AQ37" s="510"/>
      <c r="AR37" s="625" t="s">
        <v>1351</v>
      </c>
      <c r="AS37" s="618">
        <v>1</v>
      </c>
      <c r="AT37" s="625" t="s">
        <v>1351</v>
      </c>
      <c r="AU37" s="618">
        <f>IF(LEFT(AT37,1)="1",1,0)</f>
        <v>1</v>
      </c>
      <c r="AV37" s="167">
        <f>IF((AT37=AR37)=TRUE,0,1)</f>
        <v>0</v>
      </c>
      <c r="AW37" s="510"/>
      <c r="AX37" s="625" t="s">
        <v>1351</v>
      </c>
      <c r="AY37" s="618">
        <v>1</v>
      </c>
      <c r="AZ37" s="625" t="s">
        <v>1351</v>
      </c>
      <c r="BA37" s="618">
        <f>IF(LEFT(AZ37,1)="1",1,0)</f>
        <v>1</v>
      </c>
      <c r="BB37" s="167">
        <f>IF((AZ37=AX37)=TRUE,0,1)</f>
        <v>0</v>
      </c>
      <c r="BC37" s="510"/>
      <c r="BD37" s="625" t="s">
        <v>1351</v>
      </c>
      <c r="BE37" s="618">
        <v>1</v>
      </c>
      <c r="BF37" s="625" t="s">
        <v>1351</v>
      </c>
      <c r="BG37" s="618">
        <f>IF(LEFT(BF37,1)="1",1,0)</f>
        <v>1</v>
      </c>
      <c r="BH37" s="167">
        <f>IF((BF37=BD37)=TRUE,0,1)</f>
        <v>0</v>
      </c>
      <c r="BI37" s="510"/>
      <c r="BJ37" s="625" t="s">
        <v>1351</v>
      </c>
      <c r="BK37" s="618">
        <v>1</v>
      </c>
      <c r="BL37" s="625" t="s">
        <v>1351</v>
      </c>
      <c r="BM37" s="618">
        <f>IF(LEFT(BL37,1)="1",1,0)</f>
        <v>1</v>
      </c>
      <c r="BN37" s="167">
        <f>IF((BL37=BJ37)=TRUE,0,1)</f>
        <v>0</v>
      </c>
      <c r="BO37" s="510"/>
      <c r="BP37" s="625" t="s">
        <v>1351</v>
      </c>
      <c r="BQ37" s="618">
        <v>1</v>
      </c>
      <c r="BR37" s="625" t="s">
        <v>1351</v>
      </c>
      <c r="BS37" s="618">
        <f>IF(LEFT(BR37,1)="1",1,0)</f>
        <v>1</v>
      </c>
      <c r="BT37" s="167">
        <f>IF((BR37=BP37)=TRUE,0,1)</f>
        <v>0</v>
      </c>
      <c r="BU37" s="510"/>
      <c r="BV37" s="625" t="s">
        <v>1351</v>
      </c>
      <c r="BW37" s="618">
        <v>1</v>
      </c>
      <c r="BX37" s="625" t="s">
        <v>1351</v>
      </c>
      <c r="BY37" s="618">
        <f>IF(LEFT(BX37,1)="1",1,0)</f>
        <v>1</v>
      </c>
      <c r="BZ37" s="167">
        <f>IF((BX37=BV37)=TRUE,0,1)</f>
        <v>0</v>
      </c>
      <c r="CA37" s="18"/>
      <c r="CD37" s="569">
        <f t="shared" si="31"/>
        <v>1</v>
      </c>
      <c r="CE37" s="570">
        <v>1</v>
      </c>
      <c r="CF37" s="571">
        <f>M37</f>
        <v>1</v>
      </c>
      <c r="CG37" s="570">
        <v>1</v>
      </c>
      <c r="CH37" s="569">
        <f t="shared" si="32"/>
        <v>0</v>
      </c>
    </row>
    <row r="38" spans="1:86" s="2" customFormat="1">
      <c r="A38" s="1875" t="s">
        <v>2218</v>
      </c>
      <c r="B38" s="1878" t="s">
        <v>1352</v>
      </c>
      <c r="C38" s="13">
        <v>22</v>
      </c>
      <c r="D38" s="20" t="s">
        <v>2391</v>
      </c>
      <c r="E38" s="485" t="s">
        <v>1040</v>
      </c>
      <c r="F38" s="51"/>
      <c r="G38" s="1882" t="s">
        <v>477</v>
      </c>
      <c r="H38" s="1881" t="s">
        <v>1297</v>
      </c>
      <c r="I38" s="1883">
        <v>10</v>
      </c>
      <c r="J38" s="562">
        <f>AVERAGE(BV38,BP38,BJ38,BD38,AX38,AR38,AL38,AF38,Z38,T38)</f>
        <v>293993349.97399998</v>
      </c>
      <c r="K38" s="1884">
        <f>AVERAGE(BW38,BQ38,BK38,BE38,AY38,AS38,AM38,AG38,AA38,U38)</f>
        <v>10</v>
      </c>
      <c r="L38" s="562">
        <f>AVERAGE(BX38,BR38,BL38,BF38,AZ38,AT38,AN38,AH38,AB38,V38)</f>
        <v>308979183.35900003</v>
      </c>
      <c r="M38" s="1884">
        <f>AVERAGE(BY38,BS38,BM38,BG38,BA38,AU38,AO38,AI38,AC38,W38)</f>
        <v>10</v>
      </c>
      <c r="N38" s="1814">
        <f t="shared" si="15"/>
        <v>0</v>
      </c>
      <c r="O38" s="1907">
        <f>I38-M38</f>
        <v>0</v>
      </c>
      <c r="P38" s="500">
        <f t="shared" si="16"/>
        <v>0</v>
      </c>
      <c r="Q38" s="816">
        <f t="shared" si="17"/>
        <v>0</v>
      </c>
      <c r="R38" s="815">
        <f t="shared" si="18"/>
        <v>0</v>
      </c>
      <c r="S38" s="510"/>
      <c r="T38" s="625">
        <v>150759849.93000001</v>
      </c>
      <c r="U38" s="1874">
        <f>IF(T29+T30+T31=0,10,"行业水平评分")</f>
        <v>10</v>
      </c>
      <c r="V38" s="625">
        <v>162608970.34999999</v>
      </c>
      <c r="W38" s="1874">
        <f>IF(V29+V30+V31=0,10,"行业水平评分")</f>
        <v>10</v>
      </c>
      <c r="X38" s="167">
        <f>IF(AND(T38=0,V38&lt;&gt;0),1,IF(AND(T38=0,V38=0),0,V38/T38-1))</f>
        <v>7.8595995057713974E-2</v>
      </c>
      <c r="Y38" s="510"/>
      <c r="Z38" s="625">
        <v>717814933.43999994</v>
      </c>
      <c r="AA38" s="1874">
        <f>IF(Z29+Z30+Z31=0,10,"行业水平评分")</f>
        <v>10</v>
      </c>
      <c r="AB38" s="625">
        <v>727358141.16999996</v>
      </c>
      <c r="AC38" s="1874">
        <f>IF(AB29+AB30+AB31=0,10,"行业水平评分")</f>
        <v>10</v>
      </c>
      <c r="AD38" s="167">
        <f>IF(AND(Z38=0,AB38&lt;&gt;0),1,IF(AND(Z38=0,AB38=0),0,AB38/Z38-1))</f>
        <v>1.3294802441996989E-2</v>
      </c>
      <c r="AE38" s="510"/>
      <c r="AF38" s="1698">
        <v>443083589.52000004</v>
      </c>
      <c r="AG38" s="1874">
        <f>IF(AF29+AF30+AF31=0,10,"行业水平评分")</f>
        <v>10</v>
      </c>
      <c r="AH38" s="625">
        <v>501849477.09000003</v>
      </c>
      <c r="AI38" s="1874">
        <f>IF(AH29+AH30+AH31=0,10,"行业水平评分")</f>
        <v>10</v>
      </c>
      <c r="AJ38" s="167">
        <f>IF(AND(AF38=0,AH38&lt;&gt;0),1,IF(AND(AF38=0,AH38=0),0,AH38/AF38-1))</f>
        <v>0.13262934796041992</v>
      </c>
      <c r="AK38" s="510"/>
      <c r="AL38" s="625">
        <v>167275700.56999999</v>
      </c>
      <c r="AM38" s="1874">
        <f>IF(AL29+AL30+AL31=0,10,"行业水平评分")</f>
        <v>10</v>
      </c>
      <c r="AN38" s="625">
        <v>174855437.49000001</v>
      </c>
      <c r="AO38" s="1874">
        <f>IF(AN29+AN30+AN31=0,10,"行业水平评分")</f>
        <v>10</v>
      </c>
      <c r="AP38" s="167">
        <f>IF(AND(AL38=0,AN38&lt;&gt;0),1,IF(AND(AL38=0,AN38=0),0,AN38/AL38-1))</f>
        <v>4.5312839188069054E-2</v>
      </c>
      <c r="AQ38" s="510"/>
      <c r="AR38" s="625">
        <v>410195478.64000005</v>
      </c>
      <c r="AS38" s="1874">
        <f>IF(AR29+AR30+AR31=0,10,"行业水平评分")</f>
        <v>10</v>
      </c>
      <c r="AT38" s="625">
        <v>426685488.34000003</v>
      </c>
      <c r="AU38" s="1874">
        <f>IF(AT29+AT30+AT31=0,10,"行业水平评分")</f>
        <v>10</v>
      </c>
      <c r="AV38" s="167">
        <f>IF(AND(AR38=0,AT38&lt;&gt;0),1,IF(AND(AR38=0,AT38=0),0,AT38/AR38-1))</f>
        <v>4.0200369235352085E-2</v>
      </c>
      <c r="AW38" s="510"/>
      <c r="AX38" s="625">
        <v>439731394.57999992</v>
      </c>
      <c r="AY38" s="1874">
        <f>IF(AX29+AX30+AX31=0,10,"行业水平评分")</f>
        <v>10</v>
      </c>
      <c r="AZ38" s="625">
        <v>460576487.81</v>
      </c>
      <c r="BA38" s="1874">
        <f>IF(AZ29+AZ30+AZ31=0,10,"行业水平评分")</f>
        <v>10</v>
      </c>
      <c r="BB38" s="167">
        <f>IF(AND(AX38=0,AZ38&lt;&gt;0),1,IF(AND(AX38=0,AZ38=0),0,AZ38/AX38-1))</f>
        <v>4.7404150549473112E-2</v>
      </c>
      <c r="BC38" s="510"/>
      <c r="BD38" s="625">
        <v>89135757.319999993</v>
      </c>
      <c r="BE38" s="1874">
        <f>IF(BD29+BD30+BD31=0,10,"行业水平评分")</f>
        <v>10</v>
      </c>
      <c r="BF38" s="625">
        <v>88076318.189999998</v>
      </c>
      <c r="BG38" s="1874">
        <f>IF(BF29+BF30+BF31=0,10,"行业水平评分")</f>
        <v>10</v>
      </c>
      <c r="BH38" s="167">
        <f>IF(AND(BD38=0,BF38&lt;&gt;0),1,IF(AND(BD38=0,BF38=0),0,BF38/BD38-1))</f>
        <v>-1.1885680470482551E-2</v>
      </c>
      <c r="BI38" s="510"/>
      <c r="BJ38" s="625">
        <v>325747164.19999999</v>
      </c>
      <c r="BK38" s="1874">
        <f>IF(BJ29+BJ30+BJ31=0,10,"行业水平评分")</f>
        <v>10</v>
      </c>
      <c r="BL38" s="625">
        <v>344221917.25000006</v>
      </c>
      <c r="BM38" s="1874">
        <f>IF(BL29+BL30+BL31=0,10,"行业水平评分")</f>
        <v>10</v>
      </c>
      <c r="BN38" s="167">
        <f>IF(AND(BJ38=0,BL38&lt;&gt;0),1,IF(AND(BJ38=0,BL38=0),0,BL38/BJ38-1))</f>
        <v>5.6715008081105189E-2</v>
      </c>
      <c r="BO38" s="510"/>
      <c r="BP38" s="625">
        <v>79523892.569999993</v>
      </c>
      <c r="BQ38" s="1874">
        <f>IF(BP29+BP30+BP31=0,10,"行业水平评分")</f>
        <v>10</v>
      </c>
      <c r="BR38" s="625">
        <v>81146683.63000001</v>
      </c>
      <c r="BS38" s="1874">
        <f>IF(BR29+BR30+BR31=0,10,"行业水平评分")</f>
        <v>10</v>
      </c>
      <c r="BT38" s="167">
        <f>IF(AND(BP38=0,BR38&lt;&gt;0),1,IF(AND(BP38=0,BR38=0),0,BR38/BP38-1))</f>
        <v>2.040633333650721E-2</v>
      </c>
      <c r="BU38" s="510"/>
      <c r="BV38" s="625">
        <v>116665738.97000001</v>
      </c>
      <c r="BW38" s="1874">
        <f>IF(BV29+BV30+BV31=0,10,"行业水平评分")</f>
        <v>10</v>
      </c>
      <c r="BX38" s="625">
        <v>122412912.26999998</v>
      </c>
      <c r="BY38" s="1874">
        <f>IF(BX29+BX30+BX31=0,10,"行业水平评分")</f>
        <v>10</v>
      </c>
      <c r="BZ38" s="167">
        <f>IF(AND(BV38=0,BX38&lt;&gt;0),1,IF(AND(BV38=0,BX38=0),0,BX38/BV38-1))</f>
        <v>4.9261877143535804E-2</v>
      </c>
      <c r="CA38" s="18"/>
      <c r="CD38" s="569">
        <f t="shared" si="31"/>
        <v>10</v>
      </c>
      <c r="CE38" s="570">
        <v>1</v>
      </c>
      <c r="CF38" s="571">
        <f>M38</f>
        <v>10</v>
      </c>
      <c r="CG38" s="571">
        <v>0</v>
      </c>
      <c r="CH38" s="569">
        <f t="shared" si="32"/>
        <v>0</v>
      </c>
    </row>
    <row r="39" spans="1:86" s="2" customFormat="1">
      <c r="A39" s="1876"/>
      <c r="B39" s="1879"/>
      <c r="C39" s="13">
        <v>23</v>
      </c>
      <c r="D39" s="20" t="s">
        <v>2390</v>
      </c>
      <c r="E39" s="485" t="s">
        <v>1040</v>
      </c>
      <c r="F39" s="51"/>
      <c r="G39" s="1882"/>
      <c r="H39" s="1881"/>
      <c r="I39" s="1883"/>
      <c r="J39" s="562">
        <f>AVERAGE(BV39,BP39,BJ39,BD39,AX39,AR39,AL39,AF39,Z39,T39)</f>
        <v>14633220.921</v>
      </c>
      <c r="K39" s="1885"/>
      <c r="L39" s="562">
        <f>AVERAGE(BX39,BR39,BL39,BF39,AZ39,AT39,AN39,AH39,AB39,V39)</f>
        <v>16658020.476</v>
      </c>
      <c r="M39" s="1885"/>
      <c r="N39" s="1815"/>
      <c r="O39" s="1908"/>
      <c r="P39" s="500">
        <f t="shared" si="16"/>
        <v>0</v>
      </c>
      <c r="Q39" s="816">
        <f t="shared" si="17"/>
        <v>0</v>
      </c>
      <c r="R39" s="815">
        <f t="shared" si="18"/>
        <v>0</v>
      </c>
      <c r="S39" s="510"/>
      <c r="T39" s="625">
        <v>5135200</v>
      </c>
      <c r="U39" s="1874"/>
      <c r="V39" s="625">
        <v>5077700</v>
      </c>
      <c r="W39" s="1874"/>
      <c r="X39" s="167">
        <f>IF(AND(T39=0,V39&lt;&gt;0),1,IF(AND(T39=0,V39=0),0,V39/T39-1))</f>
        <v>-1.1197226982396002E-2</v>
      </c>
      <c r="Y39" s="510"/>
      <c r="Z39" s="625">
        <v>30100846.810000002</v>
      </c>
      <c r="AA39" s="1874"/>
      <c r="AB39" s="625">
        <v>33056085.510000002</v>
      </c>
      <c r="AC39" s="1874"/>
      <c r="AD39" s="167">
        <f>IF(AND(Z39=0,AB39&lt;&gt;0),1,IF(AND(Z39=0,AB39=0),0,AB39/Z39-1))</f>
        <v>9.8177925646205422E-2</v>
      </c>
      <c r="AE39" s="510"/>
      <c r="AF39" s="1698">
        <v>33472800</v>
      </c>
      <c r="AG39" s="1874"/>
      <c r="AH39" s="625">
        <v>31917500</v>
      </c>
      <c r="AI39" s="1874"/>
      <c r="AJ39" s="167">
        <f>IF(AND(AF39=0,AH39&lt;&gt;0),1,IF(AND(AF39=0,AH39=0),0,AH39/AF39-1))</f>
        <v>-4.646459214645926E-2</v>
      </c>
      <c r="AK39" s="510"/>
      <c r="AL39" s="625">
        <v>20000</v>
      </c>
      <c r="AM39" s="1874"/>
      <c r="AN39" s="625">
        <v>20000</v>
      </c>
      <c r="AO39" s="1874"/>
      <c r="AP39" s="167">
        <f>IF(AND(AL39=0,AN39&lt;&gt;0),1,IF(AND(AL39=0,AN39=0),0,AN39/AL39-1))</f>
        <v>0</v>
      </c>
      <c r="AQ39" s="510"/>
      <c r="AR39" s="625">
        <v>45303469</v>
      </c>
      <c r="AS39" s="1874"/>
      <c r="AT39" s="625">
        <v>66620469.450000003</v>
      </c>
      <c r="AU39" s="1874"/>
      <c r="AV39" s="167">
        <f>IF(AND(AR39=0,AT39&lt;&gt;0),1,IF(AND(AR39=0,AT39=0),0,AT39/AR39-1))</f>
        <v>0.47053792834275021</v>
      </c>
      <c r="AW39" s="510"/>
      <c r="AX39" s="625">
        <v>14569700</v>
      </c>
      <c r="AY39" s="1874"/>
      <c r="AZ39" s="625">
        <v>14431200</v>
      </c>
      <c r="BA39" s="1874"/>
      <c r="BB39" s="167">
        <f>IF(AND(AX39=0,AZ39&lt;&gt;0),1,IF(AND(AX39=0,AZ39=0),0,AZ39/AX39-1))</f>
        <v>-9.5060296368491004E-3</v>
      </c>
      <c r="BC39" s="510"/>
      <c r="BD39" s="625">
        <v>8202430</v>
      </c>
      <c r="BE39" s="1874"/>
      <c r="BF39" s="625">
        <v>7793430</v>
      </c>
      <c r="BG39" s="1874"/>
      <c r="BH39" s="167">
        <f>IF(AND(BD39=0,BF39&lt;&gt;0),1,IF(AND(BD39=0,BF39=0),0,BF39/BD39-1))</f>
        <v>-4.9863272225425859E-2</v>
      </c>
      <c r="BI39" s="510"/>
      <c r="BJ39" s="625">
        <v>4586963.4000000004</v>
      </c>
      <c r="BK39" s="1874"/>
      <c r="BL39" s="625">
        <v>2582819.7999999998</v>
      </c>
      <c r="BM39" s="1874"/>
      <c r="BN39" s="167">
        <f>IF(AND(BJ39=0,BL39&lt;&gt;0),1,IF(AND(BJ39=0,BL39=0),0,BL39/BJ39-1))</f>
        <v>-0.43692164624640351</v>
      </c>
      <c r="BO39" s="510"/>
      <c r="BP39" s="625">
        <v>87900</v>
      </c>
      <c r="BQ39" s="1874"/>
      <c r="BR39" s="625">
        <v>87900</v>
      </c>
      <c r="BS39" s="1874"/>
      <c r="BT39" s="167">
        <f>IF(AND(BP39=0,BR39&lt;&gt;0),1,IF(AND(BP39=0,BR39=0),0,BR39/BP39-1))</f>
        <v>0</v>
      </c>
      <c r="BU39" s="510"/>
      <c r="BV39" s="625">
        <v>4852900</v>
      </c>
      <c r="BW39" s="1874"/>
      <c r="BX39" s="625">
        <v>4993100</v>
      </c>
      <c r="BY39" s="1874"/>
      <c r="BZ39" s="167">
        <f>IF(AND(BV39=0,BX39&lt;&gt;0),1,IF(AND(BV39=0,BX39=0),0,BX39/BV39-1))</f>
        <v>2.8889942096478327E-2</v>
      </c>
      <c r="CA39" s="18"/>
      <c r="CD39" s="572"/>
      <c r="CE39" s="571"/>
      <c r="CF39" s="571"/>
      <c r="CG39" s="572"/>
      <c r="CH39" s="572"/>
    </row>
    <row r="40" spans="1:86" s="2" customFormat="1">
      <c r="A40" s="1877"/>
      <c r="B40" s="1880"/>
      <c r="C40" s="13">
        <v>24</v>
      </c>
      <c r="D40" s="20" t="s">
        <v>2389</v>
      </c>
      <c r="E40" s="485" t="s">
        <v>1040</v>
      </c>
      <c r="F40" s="51"/>
      <c r="G40" s="1882"/>
      <c r="H40" s="1881"/>
      <c r="I40" s="1883"/>
      <c r="J40" s="562">
        <f>AVERAGE(BV40,BP40,BJ40,BD40,AX40,AR40,AL40,AF40,Z40,T40)</f>
        <v>275718.8</v>
      </c>
      <c r="K40" s="1886"/>
      <c r="L40" s="562">
        <f>AVERAGE(BX40,BR40,BL40,BF40,AZ40,AT40,AN40,AH40,AB40,V40)</f>
        <v>306377.79000000004</v>
      </c>
      <c r="M40" s="1886"/>
      <c r="N40" s="1816"/>
      <c r="O40" s="1909"/>
      <c r="P40" s="500">
        <f t="shared" si="16"/>
        <v>0</v>
      </c>
      <c r="Q40" s="816">
        <f t="shared" si="17"/>
        <v>0</v>
      </c>
      <c r="R40" s="815">
        <f t="shared" si="18"/>
        <v>0</v>
      </c>
      <c r="S40" s="510"/>
      <c r="T40" s="625">
        <v>0</v>
      </c>
      <c r="U40" s="1874"/>
      <c r="V40" s="625">
        <v>0</v>
      </c>
      <c r="W40" s="1874"/>
      <c r="X40" s="167">
        <f>IF(AND(T40=0,V40&lt;&gt;0),1,IF(AND(T40=0,V40=0),0,V40/T40-1))</f>
        <v>0</v>
      </c>
      <c r="Y40" s="510"/>
      <c r="Z40" s="625">
        <v>277945.40000000002</v>
      </c>
      <c r="AA40" s="1874"/>
      <c r="AB40" s="625">
        <v>317629.2</v>
      </c>
      <c r="AC40" s="1874"/>
      <c r="AD40" s="167">
        <f>IF(AND(Z40=0,AB40&lt;&gt;0),1,IF(AND(Z40=0,AB40=0),0,AB40/Z40-1))</f>
        <v>0.1427755235380761</v>
      </c>
      <c r="AE40" s="510"/>
      <c r="AF40" s="1698">
        <v>866723</v>
      </c>
      <c r="AG40" s="1874"/>
      <c r="AH40" s="625">
        <v>974724.70000000007</v>
      </c>
      <c r="AI40" s="1874"/>
      <c r="AJ40" s="167">
        <f>IF(AND(AF40=0,AH40&lt;&gt;0),1,IF(AND(AF40=0,AH40=0),0,AH40/AF40-1))</f>
        <v>0.12460924655282035</v>
      </c>
      <c r="AK40" s="510"/>
      <c r="AL40" s="625">
        <v>12900</v>
      </c>
      <c r="AM40" s="1874"/>
      <c r="AN40" s="625">
        <v>12900</v>
      </c>
      <c r="AO40" s="1874"/>
      <c r="AP40" s="167">
        <f>IF(AND(AL40=0,AN40&lt;&gt;0),1,IF(AND(AL40=0,AN40=0),0,AN40/AL40-1))</f>
        <v>0</v>
      </c>
      <c r="AQ40" s="510"/>
      <c r="AR40" s="625">
        <v>939089.6</v>
      </c>
      <c r="AS40" s="1874"/>
      <c r="AT40" s="625">
        <v>1000993.7</v>
      </c>
      <c r="AU40" s="1874"/>
      <c r="AV40" s="167">
        <f>IF(AND(AR40=0,AT40&lt;&gt;0),1,IF(AND(AR40=0,AT40=0),0,AT40/AR40-1))</f>
        <v>6.5919269045253914E-2</v>
      </c>
      <c r="AW40" s="510"/>
      <c r="AX40" s="625">
        <v>224088.5</v>
      </c>
      <c r="AY40" s="1874"/>
      <c r="AZ40" s="625">
        <v>259475.60000000003</v>
      </c>
      <c r="BA40" s="1874"/>
      <c r="BB40" s="167">
        <f>IF(AND(AX40=0,AZ40&lt;&gt;0),1,IF(AND(AX40=0,AZ40=0),0,AZ40/AX40-1))</f>
        <v>0.15791573418537785</v>
      </c>
      <c r="BC40" s="510"/>
      <c r="BD40" s="625">
        <v>1006</v>
      </c>
      <c r="BE40" s="1874"/>
      <c r="BF40" s="625">
        <v>1006</v>
      </c>
      <c r="BG40" s="1874"/>
      <c r="BH40" s="167">
        <f>IF(AND(BD40=0,BF40&lt;&gt;0),1,IF(AND(BD40=0,BF40=0),0,BF40/BD40-1))</f>
        <v>0</v>
      </c>
      <c r="BI40" s="510"/>
      <c r="BJ40" s="625">
        <v>141159.5</v>
      </c>
      <c r="BK40" s="1874"/>
      <c r="BL40" s="625">
        <v>204178.8</v>
      </c>
      <c r="BM40" s="1874"/>
      <c r="BN40" s="167">
        <f>IF(AND(BJ40=0,BL40&lt;&gt;0),1,IF(AND(BJ40=0,BL40=0),0,BL40/BJ40-1))</f>
        <v>0.44644037418664695</v>
      </c>
      <c r="BO40" s="510"/>
      <c r="BP40" s="625">
        <v>292264</v>
      </c>
      <c r="BQ40" s="1874"/>
      <c r="BR40" s="625">
        <v>290857.90000000002</v>
      </c>
      <c r="BS40" s="1874"/>
      <c r="BT40" s="167">
        <f>IF(AND(BP40=0,BR40&lt;&gt;0),1,IF(AND(BP40=0,BR40=0),0,BR40/BP40-1))</f>
        <v>-4.811061232310454E-3</v>
      </c>
      <c r="BU40" s="510"/>
      <c r="BV40" s="625">
        <v>2012</v>
      </c>
      <c r="BW40" s="1874"/>
      <c r="BX40" s="625">
        <v>2012</v>
      </c>
      <c r="BY40" s="1874"/>
      <c r="BZ40" s="167">
        <f>IF(AND(BV40=0,BX40&lt;&gt;0),1,IF(AND(BV40=0,BX40=0),0,BX40/BV40-1))</f>
        <v>0</v>
      </c>
      <c r="CA40" s="18"/>
      <c r="CD40" s="572"/>
      <c r="CE40" s="572"/>
      <c r="CF40" s="571"/>
      <c r="CG40" s="572"/>
      <c r="CH40" s="572"/>
    </row>
    <row r="41" spans="1:86" s="267" customFormat="1" ht="15">
      <c r="A41" s="264"/>
      <c r="B41" s="287"/>
      <c r="C41" s="544"/>
      <c r="D41" s="546" t="s">
        <v>277</v>
      </c>
      <c r="E41" s="545"/>
      <c r="F41" s="266"/>
      <c r="G41" s="266"/>
      <c r="H41" s="265"/>
      <c r="I41" s="558">
        <v>90</v>
      </c>
      <c r="J41" s="265"/>
      <c r="K41" s="432"/>
      <c r="L41" s="265"/>
      <c r="M41" s="883">
        <f>SUM(M4:M40)</f>
        <v>80.599999999999994</v>
      </c>
      <c r="N41" s="704"/>
      <c r="O41" s="590">
        <f>SUM(O4:O40)</f>
        <v>9.4</v>
      </c>
      <c r="P41" s="829">
        <f t="shared" si="16"/>
        <v>6.58</v>
      </c>
      <c r="Q41" s="830">
        <f t="shared" si="17"/>
        <v>0.73111111111111116</v>
      </c>
      <c r="R41" s="831">
        <f t="shared" si="18"/>
        <v>0.36555555555555558</v>
      </c>
      <c r="S41" s="510"/>
      <c r="T41" s="663"/>
      <c r="U41" s="266">
        <f>SUM(U4:U40)</f>
        <v>1216772.7231999999</v>
      </c>
      <c r="V41" s="265"/>
      <c r="W41" s="266">
        <f>SUM(W4:W40)</f>
        <v>814753.99349999998</v>
      </c>
      <c r="X41" s="266"/>
      <c r="Y41" s="510"/>
      <c r="Z41" s="663"/>
      <c r="AA41" s="266">
        <f>SUM(AA4:AA40)</f>
        <v>3537911.41</v>
      </c>
      <c r="AB41" s="265"/>
      <c r="AC41" s="266">
        <f>SUM(AC4:AC40)</f>
        <v>3662009.341</v>
      </c>
      <c r="AD41" s="266"/>
      <c r="AE41" s="510"/>
      <c r="AF41" s="663"/>
      <c r="AG41" s="266">
        <f>SUM(AG4:AG40)</f>
        <v>4586135.6034000004</v>
      </c>
      <c r="AH41" s="663"/>
      <c r="AI41" s="266">
        <f>SUM(AI4:AI40)</f>
        <v>5506946.0968000004</v>
      </c>
      <c r="AJ41" s="266"/>
      <c r="AK41" s="510"/>
      <c r="AL41" s="663"/>
      <c r="AM41" s="266">
        <f>SUM(AM4:AM40)</f>
        <v>411692.48719999997</v>
      </c>
      <c r="AN41" s="663"/>
      <c r="AO41" s="266">
        <f>SUM(AO4:AO40)</f>
        <v>822289.17299999995</v>
      </c>
      <c r="AP41" s="266"/>
      <c r="AQ41" s="510"/>
      <c r="AR41" s="663"/>
      <c r="AS41" s="266">
        <f>SUM(AS4:AS40)</f>
        <v>5067564.3311000001</v>
      </c>
      <c r="AT41" s="663"/>
      <c r="AU41" s="266">
        <f>SUM(AU4:AU40)</f>
        <v>4686780.7943000002</v>
      </c>
      <c r="AV41" s="266"/>
      <c r="AW41" s="510"/>
      <c r="AX41" s="663"/>
      <c r="AY41" s="266">
        <f>SUM(AY4:AY40)</f>
        <v>4836423.4731000001</v>
      </c>
      <c r="AZ41" s="663"/>
      <c r="BA41" s="266">
        <f>SUM(BA4:BA40)</f>
        <v>4515682.6298999991</v>
      </c>
      <c r="BB41" s="266"/>
      <c r="BC41" s="510"/>
      <c r="BD41" s="663"/>
      <c r="BE41" s="266">
        <f>SUM(BE4:BE40)</f>
        <v>911957.77650000004</v>
      </c>
      <c r="BF41" s="663"/>
      <c r="BG41" s="266">
        <f>SUM(BG4:BG40)</f>
        <v>1032870.8411</v>
      </c>
      <c r="BH41" s="266"/>
      <c r="BI41" s="510"/>
      <c r="BJ41" s="663"/>
      <c r="BK41" s="266">
        <f>SUM(BK4:BK40)</f>
        <v>1940502.7350000001</v>
      </c>
      <c r="BL41" s="663"/>
      <c r="BM41" s="266">
        <f>SUM(BM4:BM40)</f>
        <v>2507569.6938999998</v>
      </c>
      <c r="BN41" s="266"/>
      <c r="BO41" s="510"/>
      <c r="BP41" s="663"/>
      <c r="BQ41" s="266">
        <f>SUM(BQ4:BQ40)</f>
        <v>1359584.6001000002</v>
      </c>
      <c r="BR41" s="663"/>
      <c r="BS41" s="266">
        <f>SUM(BS4:BS40)</f>
        <v>792263.59020000009</v>
      </c>
      <c r="BT41" s="266"/>
      <c r="BU41" s="510"/>
      <c r="BV41" s="663"/>
      <c r="BW41" s="266">
        <f>SUM(BW4:BW40)</f>
        <v>935010.40839999996</v>
      </c>
      <c r="BX41" s="663"/>
      <c r="BY41" s="266">
        <f>SUM(BY4:BY40)</f>
        <v>359243.91480000003</v>
      </c>
      <c r="BZ41" s="266"/>
      <c r="CA41" s="277"/>
      <c r="CD41" s="423"/>
      <c r="CE41" s="423"/>
      <c r="CF41" s="423"/>
      <c r="CG41" s="423"/>
      <c r="CH41" s="423"/>
    </row>
    <row r="42" spans="1:86" s="18" customFormat="1" ht="15" customHeight="1">
      <c r="A42" s="24"/>
      <c r="B42" s="24"/>
      <c r="C42" s="278"/>
      <c r="D42" s="554" t="s">
        <v>1768</v>
      </c>
      <c r="E42" s="24"/>
      <c r="F42" s="83"/>
      <c r="G42" s="83"/>
      <c r="H42" s="7" t="s">
        <v>1300</v>
      </c>
      <c r="I42" s="493">
        <v>72</v>
      </c>
      <c r="J42" s="94"/>
      <c r="K42" s="94"/>
      <c r="L42" s="94"/>
      <c r="M42" s="550">
        <f>SUM(M4:M15)+SUM(M19:M37)</f>
        <v>70.599999999999994</v>
      </c>
      <c r="N42" s="689"/>
      <c r="O42" s="590">
        <f>SUM(O4:O15)+SUM(O17:O37)</f>
        <v>1.4</v>
      </c>
      <c r="P42" s="829">
        <f t="shared" si="16"/>
        <v>0.97999999999999987</v>
      </c>
      <c r="Q42" s="830">
        <f t="shared" si="17"/>
        <v>0.10888888888888887</v>
      </c>
      <c r="R42" s="831">
        <f t="shared" si="18"/>
        <v>5.4444444444444434E-2</v>
      </c>
      <c r="S42" s="1046" t="s">
        <v>1769</v>
      </c>
      <c r="U42" s="269"/>
      <c r="W42" s="269"/>
      <c r="X42" s="269"/>
      <c r="Y42" s="269"/>
      <c r="AA42" s="269"/>
      <c r="AC42" s="269"/>
      <c r="AD42" s="269"/>
      <c r="AE42" s="269"/>
      <c r="AG42" s="269"/>
      <c r="AI42" s="269"/>
      <c r="AJ42" s="269"/>
      <c r="AK42" s="269"/>
      <c r="AM42" s="269"/>
      <c r="AO42" s="269"/>
      <c r="AP42" s="269"/>
      <c r="AQ42" s="269"/>
      <c r="AS42" s="269"/>
      <c r="AU42" s="269"/>
      <c r="AV42" s="269"/>
      <c r="AW42" s="269"/>
      <c r="AY42" s="269"/>
      <c r="BA42" s="269"/>
      <c r="BB42" s="269"/>
      <c r="BC42" s="269"/>
      <c r="BE42" s="269"/>
      <c r="BG42" s="269"/>
      <c r="BH42" s="269"/>
      <c r="BI42" s="269"/>
      <c r="BK42" s="269"/>
      <c r="BM42" s="269"/>
      <c r="BN42" s="269"/>
      <c r="BO42" s="269"/>
      <c r="BQ42" s="269"/>
      <c r="BS42" s="269"/>
      <c r="BT42" s="269"/>
      <c r="BU42" s="269"/>
      <c r="BW42" s="269"/>
      <c r="BY42" s="269"/>
      <c r="BZ42" s="269"/>
      <c r="CD42" s="421"/>
      <c r="CE42" s="421"/>
      <c r="CF42" s="421"/>
      <c r="CG42" s="421"/>
      <c r="CH42" s="421"/>
    </row>
    <row r="43" spans="1:86" s="18" customFormat="1" ht="14.25">
      <c r="A43" s="24"/>
      <c r="B43" s="24"/>
      <c r="C43" s="278"/>
      <c r="D43" s="554" t="s">
        <v>1767</v>
      </c>
      <c r="E43" s="24"/>
      <c r="F43" s="83"/>
      <c r="G43" s="83"/>
      <c r="H43" s="7" t="s">
        <v>1297</v>
      </c>
      <c r="I43" s="493">
        <v>18</v>
      </c>
      <c r="J43" s="94"/>
      <c r="K43" s="94"/>
      <c r="L43" s="94"/>
      <c r="M43" s="868"/>
      <c r="N43" s="689"/>
      <c r="O43" s="590"/>
      <c r="P43" s="829"/>
      <c r="Q43" s="830"/>
      <c r="R43" s="1045"/>
      <c r="S43" s="1047"/>
      <c r="CD43" s="421"/>
      <c r="CE43" s="421"/>
      <c r="CF43" s="421"/>
      <c r="CG43" s="421"/>
      <c r="CH43" s="421"/>
    </row>
    <row r="44" spans="1:86" s="18" customFormat="1" ht="14.25">
      <c r="A44" s="271"/>
      <c r="B44" s="271"/>
      <c r="C44" s="278"/>
      <c r="D44" s="555" t="s">
        <v>1301</v>
      </c>
      <c r="E44" s="271"/>
      <c r="F44" s="272"/>
      <c r="G44" s="272"/>
      <c r="H44" s="270"/>
      <c r="I44" s="279"/>
      <c r="J44" s="279"/>
      <c r="K44" s="565"/>
      <c r="L44" s="279"/>
      <c r="M44" s="565"/>
      <c r="N44" s="279"/>
      <c r="O44" s="568">
        <f>AVERAGE(W44,AC44,AI44,AO44,AU44,BA44,BG44,BM44,BS44,BY44)</f>
        <v>2470041.0068499995</v>
      </c>
      <c r="P44" s="825"/>
      <c r="Q44" s="826"/>
      <c r="R44" s="827"/>
      <c r="S44" s="551"/>
      <c r="T44" s="510"/>
      <c r="U44" s="552">
        <f>SUBTOTAL(9,U4:U40)</f>
        <v>1216772.7231999999</v>
      </c>
      <c r="V44" s="510"/>
      <c r="W44" s="552">
        <f>SUBTOTAL(9,W4:W40)</f>
        <v>814753.99349999998</v>
      </c>
      <c r="X44" s="510"/>
      <c r="Y44" s="510"/>
      <c r="Z44" s="510"/>
      <c r="AA44" s="552">
        <f>SUBTOTAL(9,AA4:AA40)</f>
        <v>3537911.41</v>
      </c>
      <c r="AB44" s="510"/>
      <c r="AC44" s="552">
        <f>SUBTOTAL(9,AC4:AC40)</f>
        <v>3662009.341</v>
      </c>
      <c r="AD44" s="510"/>
      <c r="AE44" s="510"/>
      <c r="AF44" s="510"/>
      <c r="AG44" s="552">
        <f>SUBTOTAL(9,AG4:AG40)</f>
        <v>4586135.6034000004</v>
      </c>
      <c r="AH44" s="510"/>
      <c r="AI44" s="552">
        <f>SUBTOTAL(9,AI4:AI40)</f>
        <v>5506946.0968000004</v>
      </c>
      <c r="AJ44" s="510"/>
      <c r="AK44" s="510"/>
      <c r="AL44" s="510"/>
      <c r="AM44" s="552">
        <f>SUBTOTAL(9,AM4:AM40)</f>
        <v>411692.48719999997</v>
      </c>
      <c r="AN44" s="510"/>
      <c r="AO44" s="552">
        <f>SUBTOTAL(9,AO4:AO40)</f>
        <v>822289.17299999995</v>
      </c>
      <c r="AP44" s="510"/>
      <c r="AQ44" s="510"/>
      <c r="AR44" s="510"/>
      <c r="AS44" s="552">
        <f>SUBTOTAL(9,AS4:AS40)</f>
        <v>5067564.3311000001</v>
      </c>
      <c r="AT44" s="510"/>
      <c r="AU44" s="552">
        <f>SUBTOTAL(9,AU4:AU40)</f>
        <v>4686780.7943000002</v>
      </c>
      <c r="AV44" s="510"/>
      <c r="AW44" s="510"/>
      <c r="AX44" s="510"/>
      <c r="AY44" s="552">
        <f>SUBTOTAL(9,AY4:AY40)</f>
        <v>4836423.4731000001</v>
      </c>
      <c r="AZ44" s="510"/>
      <c r="BA44" s="552">
        <f>SUBTOTAL(9,BA4:BA40)</f>
        <v>4515682.6298999991</v>
      </c>
      <c r="BB44" s="510"/>
      <c r="BC44" s="510"/>
      <c r="BD44" s="510"/>
      <c r="BE44" s="552">
        <f>SUBTOTAL(9,BE4:BE40)</f>
        <v>911957.77650000004</v>
      </c>
      <c r="BF44" s="510"/>
      <c r="BG44" s="552">
        <f>SUBTOTAL(9,BG4:BG40)</f>
        <v>1032870.8411</v>
      </c>
      <c r="BH44" s="510"/>
      <c r="BI44" s="510"/>
      <c r="BJ44" s="510"/>
      <c r="BK44" s="552">
        <f>SUBTOTAL(9,BK4:BK40)</f>
        <v>1940502.7350000001</v>
      </c>
      <c r="BL44" s="510"/>
      <c r="BM44" s="552">
        <f>SUBTOTAL(9,BM4:BM40)</f>
        <v>2507569.6938999998</v>
      </c>
      <c r="BN44" s="510"/>
      <c r="BO44" s="510"/>
      <c r="BP44" s="510"/>
      <c r="BQ44" s="552">
        <f>SUBTOTAL(9,BQ4:BQ40)</f>
        <v>1359584.6001000002</v>
      </c>
      <c r="BR44" s="510"/>
      <c r="BS44" s="552">
        <f>SUBTOTAL(9,BS4:BS40)</f>
        <v>792263.59020000009</v>
      </c>
      <c r="BT44" s="510"/>
      <c r="BU44" s="510"/>
      <c r="BV44" s="510"/>
      <c r="BW44" s="552">
        <f>SUBTOTAL(9,BW4:BW40)</f>
        <v>935010.40839999996</v>
      </c>
      <c r="BX44" s="510"/>
      <c r="BY44" s="552">
        <f>SUBTOTAL(9,BY4:BY40)</f>
        <v>359243.91480000003</v>
      </c>
      <c r="BZ44" s="510"/>
      <c r="CD44" s="421"/>
      <c r="CE44" s="421"/>
      <c r="CF44" s="421"/>
      <c r="CG44" s="421"/>
      <c r="CH44" s="421"/>
    </row>
    <row r="45" spans="1:86" s="18" customFormat="1" ht="14.25">
      <c r="A45" s="26"/>
      <c r="B45" s="26"/>
      <c r="C45" s="278"/>
      <c r="D45" s="556" t="s">
        <v>1765</v>
      </c>
      <c r="E45" s="540"/>
      <c r="F45" s="541"/>
      <c r="G45" s="83"/>
      <c r="H45" s="268"/>
      <c r="I45" s="26"/>
      <c r="J45" s="26"/>
      <c r="K45" s="83"/>
      <c r="L45" s="26"/>
      <c r="M45" s="83"/>
      <c r="N45" s="26"/>
      <c r="O45" s="568">
        <f t="shared" ref="O45:O49" si="33">AVERAGE(W45,AC45,AI45,AO45,AU45,BA45,BG45,BM45,BS45,BY45)</f>
        <v>2470031.0068499995</v>
      </c>
      <c r="P45" s="825"/>
      <c r="Q45" s="826"/>
      <c r="R45" s="827"/>
      <c r="S45" s="551"/>
      <c r="T45" s="510"/>
      <c r="U45" s="276">
        <f>U44-U46</f>
        <v>1216762.7231999999</v>
      </c>
      <c r="V45" s="510"/>
      <c r="W45" s="276">
        <f>W44-W46</f>
        <v>814743.99349999998</v>
      </c>
      <c r="X45" s="510"/>
      <c r="Y45" s="510"/>
      <c r="Z45" s="510"/>
      <c r="AA45" s="276">
        <f>AA44-AA46</f>
        <v>3537901.41</v>
      </c>
      <c r="AB45" s="510"/>
      <c r="AC45" s="276">
        <f>AC44-AC46</f>
        <v>3661999.341</v>
      </c>
      <c r="AD45" s="510"/>
      <c r="AE45" s="510"/>
      <c r="AF45" s="510"/>
      <c r="AG45" s="276">
        <f>AG44-AG46</f>
        <v>4586125.6034000004</v>
      </c>
      <c r="AH45" s="510"/>
      <c r="AI45" s="276">
        <f>AI44-AI46</f>
        <v>5506936.0968000004</v>
      </c>
      <c r="AJ45" s="510"/>
      <c r="AK45" s="510"/>
      <c r="AL45" s="510"/>
      <c r="AM45" s="276">
        <f>AM44-AM46</f>
        <v>411682.48719999997</v>
      </c>
      <c r="AN45" s="510"/>
      <c r="AO45" s="276">
        <f>AO44-AO46</f>
        <v>822279.17299999995</v>
      </c>
      <c r="AP45" s="510"/>
      <c r="AQ45" s="510"/>
      <c r="AR45" s="510"/>
      <c r="AS45" s="276">
        <f>AS44-AS46</f>
        <v>5067554.3311000001</v>
      </c>
      <c r="AT45" s="510"/>
      <c r="AU45" s="276">
        <f>AU44-AU46</f>
        <v>4686770.7943000002</v>
      </c>
      <c r="AV45" s="510"/>
      <c r="AW45" s="510"/>
      <c r="AX45" s="510"/>
      <c r="AY45" s="276">
        <f>AY44-AY46</f>
        <v>4836413.4731000001</v>
      </c>
      <c r="AZ45" s="510"/>
      <c r="BA45" s="276">
        <f>BA44-BA46</f>
        <v>4515672.6298999991</v>
      </c>
      <c r="BB45" s="510"/>
      <c r="BC45" s="510"/>
      <c r="BD45" s="510"/>
      <c r="BE45" s="276">
        <f>BE44-BE46</f>
        <v>911947.77650000004</v>
      </c>
      <c r="BF45" s="510"/>
      <c r="BG45" s="276">
        <f>BG44-BG46</f>
        <v>1032860.8411</v>
      </c>
      <c r="BH45" s="510"/>
      <c r="BI45" s="510"/>
      <c r="BJ45" s="510"/>
      <c r="BK45" s="276">
        <f>BK44-BK46</f>
        <v>1940492.7350000001</v>
      </c>
      <c r="BL45" s="510"/>
      <c r="BM45" s="276">
        <f>BM44-BM46</f>
        <v>2507559.6938999998</v>
      </c>
      <c r="BN45" s="510"/>
      <c r="BO45" s="510"/>
      <c r="BP45" s="510"/>
      <c r="BQ45" s="276">
        <f>BQ44-BQ46</f>
        <v>1359574.6001000002</v>
      </c>
      <c r="BR45" s="510"/>
      <c r="BS45" s="276">
        <f>BS44-BS46</f>
        <v>792253.59020000009</v>
      </c>
      <c r="BT45" s="510"/>
      <c r="BU45" s="510"/>
      <c r="BV45" s="510"/>
      <c r="BW45" s="276">
        <f>BW44-BW46</f>
        <v>935000.40839999996</v>
      </c>
      <c r="BX45" s="510"/>
      <c r="BY45" s="276">
        <f>BY44-BY46</f>
        <v>359233.91480000003</v>
      </c>
      <c r="BZ45" s="510"/>
      <c r="CD45" s="421"/>
      <c r="CE45" s="421"/>
      <c r="CF45" s="421"/>
      <c r="CG45" s="421"/>
      <c r="CH45" s="421"/>
    </row>
    <row r="46" spans="1:86" s="18" customFormat="1" ht="14.25">
      <c r="A46" s="26"/>
      <c r="B46" s="26"/>
      <c r="C46" s="278"/>
      <c r="D46" s="556" t="s">
        <v>1766</v>
      </c>
      <c r="E46" s="540"/>
      <c r="F46" s="541"/>
      <c r="G46" s="83"/>
      <c r="H46" s="268"/>
      <c r="I46" s="26"/>
      <c r="J46" s="26"/>
      <c r="K46" s="83"/>
      <c r="L46" s="26"/>
      <c r="M46" s="83"/>
      <c r="N46" s="26"/>
      <c r="O46" s="832">
        <f t="shared" si="33"/>
        <v>10</v>
      </c>
      <c r="P46" s="829">
        <f t="shared" si="16"/>
        <v>7</v>
      </c>
      <c r="Q46" s="830">
        <f t="shared" si="17"/>
        <v>0.77777777777777779</v>
      </c>
      <c r="R46" s="831">
        <f t="shared" si="18"/>
        <v>0.3888888888888889</v>
      </c>
      <c r="S46" s="551"/>
      <c r="T46" s="510"/>
      <c r="U46" s="542">
        <f>IF(T29+T31=0,10,0)</f>
        <v>10</v>
      </c>
      <c r="V46" s="510"/>
      <c r="W46" s="542">
        <f>IF(V29+V31=0,10,0)</f>
        <v>10</v>
      </c>
      <c r="X46" s="510"/>
      <c r="Y46" s="510"/>
      <c r="Z46" s="510"/>
      <c r="AA46" s="542">
        <f>IF(Z29+Z31=0,10,0)</f>
        <v>10</v>
      </c>
      <c r="AB46" s="510"/>
      <c r="AC46" s="542">
        <f>IF(AB29+AB31=0,10,0)</f>
        <v>10</v>
      </c>
      <c r="AD46" s="510"/>
      <c r="AE46" s="510"/>
      <c r="AF46" s="510"/>
      <c r="AG46" s="542">
        <f>IF(AF29+AF31=0,10,0)</f>
        <v>10</v>
      </c>
      <c r="AH46" s="510"/>
      <c r="AI46" s="542">
        <f>IF(AH29+AH31=0,10,0)</f>
        <v>10</v>
      </c>
      <c r="AJ46" s="510"/>
      <c r="AK46" s="510"/>
      <c r="AL46" s="510"/>
      <c r="AM46" s="542">
        <f>IF(AL29+AL31=0,10,0)</f>
        <v>10</v>
      </c>
      <c r="AN46" s="510"/>
      <c r="AO46" s="542">
        <f>IF(AN29+AN31=0,10,0)</f>
        <v>10</v>
      </c>
      <c r="AP46" s="510"/>
      <c r="AQ46" s="510"/>
      <c r="AR46" s="510"/>
      <c r="AS46" s="542">
        <f>IF(AR29+AR31=0,10,0)</f>
        <v>10</v>
      </c>
      <c r="AT46" s="510"/>
      <c r="AU46" s="542">
        <f>IF(AT29+AT31=0,10,0)</f>
        <v>10</v>
      </c>
      <c r="AV46" s="510"/>
      <c r="AW46" s="510"/>
      <c r="AX46" s="510"/>
      <c r="AY46" s="542">
        <f>IF(AX29+AX31=0,10,0)</f>
        <v>10</v>
      </c>
      <c r="AZ46" s="510"/>
      <c r="BA46" s="542">
        <f>IF(AZ29+AZ31=0,10,0)</f>
        <v>10</v>
      </c>
      <c r="BB46" s="510"/>
      <c r="BC46" s="510"/>
      <c r="BD46" s="510"/>
      <c r="BE46" s="542">
        <f>IF(BD29+BD31=0,10,0)</f>
        <v>10</v>
      </c>
      <c r="BF46" s="510"/>
      <c r="BG46" s="542">
        <f>IF(BF29+BF31=0,10,0)</f>
        <v>10</v>
      </c>
      <c r="BH46" s="510"/>
      <c r="BI46" s="510"/>
      <c r="BJ46" s="510"/>
      <c r="BK46" s="542">
        <f>IF(BJ29+BJ31=0,10,0)</f>
        <v>10</v>
      </c>
      <c r="BL46" s="510"/>
      <c r="BM46" s="542">
        <f>IF(BL29+BL31=0,10,0)</f>
        <v>10</v>
      </c>
      <c r="BN46" s="510"/>
      <c r="BO46" s="510"/>
      <c r="BP46" s="510"/>
      <c r="BQ46" s="542">
        <f>IF(BP29+BP31=0,10,0)</f>
        <v>10</v>
      </c>
      <c r="BR46" s="510"/>
      <c r="BS46" s="542">
        <f>IF(BR29+BR31=0,10,0)</f>
        <v>10</v>
      </c>
      <c r="BT46" s="510"/>
      <c r="BU46" s="510"/>
      <c r="BV46" s="510"/>
      <c r="BW46" s="542">
        <f>IF(BV29+BV31=0,10,0)</f>
        <v>10</v>
      </c>
      <c r="BX46" s="510"/>
      <c r="BY46" s="542">
        <f>IF(BX29+BX31=0,10,0)</f>
        <v>10</v>
      </c>
      <c r="BZ46" s="510"/>
      <c r="CD46" s="421"/>
      <c r="CE46" s="421"/>
      <c r="CF46" s="421"/>
      <c r="CG46" s="421"/>
      <c r="CH46" s="421"/>
    </row>
    <row r="47" spans="1:86" s="18" customFormat="1" ht="14.25">
      <c r="A47" s="26"/>
      <c r="B47" s="26"/>
      <c r="C47" s="278"/>
      <c r="D47" s="554" t="s">
        <v>539</v>
      </c>
      <c r="E47" s="540"/>
      <c r="F47" s="541"/>
      <c r="G47" s="83"/>
      <c r="H47" s="268"/>
      <c r="I47" s="26"/>
      <c r="J47" s="26"/>
      <c r="K47" s="83"/>
      <c r="L47" s="26"/>
      <c r="M47" s="83"/>
      <c r="N47" s="26"/>
      <c r="O47" s="832">
        <f t="shared" si="33"/>
        <v>8</v>
      </c>
      <c r="P47" s="829">
        <f t="shared" si="16"/>
        <v>5.6</v>
      </c>
      <c r="Q47" s="830">
        <f t="shared" si="17"/>
        <v>0.62222222222222223</v>
      </c>
      <c r="R47" s="831">
        <f t="shared" si="18"/>
        <v>0.31111111111111112</v>
      </c>
      <c r="S47" s="551"/>
      <c r="T47" s="510"/>
      <c r="U47" s="276">
        <f>18-U46</f>
        <v>8</v>
      </c>
      <c r="V47" s="510"/>
      <c r="W47" s="276">
        <f>18-W46</f>
        <v>8</v>
      </c>
      <c r="X47" s="510"/>
      <c r="Y47" s="510"/>
      <c r="Z47" s="510"/>
      <c r="AA47" s="276">
        <f>18-AA46</f>
        <v>8</v>
      </c>
      <c r="AB47" s="510"/>
      <c r="AC47" s="276">
        <f>18-AC46</f>
        <v>8</v>
      </c>
      <c r="AD47" s="510"/>
      <c r="AE47" s="510"/>
      <c r="AF47" s="510"/>
      <c r="AG47" s="276">
        <f>18-AG46</f>
        <v>8</v>
      </c>
      <c r="AH47" s="510"/>
      <c r="AI47" s="276">
        <f>18-AI46</f>
        <v>8</v>
      </c>
      <c r="AJ47" s="510"/>
      <c r="AK47" s="510"/>
      <c r="AL47" s="510"/>
      <c r="AM47" s="276">
        <f>18-AM46</f>
        <v>8</v>
      </c>
      <c r="AN47" s="510"/>
      <c r="AO47" s="276">
        <f>18-AO46</f>
        <v>8</v>
      </c>
      <c r="AP47" s="510"/>
      <c r="AQ47" s="510"/>
      <c r="AR47" s="510"/>
      <c r="AS47" s="276">
        <f>18-AS46</f>
        <v>8</v>
      </c>
      <c r="AT47" s="510"/>
      <c r="AU47" s="276">
        <f>18-AU46</f>
        <v>8</v>
      </c>
      <c r="AV47" s="510"/>
      <c r="AW47" s="510"/>
      <c r="AX47" s="510"/>
      <c r="AY47" s="276">
        <f>18-AY46</f>
        <v>8</v>
      </c>
      <c r="AZ47" s="510"/>
      <c r="BA47" s="276">
        <f>18-BA46</f>
        <v>8</v>
      </c>
      <c r="BB47" s="510"/>
      <c r="BC47" s="510"/>
      <c r="BD47" s="510"/>
      <c r="BE47" s="276">
        <f>18-BE46</f>
        <v>8</v>
      </c>
      <c r="BF47" s="510"/>
      <c r="BG47" s="276">
        <f>18-BG46</f>
        <v>8</v>
      </c>
      <c r="BH47" s="510"/>
      <c r="BI47" s="510"/>
      <c r="BJ47" s="510"/>
      <c r="BK47" s="276">
        <f>18-BK46</f>
        <v>8</v>
      </c>
      <c r="BL47" s="510"/>
      <c r="BM47" s="276">
        <f>18-BM46</f>
        <v>8</v>
      </c>
      <c r="BN47" s="510"/>
      <c r="BO47" s="510"/>
      <c r="BP47" s="510"/>
      <c r="BQ47" s="276">
        <f>18-BQ46</f>
        <v>8</v>
      </c>
      <c r="BR47" s="510"/>
      <c r="BS47" s="276">
        <f>18-BS46</f>
        <v>8</v>
      </c>
      <c r="BT47" s="510"/>
      <c r="BU47" s="510"/>
      <c r="BV47" s="510"/>
      <c r="BW47" s="276">
        <f>18-BW46</f>
        <v>8</v>
      </c>
      <c r="BX47" s="510"/>
      <c r="BY47" s="276">
        <f>18-BY46</f>
        <v>8</v>
      </c>
      <c r="BZ47" s="510"/>
      <c r="CD47" s="421"/>
      <c r="CE47" s="421"/>
      <c r="CF47" s="421"/>
      <c r="CG47" s="421"/>
      <c r="CH47" s="421"/>
    </row>
    <row r="48" spans="1:86" s="18" customFormat="1" ht="14.25">
      <c r="A48" s="26"/>
      <c r="B48" s="26"/>
      <c r="C48" s="278"/>
      <c r="D48" s="554" t="s">
        <v>538</v>
      </c>
      <c r="E48" s="540"/>
      <c r="F48" s="541"/>
      <c r="G48" s="83"/>
      <c r="H48" s="268"/>
      <c r="I48" s="777">
        <v>10</v>
      </c>
      <c r="J48" s="26"/>
      <c r="K48" s="83"/>
      <c r="L48" s="26"/>
      <c r="M48" s="83"/>
      <c r="N48" s="26"/>
      <c r="O48" s="832">
        <f t="shared" si="33"/>
        <v>10</v>
      </c>
      <c r="P48" s="829">
        <f t="shared" si="16"/>
        <v>7</v>
      </c>
      <c r="Q48" s="829">
        <f t="shared" ref="Q48" si="34">P48*0.7</f>
        <v>4.8999999999999995</v>
      </c>
      <c r="R48" s="829">
        <f t="shared" ref="R48" si="35">Q48*0.7</f>
        <v>3.4299999999999993</v>
      </c>
      <c r="S48" s="551"/>
      <c r="T48" s="510"/>
      <c r="U48" s="542">
        <v>10</v>
      </c>
      <c r="V48" s="510"/>
      <c r="W48" s="542">
        <v>10</v>
      </c>
      <c r="X48" s="510"/>
      <c r="Y48" s="510"/>
      <c r="Z48" s="510"/>
      <c r="AA48" s="542">
        <v>10</v>
      </c>
      <c r="AB48" s="510"/>
      <c r="AC48" s="542">
        <v>10</v>
      </c>
      <c r="AD48" s="510"/>
      <c r="AE48" s="510"/>
      <c r="AF48" s="510"/>
      <c r="AG48" s="542">
        <v>10</v>
      </c>
      <c r="AH48" s="510"/>
      <c r="AI48" s="542">
        <v>10</v>
      </c>
      <c r="AJ48" s="510"/>
      <c r="AK48" s="510"/>
      <c r="AL48" s="510"/>
      <c r="AM48" s="542">
        <v>10</v>
      </c>
      <c r="AN48" s="510"/>
      <c r="AO48" s="542">
        <v>10</v>
      </c>
      <c r="AP48" s="510"/>
      <c r="AQ48" s="510"/>
      <c r="AR48" s="510"/>
      <c r="AS48" s="542">
        <v>10</v>
      </c>
      <c r="AT48" s="510"/>
      <c r="AU48" s="542">
        <v>10</v>
      </c>
      <c r="AV48" s="510"/>
      <c r="AW48" s="510"/>
      <c r="AX48" s="510"/>
      <c r="AY48" s="542">
        <v>10</v>
      </c>
      <c r="AZ48" s="510"/>
      <c r="BA48" s="542">
        <v>10</v>
      </c>
      <c r="BB48" s="510"/>
      <c r="BC48" s="510"/>
      <c r="BD48" s="510"/>
      <c r="BE48" s="542">
        <v>10</v>
      </c>
      <c r="BF48" s="510"/>
      <c r="BG48" s="542">
        <v>10</v>
      </c>
      <c r="BH48" s="510"/>
      <c r="BI48" s="510"/>
      <c r="BJ48" s="510"/>
      <c r="BK48" s="542">
        <v>10</v>
      </c>
      <c r="BL48" s="510"/>
      <c r="BM48" s="542">
        <v>10</v>
      </c>
      <c r="BN48" s="510"/>
      <c r="BO48" s="510"/>
      <c r="BP48" s="510"/>
      <c r="BQ48" s="542">
        <v>10</v>
      </c>
      <c r="BR48" s="510"/>
      <c r="BS48" s="542">
        <v>10</v>
      </c>
      <c r="BT48" s="510"/>
      <c r="BU48" s="510"/>
      <c r="BV48" s="510"/>
      <c r="BW48" s="542">
        <v>10</v>
      </c>
      <c r="BX48" s="510"/>
      <c r="BY48" s="542">
        <v>10</v>
      </c>
      <c r="BZ48" s="510"/>
      <c r="CD48" s="421"/>
      <c r="CE48" s="421"/>
      <c r="CF48" s="421"/>
      <c r="CG48" s="421"/>
      <c r="CH48" s="421"/>
    </row>
    <row r="49" spans="1:86" s="18" customFormat="1" ht="14.25">
      <c r="A49" s="26"/>
      <c r="B49" s="26"/>
      <c r="C49" s="278"/>
      <c r="D49" s="554" t="s">
        <v>1761</v>
      </c>
      <c r="E49" s="540"/>
      <c r="F49" s="541"/>
      <c r="G49" s="83"/>
      <c r="H49" s="268"/>
      <c r="I49" s="26"/>
      <c r="J49" s="26"/>
      <c r="K49" s="83"/>
      <c r="L49" s="26"/>
      <c r="M49" s="83"/>
      <c r="N49" s="26"/>
      <c r="O49" s="568">
        <f t="shared" si="33"/>
        <v>-2469959.0068499995</v>
      </c>
      <c r="P49" s="825"/>
      <c r="Q49" s="826"/>
      <c r="R49" s="827"/>
      <c r="S49" s="551"/>
      <c r="T49" s="510"/>
      <c r="U49" s="542">
        <f>100-SUM(U45:U48)</f>
        <v>-1216690.7231999999</v>
      </c>
      <c r="V49" s="510"/>
      <c r="W49" s="542">
        <f>100-SUM(W45:W48)</f>
        <v>-814671.99349999998</v>
      </c>
      <c r="X49" s="510"/>
      <c r="Y49" s="510"/>
      <c r="Z49" s="510"/>
      <c r="AA49" s="542">
        <f>100-SUM(AA45:AA48)</f>
        <v>-3537829.41</v>
      </c>
      <c r="AB49" s="510"/>
      <c r="AC49" s="542">
        <f>100-SUM(AC45:AC48)</f>
        <v>-3661927.341</v>
      </c>
      <c r="AD49" s="510"/>
      <c r="AE49" s="510"/>
      <c r="AF49" s="510"/>
      <c r="AG49" s="542">
        <f>100-SUM(AG45:AG48)</f>
        <v>-4586053.6034000004</v>
      </c>
      <c r="AH49" s="510"/>
      <c r="AI49" s="542">
        <f>100-SUM(AI45:AI48)</f>
        <v>-5506864.0968000004</v>
      </c>
      <c r="AJ49" s="510"/>
      <c r="AK49" s="510"/>
      <c r="AL49" s="510"/>
      <c r="AM49" s="542">
        <f>100-SUM(AM45:AM48)</f>
        <v>-411610.48719999997</v>
      </c>
      <c r="AN49" s="510"/>
      <c r="AO49" s="542">
        <f>100-SUM(AO45:AO48)</f>
        <v>-822207.17299999995</v>
      </c>
      <c r="AP49" s="510"/>
      <c r="AQ49" s="510"/>
      <c r="AR49" s="510"/>
      <c r="AS49" s="542">
        <f>100-SUM(AS45:AS48)</f>
        <v>-5067482.3311000001</v>
      </c>
      <c r="AT49" s="510"/>
      <c r="AU49" s="542">
        <f>100-SUM(AU45:AU48)</f>
        <v>-4686698.7943000002</v>
      </c>
      <c r="AV49" s="510"/>
      <c r="AW49" s="510"/>
      <c r="AX49" s="510"/>
      <c r="AY49" s="542">
        <f>100-SUM(AY45:AY48)</f>
        <v>-4836341.4731000001</v>
      </c>
      <c r="AZ49" s="510"/>
      <c r="BA49" s="542">
        <f>100-SUM(BA45:BA48)</f>
        <v>-4515600.6298999991</v>
      </c>
      <c r="BB49" s="510"/>
      <c r="BC49" s="510"/>
      <c r="BD49" s="510"/>
      <c r="BE49" s="542">
        <f>100-SUM(BE45:BE48)</f>
        <v>-911875.77650000004</v>
      </c>
      <c r="BF49" s="510"/>
      <c r="BG49" s="542">
        <f>100-SUM(BG45:BG48)</f>
        <v>-1032788.8411</v>
      </c>
      <c r="BH49" s="510"/>
      <c r="BI49" s="510"/>
      <c r="BJ49" s="510"/>
      <c r="BK49" s="542">
        <f>100-SUM(BK45:BK48)</f>
        <v>-1940420.7350000001</v>
      </c>
      <c r="BL49" s="510"/>
      <c r="BM49" s="542">
        <f>100-SUM(BM45:BM48)</f>
        <v>-2507487.6938999998</v>
      </c>
      <c r="BN49" s="510"/>
      <c r="BO49" s="510"/>
      <c r="BP49" s="510"/>
      <c r="BQ49" s="542">
        <f>100-SUM(BQ45:BQ48)</f>
        <v>-1359502.6001000002</v>
      </c>
      <c r="BR49" s="510"/>
      <c r="BS49" s="542">
        <f>100-SUM(BS45:BS48)</f>
        <v>-792181.59020000009</v>
      </c>
      <c r="BT49" s="510"/>
      <c r="BU49" s="510"/>
      <c r="BV49" s="510"/>
      <c r="BW49" s="542">
        <f>100-SUM(BW45:BW48)</f>
        <v>-934928.40839999996</v>
      </c>
      <c r="BX49" s="510"/>
      <c r="BY49" s="542">
        <f>100-SUM(BY45:BY48)</f>
        <v>-359161.91480000003</v>
      </c>
      <c r="BZ49" s="510"/>
      <c r="CD49" s="421"/>
      <c r="CE49" s="421"/>
      <c r="CF49" s="421"/>
      <c r="CG49" s="421"/>
      <c r="CH49" s="421"/>
    </row>
    <row r="50" spans="1:86">
      <c r="O50" s="19"/>
      <c r="P50" s="19"/>
      <c r="Q50" s="18"/>
      <c r="R50" s="18"/>
      <c r="S50" s="19"/>
      <c r="W50" s="18"/>
      <c r="Y50" s="19"/>
      <c r="AC50" s="18"/>
      <c r="AE50" s="19"/>
      <c r="AI50" s="18"/>
      <c r="AK50" s="19"/>
      <c r="AO50" s="18"/>
      <c r="AQ50" s="19"/>
      <c r="AU50" s="18"/>
      <c r="AW50" s="19"/>
      <c r="BA50" s="18"/>
      <c r="BC50" s="19"/>
      <c r="BG50" s="18"/>
      <c r="BI50" s="19"/>
      <c r="BM50" s="18"/>
      <c r="BO50" s="19"/>
      <c r="BS50" s="18"/>
      <c r="BT50" s="19"/>
      <c r="BU50" s="19"/>
      <c r="BW50" s="420"/>
      <c r="BX50" s="420"/>
      <c r="BY50" s="420"/>
      <c r="BZ50" s="420"/>
      <c r="CA50" s="420"/>
      <c r="CD50" s="19"/>
      <c r="CE50" s="19"/>
      <c r="CF50" s="19"/>
      <c r="CG50" s="19"/>
      <c r="CH50" s="19"/>
    </row>
    <row r="51" spans="1:86">
      <c r="O51" s="19"/>
      <c r="P51" s="19"/>
      <c r="Q51" s="18"/>
      <c r="R51" s="18"/>
      <c r="S51" s="19"/>
      <c r="W51" s="18"/>
      <c r="Y51" s="19"/>
      <c r="AC51" s="18"/>
      <c r="AE51" s="19"/>
      <c r="AI51" s="18"/>
      <c r="AK51" s="19"/>
      <c r="AO51" s="18"/>
      <c r="AQ51" s="19"/>
      <c r="AU51" s="18"/>
      <c r="AW51" s="19"/>
      <c r="BA51" s="18"/>
      <c r="BC51" s="19"/>
      <c r="BG51" s="18"/>
      <c r="BI51" s="19"/>
      <c r="BM51" s="18"/>
      <c r="BO51" s="19"/>
      <c r="BS51" s="18"/>
      <c r="BT51" s="19"/>
      <c r="BU51" s="19"/>
      <c r="BW51" s="420"/>
      <c r="BX51" s="420"/>
      <c r="BY51" s="420"/>
      <c r="BZ51" s="420"/>
      <c r="CA51" s="420"/>
      <c r="CD51" s="19"/>
      <c r="CE51" s="19"/>
      <c r="CF51" s="19"/>
      <c r="CG51" s="19"/>
      <c r="CH51" s="19"/>
    </row>
    <row r="52" spans="1:86" s="18" customFormat="1" ht="14.25">
      <c r="A52" s="24"/>
      <c r="B52" s="24"/>
      <c r="C52" s="278"/>
      <c r="D52" s="862" t="s">
        <v>1897</v>
      </c>
      <c r="E52" s="24"/>
      <c r="F52" s="94"/>
      <c r="G52" s="94"/>
      <c r="H52" s="24"/>
      <c r="I52" s="24"/>
      <c r="J52" s="24"/>
      <c r="K52" s="94"/>
      <c r="L52" s="24"/>
      <c r="M52" s="94"/>
      <c r="N52" s="24"/>
      <c r="BW52" s="572" t="s">
        <v>1441</v>
      </c>
      <c r="CD52" s="571">
        <f>SUMPRODUCT($CF$4:$CF$40,CE4:CE40)</f>
        <v>88.6</v>
      </c>
      <c r="CE52" s="572"/>
      <c r="CF52" s="571">
        <f>SUMPRODUCT($CD$4:$CD$40,CG4:CG40)</f>
        <v>5</v>
      </c>
      <c r="CG52" s="572"/>
    </row>
    <row r="53" spans="1:86" s="18" customFormat="1" ht="14.25">
      <c r="A53" s="24"/>
      <c r="B53" s="24"/>
      <c r="C53" s="278"/>
      <c r="D53" s="876" t="s">
        <v>1944</v>
      </c>
      <c r="E53" s="24"/>
      <c r="F53" s="94"/>
      <c r="G53" s="94"/>
      <c r="H53" s="24"/>
      <c r="I53" s="24"/>
      <c r="J53" s="24"/>
      <c r="K53" s="94"/>
      <c r="L53" s="24"/>
      <c r="M53" s="94"/>
      <c r="N53" s="24"/>
      <c r="BW53" s="572" t="s">
        <v>1440</v>
      </c>
      <c r="CD53" s="571">
        <f>SUMPRODUCT($I$4:$I$40,CE4:CE40)</f>
        <v>90</v>
      </c>
      <c r="CE53" s="572"/>
      <c r="CF53" s="571">
        <f>SUMPRODUCT($I$4:$I$40,CG4:CG40)</f>
        <v>5</v>
      </c>
      <c r="CG53" s="572"/>
    </row>
    <row r="54" spans="1:86" s="18" customFormat="1" ht="14.25">
      <c r="A54" s="24"/>
      <c r="B54" s="24"/>
      <c r="C54" s="278"/>
      <c r="E54" s="24"/>
      <c r="F54" s="94"/>
      <c r="G54" s="94"/>
      <c r="H54" s="24"/>
      <c r="I54" s="24"/>
      <c r="J54" s="24"/>
      <c r="K54" s="94"/>
      <c r="L54" s="24"/>
      <c r="M54" s="94"/>
      <c r="N54" s="24"/>
      <c r="BW54" s="421"/>
      <c r="BX54" s="421"/>
      <c r="BY54" s="421"/>
      <c r="BZ54" s="421"/>
      <c r="CA54" s="421"/>
    </row>
    <row r="55" spans="1:86" s="18" customFormat="1" ht="14.25">
      <c r="A55" s="24"/>
      <c r="B55" s="24"/>
      <c r="C55" s="278"/>
      <c r="E55" s="24"/>
      <c r="F55" s="94"/>
      <c r="G55" s="94"/>
      <c r="H55" s="24"/>
      <c r="I55" s="24"/>
      <c r="J55" s="24"/>
      <c r="K55" s="94"/>
      <c r="L55" s="24"/>
      <c r="M55" s="94"/>
      <c r="N55" s="24"/>
      <c r="BW55" s="421"/>
      <c r="BX55" s="421"/>
      <c r="BY55" s="421"/>
      <c r="BZ55" s="421"/>
      <c r="CA55" s="421"/>
    </row>
    <row r="56" spans="1:86" s="18" customFormat="1" ht="14.25">
      <c r="A56" s="24"/>
      <c r="B56" s="24"/>
      <c r="C56" s="278"/>
      <c r="E56" s="24"/>
      <c r="F56" s="94"/>
      <c r="G56" s="94"/>
      <c r="H56" s="24"/>
      <c r="I56" s="24"/>
      <c r="J56" s="24"/>
      <c r="K56" s="94"/>
      <c r="L56" s="24"/>
      <c r="M56" s="94"/>
      <c r="N56" s="24"/>
      <c r="BW56" s="421"/>
      <c r="BX56" s="421"/>
      <c r="BY56" s="421"/>
      <c r="BZ56" s="421"/>
      <c r="CA56" s="421"/>
    </row>
    <row r="57" spans="1:86" s="18" customFormat="1" ht="14.25">
      <c r="A57" s="24"/>
      <c r="B57" s="24"/>
      <c r="C57" s="278"/>
      <c r="E57" s="24"/>
      <c r="F57" s="94"/>
      <c r="G57" s="94"/>
      <c r="H57" s="24"/>
      <c r="I57" s="24"/>
      <c r="J57" s="24"/>
      <c r="K57" s="94"/>
      <c r="L57" s="24"/>
      <c r="M57" s="94"/>
      <c r="N57" s="24"/>
      <c r="BW57" s="421"/>
      <c r="BX57" s="421"/>
      <c r="BY57" s="421"/>
      <c r="BZ57" s="421"/>
      <c r="CA57" s="421"/>
    </row>
    <row r="58" spans="1:86" s="18" customFormat="1" ht="14.25">
      <c r="A58" s="24"/>
      <c r="B58" s="24"/>
      <c r="C58" s="278"/>
      <c r="E58" s="24"/>
      <c r="F58" s="94"/>
      <c r="G58" s="94"/>
      <c r="H58" s="24"/>
      <c r="I58" s="24"/>
      <c r="J58" s="24"/>
      <c r="K58" s="94"/>
      <c r="L58" s="24"/>
      <c r="M58" s="94"/>
      <c r="N58" s="24"/>
      <c r="BW58" s="421"/>
      <c r="BX58" s="421"/>
      <c r="BY58" s="421"/>
      <c r="BZ58" s="421"/>
      <c r="CA58" s="421"/>
    </row>
    <row r="59" spans="1:86" s="18" customFormat="1" ht="14.25">
      <c r="A59" s="24"/>
      <c r="B59" s="24"/>
      <c r="C59" s="278"/>
      <c r="E59" s="24"/>
      <c r="F59" s="94"/>
      <c r="G59" s="94"/>
      <c r="H59" s="24"/>
      <c r="I59" s="24"/>
      <c r="J59" s="24"/>
      <c r="K59" s="94"/>
      <c r="L59" s="24"/>
      <c r="M59" s="94"/>
      <c r="N59" s="24"/>
      <c r="BW59" s="421"/>
      <c r="BX59" s="421"/>
      <c r="BY59" s="421"/>
      <c r="BZ59" s="421"/>
      <c r="CA59" s="421"/>
    </row>
    <row r="60" spans="1:86" s="18" customFormat="1" ht="14.25">
      <c r="A60" s="24"/>
      <c r="B60" s="24"/>
      <c r="C60" s="278"/>
      <c r="E60" s="24"/>
      <c r="F60" s="94"/>
      <c r="G60" s="94"/>
      <c r="H60" s="24"/>
      <c r="I60" s="24"/>
      <c r="J60" s="24"/>
      <c r="K60" s="94"/>
      <c r="L60" s="24"/>
      <c r="M60" s="94"/>
      <c r="N60" s="24"/>
      <c r="AB60" s="632"/>
      <c r="BW60" s="421"/>
      <c r="BX60" s="421"/>
      <c r="BY60" s="421"/>
      <c r="BZ60" s="421"/>
      <c r="CA60" s="421"/>
    </row>
    <row r="61" spans="1:86" s="18" customFormat="1" ht="14.25">
      <c r="A61" s="24"/>
      <c r="B61" s="24"/>
      <c r="C61" s="278"/>
      <c r="E61" s="24"/>
      <c r="F61" s="94"/>
      <c r="G61" s="94"/>
      <c r="H61" s="24"/>
      <c r="I61" s="24"/>
      <c r="J61" s="24"/>
      <c r="K61" s="94"/>
      <c r="L61" s="24"/>
      <c r="M61" s="94"/>
      <c r="N61" s="24"/>
      <c r="BW61" s="421"/>
      <c r="BX61" s="421"/>
      <c r="BY61" s="421"/>
      <c r="BZ61" s="421"/>
      <c r="CA61" s="421"/>
    </row>
    <row r="62" spans="1:86" s="18" customFormat="1" ht="14.25">
      <c r="A62" s="24"/>
      <c r="B62" s="24"/>
      <c r="C62" s="278"/>
      <c r="E62" s="24"/>
      <c r="F62" s="94"/>
      <c r="G62" s="94"/>
      <c r="H62" s="24"/>
      <c r="I62" s="24"/>
      <c r="J62" s="24"/>
      <c r="K62" s="94"/>
      <c r="L62" s="24"/>
      <c r="M62" s="94"/>
      <c r="N62" s="24"/>
      <c r="BW62" s="421"/>
      <c r="BX62" s="421"/>
      <c r="BY62" s="421"/>
      <c r="BZ62" s="421"/>
      <c r="CA62" s="421"/>
    </row>
    <row r="63" spans="1:86" s="18" customFormat="1" ht="14.25">
      <c r="A63" s="24"/>
      <c r="B63" s="24"/>
      <c r="C63" s="278"/>
      <c r="E63" s="24"/>
      <c r="F63" s="94"/>
      <c r="G63" s="94"/>
      <c r="H63" s="24"/>
      <c r="I63" s="24"/>
      <c r="J63" s="24"/>
      <c r="K63" s="94"/>
      <c r="L63" s="24"/>
      <c r="M63" s="94"/>
      <c r="N63" s="24"/>
      <c r="BW63" s="421"/>
      <c r="BX63" s="421"/>
      <c r="BY63" s="421"/>
      <c r="BZ63" s="421"/>
      <c r="CA63" s="421"/>
    </row>
    <row r="64" spans="1:86" s="18" customFormat="1" ht="14.25">
      <c r="A64" s="24"/>
      <c r="B64" s="24"/>
      <c r="C64" s="278"/>
      <c r="E64" s="24"/>
      <c r="F64" s="94"/>
      <c r="G64" s="94"/>
      <c r="H64" s="24"/>
      <c r="I64" s="24"/>
      <c r="J64" s="24"/>
      <c r="K64" s="94"/>
      <c r="L64" s="24"/>
      <c r="M64" s="94"/>
      <c r="N64" s="24"/>
      <c r="BW64" s="421"/>
      <c r="BX64" s="421"/>
      <c r="BY64" s="421"/>
      <c r="BZ64" s="421"/>
      <c r="CA64" s="421"/>
    </row>
    <row r="65" spans="1:79" s="18" customFormat="1" ht="14.25">
      <c r="A65" s="24"/>
      <c r="B65" s="24"/>
      <c r="C65" s="278"/>
      <c r="E65" s="24"/>
      <c r="F65" s="94"/>
      <c r="G65" s="94"/>
      <c r="H65" s="24"/>
      <c r="I65" s="24"/>
      <c r="J65" s="24"/>
      <c r="K65" s="94"/>
      <c r="L65" s="24"/>
      <c r="M65" s="94"/>
      <c r="N65" s="24"/>
      <c r="BW65" s="421"/>
      <c r="BX65" s="421"/>
      <c r="BY65" s="421"/>
      <c r="BZ65" s="421"/>
      <c r="CA65" s="421"/>
    </row>
    <row r="66" spans="1:79" s="18" customFormat="1" ht="14.25">
      <c r="A66" s="24"/>
      <c r="B66" s="24"/>
      <c r="C66" s="278"/>
      <c r="E66" s="24"/>
      <c r="F66" s="94"/>
      <c r="G66" s="94"/>
      <c r="H66" s="24"/>
      <c r="I66" s="24"/>
      <c r="J66" s="24"/>
      <c r="K66" s="94"/>
      <c r="L66" s="24"/>
      <c r="M66" s="94"/>
      <c r="N66" s="24"/>
      <c r="BW66" s="421"/>
      <c r="BX66" s="421"/>
      <c r="BY66" s="421"/>
      <c r="BZ66" s="421"/>
      <c r="CA66" s="421"/>
    </row>
    <row r="67" spans="1:79" s="18" customFormat="1" ht="14.25">
      <c r="A67" s="24"/>
      <c r="B67" s="24"/>
      <c r="C67" s="278"/>
      <c r="E67" s="24"/>
      <c r="F67" s="94"/>
      <c r="G67" s="94"/>
      <c r="H67" s="24"/>
      <c r="I67" s="24"/>
      <c r="J67" s="24"/>
      <c r="K67" s="94"/>
      <c r="L67" s="24"/>
      <c r="M67" s="94"/>
      <c r="N67" s="24"/>
      <c r="BW67" s="421"/>
      <c r="BX67" s="421"/>
      <c r="BY67" s="421"/>
      <c r="BZ67" s="421"/>
      <c r="CA67" s="421"/>
    </row>
    <row r="68" spans="1:79" s="18" customFormat="1" ht="14.25">
      <c r="A68" s="24"/>
      <c r="B68" s="24"/>
      <c r="C68" s="278"/>
      <c r="E68" s="24"/>
      <c r="F68" s="94"/>
      <c r="G68" s="94"/>
      <c r="H68" s="24"/>
      <c r="I68" s="24"/>
      <c r="J68" s="24"/>
      <c r="K68" s="94"/>
      <c r="L68" s="24"/>
      <c r="M68" s="94"/>
      <c r="N68" s="24"/>
      <c r="BW68" s="421"/>
      <c r="BX68" s="421"/>
      <c r="BY68" s="421"/>
      <c r="BZ68" s="421"/>
      <c r="CA68" s="421"/>
    </row>
    <row r="69" spans="1:79" s="18" customFormat="1" ht="14.25">
      <c r="A69" s="24"/>
      <c r="B69" s="24"/>
      <c r="C69" s="278"/>
      <c r="E69" s="24"/>
      <c r="F69" s="94"/>
      <c r="G69" s="94"/>
      <c r="H69" s="24"/>
      <c r="I69" s="24"/>
      <c r="J69" s="24"/>
      <c r="K69" s="94"/>
      <c r="L69" s="24"/>
      <c r="M69" s="94"/>
      <c r="N69" s="24"/>
      <c r="BW69" s="421"/>
      <c r="BX69" s="421"/>
      <c r="BY69" s="421"/>
      <c r="BZ69" s="421"/>
      <c r="CA69" s="421"/>
    </row>
    <row r="70" spans="1:79" s="18" customFormat="1" ht="14.25">
      <c r="A70" s="24"/>
      <c r="B70" s="24"/>
      <c r="C70" s="278"/>
      <c r="E70" s="24"/>
      <c r="F70" s="94"/>
      <c r="G70" s="94"/>
      <c r="H70" s="24"/>
      <c r="I70" s="24"/>
      <c r="J70" s="24"/>
      <c r="K70" s="94"/>
      <c r="L70" s="24"/>
      <c r="M70" s="94"/>
      <c r="N70" s="24"/>
      <c r="BW70" s="421"/>
      <c r="BX70" s="421"/>
      <c r="BY70" s="421"/>
      <c r="BZ70" s="421"/>
      <c r="CA70" s="421"/>
    </row>
    <row r="71" spans="1:79" s="18" customFormat="1" ht="14.25">
      <c r="A71" s="24"/>
      <c r="B71" s="24"/>
      <c r="C71" s="278"/>
      <c r="E71" s="24"/>
      <c r="F71" s="94"/>
      <c r="G71" s="94"/>
      <c r="H71" s="24"/>
      <c r="I71" s="24"/>
      <c r="J71" s="24"/>
      <c r="K71" s="94"/>
      <c r="L71" s="24"/>
      <c r="M71" s="94"/>
      <c r="N71" s="24"/>
      <c r="BW71" s="421"/>
      <c r="BX71" s="421"/>
      <c r="BY71" s="421"/>
      <c r="BZ71" s="421"/>
      <c r="CA71" s="421"/>
    </row>
    <row r="72" spans="1:79" s="18" customFormat="1" ht="14.25">
      <c r="A72" s="24"/>
      <c r="B72" s="24"/>
      <c r="C72" s="278"/>
      <c r="E72" s="24"/>
      <c r="F72" s="94"/>
      <c r="G72" s="94"/>
      <c r="H72" s="24"/>
      <c r="I72" s="24"/>
      <c r="J72" s="24"/>
      <c r="K72" s="94"/>
      <c r="L72" s="24"/>
      <c r="M72" s="94"/>
      <c r="N72" s="24"/>
      <c r="BW72" s="421"/>
      <c r="BX72" s="421"/>
      <c r="BY72" s="421"/>
      <c r="BZ72" s="421"/>
      <c r="CA72" s="421"/>
    </row>
    <row r="73" spans="1:79" s="18" customFormat="1" ht="14.25">
      <c r="A73" s="24"/>
      <c r="B73" s="24"/>
      <c r="C73" s="278"/>
      <c r="E73" s="24"/>
      <c r="F73" s="94"/>
      <c r="G73" s="94"/>
      <c r="H73" s="24"/>
      <c r="I73" s="24"/>
      <c r="J73" s="24"/>
      <c r="K73" s="94"/>
      <c r="L73" s="24"/>
      <c r="M73" s="94"/>
      <c r="N73" s="24"/>
      <c r="BW73" s="421"/>
      <c r="BX73" s="421"/>
      <c r="BY73" s="421"/>
      <c r="BZ73" s="421"/>
      <c r="CA73" s="421"/>
    </row>
    <row r="74" spans="1:79" s="18" customFormat="1" ht="14.25">
      <c r="A74" s="24"/>
      <c r="B74" s="24"/>
      <c r="C74" s="278"/>
      <c r="E74" s="24"/>
      <c r="F74" s="94"/>
      <c r="G74" s="94"/>
      <c r="H74" s="24"/>
      <c r="I74" s="24"/>
      <c r="J74" s="24"/>
      <c r="K74" s="94"/>
      <c r="L74" s="24"/>
      <c r="M74" s="94"/>
      <c r="N74" s="24"/>
      <c r="BW74" s="421"/>
      <c r="BX74" s="421"/>
      <c r="BY74" s="421"/>
      <c r="BZ74" s="421"/>
      <c r="CA74" s="421"/>
    </row>
    <row r="75" spans="1:79" s="18" customFormat="1" ht="14.25">
      <c r="A75" s="24"/>
      <c r="B75" s="24"/>
      <c r="C75" s="278"/>
      <c r="E75" s="24"/>
      <c r="F75" s="94"/>
      <c r="G75" s="94"/>
      <c r="H75" s="24"/>
      <c r="I75" s="24"/>
      <c r="J75" s="24"/>
      <c r="K75" s="94"/>
      <c r="L75" s="24"/>
      <c r="M75" s="94"/>
      <c r="N75" s="24"/>
      <c r="BW75" s="421"/>
      <c r="BX75" s="421"/>
      <c r="BY75" s="421"/>
      <c r="BZ75" s="421"/>
      <c r="CA75" s="421"/>
    </row>
    <row r="76" spans="1:79" s="18" customFormat="1" ht="14.25">
      <c r="A76" s="24"/>
      <c r="B76" s="24"/>
      <c r="C76" s="278"/>
      <c r="E76" s="24"/>
      <c r="F76" s="94"/>
      <c r="G76" s="94"/>
      <c r="H76" s="24"/>
      <c r="I76" s="24"/>
      <c r="J76" s="24"/>
      <c r="K76" s="94"/>
      <c r="L76" s="24"/>
      <c r="M76" s="94"/>
      <c r="N76" s="24"/>
      <c r="BW76" s="421"/>
      <c r="BX76" s="421"/>
      <c r="BY76" s="421"/>
      <c r="BZ76" s="421"/>
      <c r="CA76" s="421"/>
    </row>
    <row r="77" spans="1:79" s="18" customFormat="1" ht="14.25">
      <c r="A77" s="24"/>
      <c r="B77" s="24"/>
      <c r="C77" s="278"/>
      <c r="E77" s="24"/>
      <c r="F77" s="94"/>
      <c r="G77" s="94"/>
      <c r="H77" s="24"/>
      <c r="I77" s="24"/>
      <c r="J77" s="24"/>
      <c r="K77" s="94"/>
      <c r="L77" s="24"/>
      <c r="M77" s="94"/>
      <c r="N77" s="24"/>
      <c r="BW77" s="421"/>
      <c r="BX77" s="421"/>
      <c r="BY77" s="421"/>
      <c r="BZ77" s="421"/>
      <c r="CA77" s="421"/>
    </row>
    <row r="78" spans="1:79" s="18" customFormat="1" ht="14.25">
      <c r="A78" s="24"/>
      <c r="B78" s="24"/>
      <c r="C78" s="278"/>
      <c r="E78" s="24"/>
      <c r="F78" s="94"/>
      <c r="G78" s="94"/>
      <c r="H78" s="24"/>
      <c r="I78" s="24"/>
      <c r="J78" s="24"/>
      <c r="K78" s="94"/>
      <c r="L78" s="24"/>
      <c r="M78" s="94"/>
      <c r="N78" s="24"/>
      <c r="BW78" s="421"/>
      <c r="BX78" s="421"/>
      <c r="BY78" s="421"/>
      <c r="BZ78" s="421"/>
      <c r="CA78" s="421"/>
    </row>
    <row r="79" spans="1:79" s="18" customFormat="1" ht="14.25">
      <c r="A79" s="24"/>
      <c r="B79" s="24"/>
      <c r="C79" s="278"/>
      <c r="E79" s="24"/>
      <c r="F79" s="94"/>
      <c r="G79" s="94"/>
      <c r="H79" s="24"/>
      <c r="I79" s="24"/>
      <c r="J79" s="24"/>
      <c r="K79" s="94"/>
      <c r="L79" s="24"/>
      <c r="M79" s="94"/>
      <c r="N79" s="24"/>
      <c r="BW79" s="421"/>
      <c r="BX79" s="421"/>
      <c r="BY79" s="421"/>
      <c r="BZ79" s="421"/>
      <c r="CA79" s="421"/>
    </row>
    <row r="80" spans="1:79" s="18" customFormat="1" ht="14.25">
      <c r="A80" s="24"/>
      <c r="B80" s="24"/>
      <c r="C80" s="278"/>
      <c r="E80" s="24"/>
      <c r="F80" s="94"/>
      <c r="G80" s="94"/>
      <c r="H80" s="24"/>
      <c r="I80" s="24"/>
      <c r="J80" s="24"/>
      <c r="K80" s="94"/>
      <c r="L80" s="24"/>
      <c r="M80" s="94"/>
      <c r="N80" s="24"/>
      <c r="BW80" s="421"/>
      <c r="BX80" s="421"/>
      <c r="BY80" s="421"/>
      <c r="BZ80" s="421"/>
      <c r="CA80" s="421"/>
    </row>
    <row r="81" spans="1:86" s="18" customFormat="1" ht="14.25">
      <c r="A81" s="24"/>
      <c r="B81" s="24"/>
      <c r="C81" s="278"/>
      <c r="E81" s="24"/>
      <c r="F81" s="94"/>
      <c r="G81" s="94"/>
      <c r="H81" s="24"/>
      <c r="I81" s="24"/>
      <c r="J81" s="24"/>
      <c r="K81" s="94"/>
      <c r="L81" s="24"/>
      <c r="M81" s="94"/>
      <c r="N81" s="24"/>
      <c r="BW81" s="421"/>
      <c r="BX81" s="421"/>
      <c r="BY81" s="421"/>
      <c r="BZ81" s="421"/>
      <c r="CA81" s="421"/>
    </row>
    <row r="82" spans="1:86" s="18" customFormat="1" ht="14.25">
      <c r="A82" s="24"/>
      <c r="B82" s="24"/>
      <c r="C82" s="278"/>
      <c r="E82" s="24"/>
      <c r="F82" s="94"/>
      <c r="G82" s="94"/>
      <c r="H82" s="24"/>
      <c r="I82" s="24"/>
      <c r="J82" s="24"/>
      <c r="K82" s="94"/>
      <c r="L82" s="24"/>
      <c r="M82" s="94"/>
      <c r="N82" s="24"/>
      <c r="BW82" s="421"/>
      <c r="BX82" s="421"/>
      <c r="BY82" s="421"/>
      <c r="BZ82" s="421"/>
      <c r="CA82" s="421"/>
    </row>
    <row r="83" spans="1:86" s="18" customFormat="1" ht="14.25">
      <c r="A83" s="24"/>
      <c r="B83" s="24"/>
      <c r="C83" s="278"/>
      <c r="E83" s="24"/>
      <c r="F83" s="94"/>
      <c r="G83" s="94"/>
      <c r="H83" s="24"/>
      <c r="I83" s="24"/>
      <c r="J83" s="24"/>
      <c r="K83" s="94"/>
      <c r="L83" s="24"/>
      <c r="M83" s="94"/>
      <c r="N83" s="24"/>
      <c r="BW83" s="421"/>
      <c r="BX83" s="421"/>
      <c r="BY83" s="421"/>
      <c r="BZ83" s="421"/>
      <c r="CA83" s="421"/>
    </row>
    <row r="84" spans="1:86" s="18" customFormat="1" ht="14.25">
      <c r="A84" s="24"/>
      <c r="B84" s="24"/>
      <c r="C84" s="278"/>
      <c r="E84" s="24"/>
      <c r="F84" s="94"/>
      <c r="G84" s="94"/>
      <c r="H84" s="24"/>
      <c r="I84" s="24"/>
      <c r="J84" s="24"/>
      <c r="K84" s="94"/>
      <c r="L84" s="24"/>
      <c r="M84" s="94"/>
      <c r="N84" s="24"/>
      <c r="BW84" s="421"/>
      <c r="BX84" s="421"/>
      <c r="BY84" s="421"/>
      <c r="BZ84" s="421"/>
      <c r="CA84" s="421"/>
    </row>
    <row r="85" spans="1:86" s="18" customFormat="1" ht="14.25">
      <c r="A85" s="24"/>
      <c r="B85" s="24"/>
      <c r="C85" s="278"/>
      <c r="E85" s="24"/>
      <c r="F85" s="94"/>
      <c r="G85" s="94"/>
      <c r="H85" s="24"/>
      <c r="I85" s="24"/>
      <c r="J85" s="24"/>
      <c r="K85" s="94"/>
      <c r="L85" s="24"/>
      <c r="M85" s="94"/>
      <c r="N85" s="24"/>
      <c r="BW85" s="421"/>
      <c r="BX85" s="421"/>
      <c r="BY85" s="421"/>
      <c r="BZ85" s="421"/>
      <c r="CA85" s="421"/>
    </row>
    <row r="86" spans="1:86" s="18" customFormat="1" ht="14.25">
      <c r="A86" s="24"/>
      <c r="B86" s="24"/>
      <c r="C86" s="278"/>
      <c r="E86" s="24"/>
      <c r="F86" s="94"/>
      <c r="G86" s="94"/>
      <c r="H86" s="24"/>
      <c r="I86" s="24"/>
      <c r="J86" s="24"/>
      <c r="K86" s="94"/>
      <c r="L86" s="24"/>
      <c r="M86" s="94"/>
      <c r="N86" s="24"/>
      <c r="BW86" s="421"/>
      <c r="BX86" s="421"/>
      <c r="BY86" s="421"/>
      <c r="BZ86" s="421"/>
      <c r="CA86" s="421"/>
    </row>
    <row r="87" spans="1:86" s="18" customFormat="1" ht="14.25">
      <c r="A87" s="24"/>
      <c r="B87" s="24"/>
      <c r="C87" s="278"/>
      <c r="E87" s="24"/>
      <c r="F87" s="94"/>
      <c r="G87" s="94"/>
      <c r="H87" s="24"/>
      <c r="I87" s="24"/>
      <c r="J87" s="24"/>
      <c r="K87" s="94"/>
      <c r="L87" s="24"/>
      <c r="M87" s="94"/>
      <c r="N87" s="24"/>
      <c r="BW87" s="421"/>
      <c r="BX87" s="421"/>
      <c r="BY87" s="421"/>
      <c r="BZ87" s="421"/>
      <c r="CA87" s="421"/>
    </row>
    <row r="88" spans="1:86" s="18" customFormat="1" ht="14.25">
      <c r="A88" s="24"/>
      <c r="B88" s="24"/>
      <c r="C88" s="278"/>
      <c r="E88" s="24"/>
      <c r="F88" s="94"/>
      <c r="G88" s="94"/>
      <c r="H88" s="24"/>
      <c r="I88" s="24"/>
      <c r="J88" s="24"/>
      <c r="K88" s="94"/>
      <c r="L88" s="24"/>
      <c r="M88" s="94"/>
      <c r="N88" s="24"/>
      <c r="O88" s="94"/>
      <c r="P88" s="313"/>
      <c r="Q88" s="313"/>
      <c r="R88" s="313"/>
      <c r="S88" s="24"/>
      <c r="CD88" s="421"/>
      <c r="CE88" s="421"/>
      <c r="CF88" s="421"/>
      <c r="CG88" s="421"/>
      <c r="CH88" s="421"/>
    </row>
    <row r="89" spans="1:86" s="18" customFormat="1" ht="14.25">
      <c r="A89" s="24"/>
      <c r="B89" s="24"/>
      <c r="C89" s="278"/>
      <c r="E89" s="24"/>
      <c r="F89" s="94"/>
      <c r="G89" s="94"/>
      <c r="H89" s="24"/>
      <c r="I89" s="24"/>
      <c r="J89" s="24"/>
      <c r="K89" s="94"/>
      <c r="L89" s="24"/>
      <c r="M89" s="94"/>
      <c r="N89" s="24"/>
      <c r="O89" s="94"/>
      <c r="P89" s="313"/>
      <c r="Q89" s="313"/>
      <c r="R89" s="313"/>
      <c r="S89" s="24"/>
      <c r="CD89" s="421"/>
      <c r="CE89" s="421"/>
      <c r="CF89" s="421"/>
      <c r="CG89" s="421"/>
      <c r="CH89" s="421"/>
    </row>
    <row r="90" spans="1:86" s="18" customFormat="1" ht="14.25">
      <c r="A90" s="24"/>
      <c r="B90" s="24"/>
      <c r="C90" s="278"/>
      <c r="E90" s="24"/>
      <c r="F90" s="94"/>
      <c r="G90" s="94"/>
      <c r="H90" s="24"/>
      <c r="I90" s="24"/>
      <c r="J90" s="24"/>
      <c r="K90" s="94"/>
      <c r="L90" s="24"/>
      <c r="M90" s="94"/>
      <c r="N90" s="24"/>
      <c r="O90" s="94"/>
      <c r="P90" s="313"/>
      <c r="Q90" s="313"/>
      <c r="R90" s="313"/>
      <c r="S90" s="24"/>
      <c r="CD90" s="421"/>
      <c r="CE90" s="421"/>
      <c r="CF90" s="421"/>
      <c r="CG90" s="421"/>
      <c r="CH90" s="421"/>
    </row>
    <row r="91" spans="1:86" s="18" customFormat="1" ht="14.25">
      <c r="A91" s="24"/>
      <c r="B91" s="24"/>
      <c r="C91" s="278"/>
      <c r="E91" s="24"/>
      <c r="F91" s="94"/>
      <c r="G91" s="94"/>
      <c r="H91" s="24"/>
      <c r="I91" s="24"/>
      <c r="J91" s="24"/>
      <c r="K91" s="94"/>
      <c r="L91" s="24"/>
      <c r="M91" s="94"/>
      <c r="N91" s="24"/>
      <c r="O91" s="94"/>
      <c r="P91" s="313"/>
      <c r="Q91" s="313"/>
      <c r="R91" s="313"/>
      <c r="S91" s="24"/>
      <c r="CD91" s="421"/>
      <c r="CE91" s="421"/>
      <c r="CF91" s="421"/>
      <c r="CG91" s="421"/>
      <c r="CH91" s="421"/>
    </row>
    <row r="92" spans="1:86" s="18" customFormat="1" ht="14.25">
      <c r="A92" s="24"/>
      <c r="B92" s="24"/>
      <c r="C92" s="278"/>
      <c r="E92" s="24"/>
      <c r="F92" s="94"/>
      <c r="G92" s="94"/>
      <c r="H92" s="24"/>
      <c r="I92" s="24"/>
      <c r="J92" s="24"/>
      <c r="K92" s="94"/>
      <c r="L92" s="24"/>
      <c r="M92" s="94"/>
      <c r="N92" s="24"/>
      <c r="O92" s="94"/>
      <c r="P92" s="313"/>
      <c r="Q92" s="313"/>
      <c r="R92" s="313"/>
      <c r="S92" s="24"/>
      <c r="CD92" s="421"/>
      <c r="CE92" s="421"/>
      <c r="CF92" s="421"/>
      <c r="CG92" s="421"/>
      <c r="CH92" s="421"/>
    </row>
    <row r="93" spans="1:86" s="18" customFormat="1" ht="14.25">
      <c r="A93" s="24"/>
      <c r="B93" s="24"/>
      <c r="C93" s="278"/>
      <c r="E93" s="24"/>
      <c r="F93" s="94"/>
      <c r="G93" s="94"/>
      <c r="H93" s="24"/>
      <c r="I93" s="24"/>
      <c r="J93" s="24"/>
      <c r="K93" s="94"/>
      <c r="L93" s="24"/>
      <c r="M93" s="94"/>
      <c r="N93" s="24"/>
      <c r="O93" s="94"/>
      <c r="P93" s="313"/>
      <c r="Q93" s="313"/>
      <c r="R93" s="313"/>
      <c r="S93" s="24"/>
      <c r="CD93" s="421"/>
      <c r="CE93" s="421"/>
      <c r="CF93" s="421"/>
      <c r="CG93" s="421"/>
      <c r="CH93" s="421"/>
    </row>
    <row r="94" spans="1:86" s="18" customFormat="1" ht="14.25">
      <c r="A94" s="24"/>
      <c r="B94" s="24"/>
      <c r="C94" s="278"/>
      <c r="E94" s="24"/>
      <c r="F94" s="94"/>
      <c r="G94" s="94"/>
      <c r="H94" s="24"/>
      <c r="I94" s="24"/>
      <c r="J94" s="24"/>
      <c r="K94" s="94"/>
      <c r="L94" s="24"/>
      <c r="M94" s="94"/>
      <c r="N94" s="24"/>
      <c r="O94" s="94"/>
      <c r="P94" s="313"/>
      <c r="Q94" s="313"/>
      <c r="R94" s="313"/>
      <c r="S94" s="24"/>
      <c r="CD94" s="421"/>
      <c r="CE94" s="421"/>
      <c r="CF94" s="421"/>
      <c r="CG94" s="421"/>
      <c r="CH94" s="421"/>
    </row>
    <row r="95" spans="1:86" s="18" customFormat="1" ht="14.25">
      <c r="A95" s="24"/>
      <c r="B95" s="24"/>
      <c r="C95" s="278"/>
      <c r="E95" s="24"/>
      <c r="F95" s="94"/>
      <c r="G95" s="94"/>
      <c r="H95" s="24"/>
      <c r="I95" s="24"/>
      <c r="J95" s="24"/>
      <c r="K95" s="94"/>
      <c r="L95" s="24"/>
      <c r="M95" s="94"/>
      <c r="N95" s="24"/>
      <c r="O95" s="94"/>
      <c r="P95" s="313"/>
      <c r="Q95" s="313"/>
      <c r="R95" s="313"/>
      <c r="S95" s="24"/>
      <c r="CD95" s="421"/>
      <c r="CE95" s="421"/>
      <c r="CF95" s="421"/>
      <c r="CG95" s="421"/>
      <c r="CH95" s="421"/>
    </row>
    <row r="96" spans="1:86" s="18" customFormat="1" ht="14.25">
      <c r="A96" s="24"/>
      <c r="B96" s="24"/>
      <c r="C96" s="278"/>
      <c r="E96" s="24"/>
      <c r="F96" s="94"/>
      <c r="G96" s="94"/>
      <c r="H96" s="24"/>
      <c r="I96" s="24"/>
      <c r="J96" s="24"/>
      <c r="K96" s="94"/>
      <c r="L96" s="24"/>
      <c r="M96" s="94"/>
      <c r="N96" s="24"/>
      <c r="O96" s="94"/>
      <c r="P96" s="313"/>
      <c r="Q96" s="313"/>
      <c r="R96" s="313"/>
      <c r="S96" s="24"/>
      <c r="CD96" s="421"/>
      <c r="CE96" s="421"/>
      <c r="CF96" s="421"/>
      <c r="CG96" s="421"/>
      <c r="CH96" s="421"/>
    </row>
    <row r="97" spans="1:86" s="18" customFormat="1" ht="14.25">
      <c r="A97" s="24"/>
      <c r="B97" s="24"/>
      <c r="C97" s="278"/>
      <c r="E97" s="24"/>
      <c r="F97" s="94"/>
      <c r="G97" s="94"/>
      <c r="H97" s="24"/>
      <c r="I97" s="24"/>
      <c r="J97" s="24"/>
      <c r="K97" s="94"/>
      <c r="L97" s="24"/>
      <c r="M97" s="94"/>
      <c r="N97" s="24"/>
      <c r="O97" s="94"/>
      <c r="P97" s="313"/>
      <c r="Q97" s="313"/>
      <c r="R97" s="313"/>
      <c r="S97" s="24"/>
      <c r="CD97" s="421"/>
      <c r="CE97" s="421"/>
      <c r="CF97" s="421"/>
      <c r="CG97" s="421"/>
      <c r="CH97" s="421"/>
    </row>
    <row r="98" spans="1:86" s="18" customFormat="1" ht="14.25">
      <c r="A98" s="24"/>
      <c r="B98" s="24"/>
      <c r="C98" s="278"/>
      <c r="E98" s="24"/>
      <c r="F98" s="94"/>
      <c r="G98" s="94"/>
      <c r="H98" s="24"/>
      <c r="I98" s="24"/>
      <c r="J98" s="24"/>
      <c r="K98" s="94"/>
      <c r="L98" s="24"/>
      <c r="M98" s="94"/>
      <c r="N98" s="24"/>
      <c r="O98" s="94"/>
      <c r="P98" s="313"/>
      <c r="Q98" s="313"/>
      <c r="R98" s="313"/>
      <c r="S98" s="24"/>
      <c r="CD98" s="421"/>
      <c r="CE98" s="421"/>
      <c r="CF98" s="421"/>
      <c r="CG98" s="421"/>
      <c r="CH98" s="421"/>
    </row>
    <row r="99" spans="1:86" s="18" customFormat="1" ht="14.25">
      <c r="A99" s="24"/>
      <c r="B99" s="24"/>
      <c r="C99" s="278"/>
      <c r="E99" s="24"/>
      <c r="F99" s="94"/>
      <c r="G99" s="94"/>
      <c r="H99" s="24"/>
      <c r="I99" s="24"/>
      <c r="J99" s="24"/>
      <c r="K99" s="94"/>
      <c r="L99" s="24"/>
      <c r="M99" s="94"/>
      <c r="N99" s="24"/>
      <c r="O99" s="94"/>
      <c r="P99" s="313"/>
      <c r="Q99" s="313"/>
      <c r="R99" s="313"/>
      <c r="S99" s="24"/>
      <c r="CD99" s="421"/>
      <c r="CE99" s="421"/>
      <c r="CF99" s="421"/>
      <c r="CG99" s="421"/>
      <c r="CH99" s="421"/>
    </row>
    <row r="100" spans="1:86" s="18" customFormat="1" ht="14.25">
      <c r="A100" s="24"/>
      <c r="B100" s="24"/>
      <c r="C100" s="278"/>
      <c r="E100" s="24"/>
      <c r="F100" s="94"/>
      <c r="G100" s="94"/>
      <c r="H100" s="24"/>
      <c r="I100" s="24"/>
      <c r="J100" s="24"/>
      <c r="K100" s="94"/>
      <c r="L100" s="24"/>
      <c r="M100" s="94"/>
      <c r="N100" s="24"/>
      <c r="O100" s="94"/>
      <c r="P100" s="313"/>
      <c r="Q100" s="313"/>
      <c r="R100" s="313"/>
      <c r="S100" s="24"/>
      <c r="CD100" s="421"/>
      <c r="CE100" s="421"/>
      <c r="CF100" s="421"/>
      <c r="CG100" s="421"/>
      <c r="CH100" s="421"/>
    </row>
    <row r="101" spans="1:86" s="18" customFormat="1" ht="14.25">
      <c r="A101" s="24"/>
      <c r="B101" s="24"/>
      <c r="C101" s="278"/>
      <c r="E101" s="24"/>
      <c r="F101" s="94"/>
      <c r="G101" s="94"/>
      <c r="H101" s="24"/>
      <c r="I101" s="24"/>
      <c r="J101" s="24"/>
      <c r="K101" s="94"/>
      <c r="L101" s="24"/>
      <c r="M101" s="94"/>
      <c r="N101" s="24"/>
      <c r="O101" s="94"/>
      <c r="P101" s="313"/>
      <c r="Q101" s="313"/>
      <c r="R101" s="313"/>
      <c r="S101" s="24"/>
      <c r="CD101" s="421"/>
      <c r="CE101" s="421"/>
      <c r="CF101" s="421"/>
      <c r="CG101" s="421"/>
      <c r="CH101" s="421"/>
    </row>
    <row r="102" spans="1:86" s="18" customFormat="1" ht="14.25">
      <c r="A102" s="24"/>
      <c r="B102" s="24"/>
      <c r="C102" s="278"/>
      <c r="E102" s="24"/>
      <c r="F102" s="94"/>
      <c r="G102" s="94"/>
      <c r="H102" s="24"/>
      <c r="I102" s="24"/>
      <c r="J102" s="24"/>
      <c r="K102" s="94"/>
      <c r="L102" s="24"/>
      <c r="M102" s="94"/>
      <c r="N102" s="24"/>
      <c r="O102" s="94"/>
      <c r="P102" s="313"/>
      <c r="Q102" s="313"/>
      <c r="R102" s="313"/>
      <c r="S102" s="24"/>
      <c r="CD102" s="421"/>
      <c r="CE102" s="421"/>
      <c r="CF102" s="421"/>
      <c r="CG102" s="421"/>
      <c r="CH102" s="421"/>
    </row>
    <row r="103" spans="1:86" s="18" customFormat="1" ht="14.25">
      <c r="A103" s="24"/>
      <c r="B103" s="24"/>
      <c r="C103" s="278"/>
      <c r="E103" s="24"/>
      <c r="F103" s="94"/>
      <c r="G103" s="94"/>
      <c r="H103" s="24"/>
      <c r="I103" s="24"/>
      <c r="J103" s="24"/>
      <c r="K103" s="94"/>
      <c r="L103" s="24"/>
      <c r="M103" s="94"/>
      <c r="N103" s="24"/>
      <c r="O103" s="94"/>
      <c r="P103" s="313"/>
      <c r="Q103" s="313"/>
      <c r="R103" s="313"/>
      <c r="S103" s="24"/>
      <c r="CD103" s="421"/>
      <c r="CE103" s="421"/>
      <c r="CF103" s="421"/>
      <c r="CG103" s="421"/>
      <c r="CH103" s="421"/>
    </row>
    <row r="104" spans="1:86" s="18" customFormat="1" ht="14.25">
      <c r="A104" s="24"/>
      <c r="B104" s="24"/>
      <c r="C104" s="278"/>
      <c r="E104" s="24"/>
      <c r="F104" s="94"/>
      <c r="G104" s="94"/>
      <c r="H104" s="24"/>
      <c r="I104" s="24"/>
      <c r="J104" s="24"/>
      <c r="K104" s="94"/>
      <c r="L104" s="24"/>
      <c r="M104" s="94"/>
      <c r="N104" s="24"/>
      <c r="O104" s="94"/>
      <c r="P104" s="313"/>
      <c r="Q104" s="313"/>
      <c r="R104" s="313"/>
      <c r="S104" s="24"/>
      <c r="CD104" s="421"/>
      <c r="CE104" s="421"/>
      <c r="CF104" s="421"/>
      <c r="CG104" s="421"/>
      <c r="CH104" s="421"/>
    </row>
    <row r="105" spans="1:86" s="18" customFormat="1" ht="14.25">
      <c r="A105" s="24"/>
      <c r="B105" s="24"/>
      <c r="C105" s="278"/>
      <c r="E105" s="24"/>
      <c r="F105" s="94"/>
      <c r="G105" s="94"/>
      <c r="H105" s="24"/>
      <c r="I105" s="24"/>
      <c r="J105" s="24"/>
      <c r="K105" s="94"/>
      <c r="L105" s="24"/>
      <c r="M105" s="94"/>
      <c r="N105" s="24"/>
      <c r="O105" s="94"/>
      <c r="P105" s="313"/>
      <c r="Q105" s="313"/>
      <c r="R105" s="313"/>
      <c r="S105" s="24"/>
      <c r="CD105" s="421"/>
      <c r="CE105" s="421"/>
      <c r="CF105" s="421"/>
      <c r="CG105" s="421"/>
      <c r="CH105" s="421"/>
    </row>
    <row r="106" spans="1:86" s="18" customFormat="1" ht="14.25">
      <c r="A106" s="24"/>
      <c r="B106" s="24"/>
      <c r="C106" s="278"/>
      <c r="E106" s="24"/>
      <c r="F106" s="94"/>
      <c r="G106" s="94"/>
      <c r="H106" s="24"/>
      <c r="I106" s="24"/>
      <c r="J106" s="24"/>
      <c r="K106" s="94"/>
      <c r="L106" s="24"/>
      <c r="M106" s="94"/>
      <c r="N106" s="24"/>
      <c r="O106" s="94"/>
      <c r="P106" s="313"/>
      <c r="Q106" s="313"/>
      <c r="R106" s="313"/>
      <c r="S106" s="24"/>
      <c r="CD106" s="421"/>
      <c r="CE106" s="421"/>
      <c r="CF106" s="421"/>
      <c r="CG106" s="421"/>
      <c r="CH106" s="421"/>
    </row>
    <row r="107" spans="1:86" s="18" customFormat="1" ht="14.25">
      <c r="A107" s="24"/>
      <c r="B107" s="24"/>
      <c r="C107" s="278"/>
      <c r="E107" s="24"/>
      <c r="F107" s="94"/>
      <c r="G107" s="94"/>
      <c r="H107" s="24"/>
      <c r="I107" s="24"/>
      <c r="J107" s="24"/>
      <c r="K107" s="94"/>
      <c r="L107" s="24"/>
      <c r="M107" s="94"/>
      <c r="N107" s="24"/>
      <c r="O107" s="94"/>
      <c r="P107" s="313"/>
      <c r="Q107" s="313"/>
      <c r="R107" s="313"/>
      <c r="S107" s="24"/>
      <c r="CD107" s="421"/>
      <c r="CE107" s="421"/>
      <c r="CF107" s="421"/>
      <c r="CG107" s="421"/>
      <c r="CH107" s="421"/>
    </row>
    <row r="108" spans="1:86" s="18" customFormat="1" ht="14.25">
      <c r="A108" s="24"/>
      <c r="B108" s="24"/>
      <c r="C108" s="278"/>
      <c r="E108" s="24"/>
      <c r="F108" s="94"/>
      <c r="G108" s="94"/>
      <c r="H108" s="24"/>
      <c r="I108" s="24"/>
      <c r="J108" s="24"/>
      <c r="K108" s="94"/>
      <c r="L108" s="24"/>
      <c r="M108" s="94"/>
      <c r="N108" s="24"/>
      <c r="O108" s="94"/>
      <c r="P108" s="313"/>
      <c r="Q108" s="313"/>
      <c r="R108" s="313"/>
      <c r="S108" s="24"/>
      <c r="CD108" s="421"/>
      <c r="CE108" s="421"/>
      <c r="CF108" s="421"/>
      <c r="CG108" s="421"/>
      <c r="CH108" s="421"/>
    </row>
    <row r="109" spans="1:86" s="18" customFormat="1" ht="14.25">
      <c r="A109" s="24"/>
      <c r="B109" s="24"/>
      <c r="C109" s="278"/>
      <c r="E109" s="24"/>
      <c r="F109" s="94"/>
      <c r="G109" s="94"/>
      <c r="H109" s="24"/>
      <c r="I109" s="24"/>
      <c r="J109" s="24"/>
      <c r="K109" s="94"/>
      <c r="L109" s="24"/>
      <c r="M109" s="94"/>
      <c r="N109" s="24"/>
      <c r="O109" s="94"/>
      <c r="P109" s="313"/>
      <c r="Q109" s="313"/>
      <c r="R109" s="313"/>
      <c r="S109" s="24"/>
      <c r="CD109" s="421"/>
      <c r="CE109" s="421"/>
      <c r="CF109" s="421"/>
      <c r="CG109" s="421"/>
      <c r="CH109" s="421"/>
    </row>
    <row r="110" spans="1:86" s="18" customFormat="1" ht="14.25">
      <c r="A110" s="24"/>
      <c r="B110" s="24"/>
      <c r="C110" s="278"/>
      <c r="E110" s="24"/>
      <c r="F110" s="94"/>
      <c r="G110" s="94"/>
      <c r="H110" s="24"/>
      <c r="I110" s="24"/>
      <c r="J110" s="24"/>
      <c r="K110" s="94"/>
      <c r="L110" s="24"/>
      <c r="M110" s="94"/>
      <c r="N110" s="24"/>
      <c r="O110" s="94"/>
      <c r="P110" s="313"/>
      <c r="Q110" s="313"/>
      <c r="R110" s="313"/>
      <c r="S110" s="24"/>
      <c r="CD110" s="421"/>
      <c r="CE110" s="421"/>
      <c r="CF110" s="421"/>
      <c r="CG110" s="421"/>
      <c r="CH110" s="421"/>
    </row>
    <row r="111" spans="1:86" s="18" customFormat="1" ht="14.25">
      <c r="A111" s="24"/>
      <c r="B111" s="24"/>
      <c r="C111" s="278"/>
      <c r="E111" s="24"/>
      <c r="F111" s="94"/>
      <c r="G111" s="94"/>
      <c r="H111" s="24"/>
      <c r="I111" s="24"/>
      <c r="J111" s="24"/>
      <c r="K111" s="94"/>
      <c r="L111" s="24"/>
      <c r="M111" s="94"/>
      <c r="N111" s="24"/>
      <c r="O111" s="94"/>
      <c r="P111" s="313"/>
      <c r="Q111" s="313"/>
      <c r="R111" s="313"/>
      <c r="S111" s="24"/>
      <c r="CD111" s="421"/>
      <c r="CE111" s="421"/>
      <c r="CF111" s="421"/>
      <c r="CG111" s="421"/>
      <c r="CH111" s="421"/>
    </row>
    <row r="112" spans="1:86" s="18" customFormat="1" ht="14.25">
      <c r="A112" s="24"/>
      <c r="B112" s="24"/>
      <c r="C112" s="278"/>
      <c r="E112" s="24"/>
      <c r="F112" s="94"/>
      <c r="G112" s="94"/>
      <c r="H112" s="24"/>
      <c r="I112" s="24"/>
      <c r="J112" s="24"/>
      <c r="K112" s="94"/>
      <c r="L112" s="24"/>
      <c r="M112" s="94"/>
      <c r="N112" s="24"/>
      <c r="O112" s="94"/>
      <c r="P112" s="313"/>
      <c r="Q112" s="313"/>
      <c r="R112" s="313"/>
      <c r="S112" s="24"/>
      <c r="CD112" s="421"/>
      <c r="CE112" s="421"/>
      <c r="CF112" s="421"/>
      <c r="CG112" s="421"/>
      <c r="CH112" s="421"/>
    </row>
    <row r="113" spans="1:86" s="18" customFormat="1" ht="14.25">
      <c r="A113" s="24"/>
      <c r="B113" s="24"/>
      <c r="C113" s="278"/>
      <c r="E113" s="24"/>
      <c r="F113" s="94"/>
      <c r="G113" s="94"/>
      <c r="H113" s="24"/>
      <c r="I113" s="24"/>
      <c r="J113" s="24"/>
      <c r="K113" s="94"/>
      <c r="L113" s="24"/>
      <c r="M113" s="94"/>
      <c r="N113" s="24"/>
      <c r="O113" s="94"/>
      <c r="P113" s="313"/>
      <c r="Q113" s="313"/>
      <c r="R113" s="313"/>
      <c r="S113" s="24"/>
      <c r="CD113" s="421"/>
      <c r="CE113" s="421"/>
      <c r="CF113" s="421"/>
      <c r="CG113" s="421"/>
      <c r="CH113" s="421"/>
    </row>
    <row r="114" spans="1:86" s="18" customFormat="1" ht="14.25">
      <c r="A114" s="24"/>
      <c r="B114" s="24"/>
      <c r="C114" s="278"/>
      <c r="E114" s="24"/>
      <c r="F114" s="94"/>
      <c r="G114" s="94"/>
      <c r="H114" s="24"/>
      <c r="I114" s="24"/>
      <c r="J114" s="24"/>
      <c r="K114" s="94"/>
      <c r="L114" s="24"/>
      <c r="M114" s="94"/>
      <c r="N114" s="24"/>
      <c r="O114" s="94"/>
      <c r="P114" s="313"/>
      <c r="Q114" s="313"/>
      <c r="R114" s="313"/>
      <c r="S114" s="24"/>
      <c r="CD114" s="421"/>
      <c r="CE114" s="421"/>
      <c r="CF114" s="421"/>
      <c r="CG114" s="421"/>
      <c r="CH114" s="421"/>
    </row>
    <row r="115" spans="1:86" s="18" customFormat="1" ht="14.25">
      <c r="A115" s="24"/>
      <c r="B115" s="24"/>
      <c r="C115" s="278"/>
      <c r="E115" s="24"/>
      <c r="F115" s="94"/>
      <c r="G115" s="94"/>
      <c r="H115" s="24"/>
      <c r="I115" s="24"/>
      <c r="J115" s="24"/>
      <c r="K115" s="94"/>
      <c r="L115" s="24"/>
      <c r="M115" s="94"/>
      <c r="N115" s="24"/>
      <c r="O115" s="94"/>
      <c r="P115" s="313"/>
      <c r="Q115" s="313"/>
      <c r="R115" s="313"/>
      <c r="S115" s="24"/>
      <c r="CD115" s="421"/>
      <c r="CE115" s="421"/>
      <c r="CF115" s="421"/>
      <c r="CG115" s="421"/>
      <c r="CH115" s="421"/>
    </row>
    <row r="116" spans="1:86" s="18" customFormat="1" ht="14.25">
      <c r="A116" s="24"/>
      <c r="B116" s="24"/>
      <c r="C116" s="278"/>
      <c r="E116" s="24"/>
      <c r="F116" s="94"/>
      <c r="G116" s="94"/>
      <c r="H116" s="24"/>
      <c r="I116" s="24"/>
      <c r="J116" s="24"/>
      <c r="K116" s="94"/>
      <c r="L116" s="24"/>
      <c r="M116" s="94"/>
      <c r="N116" s="24"/>
      <c r="O116" s="94"/>
      <c r="P116" s="313"/>
      <c r="Q116" s="313"/>
      <c r="R116" s="313"/>
      <c r="S116" s="24"/>
      <c r="CD116" s="421"/>
      <c r="CE116" s="421"/>
      <c r="CF116" s="421"/>
      <c r="CG116" s="421"/>
      <c r="CH116" s="421"/>
    </row>
    <row r="117" spans="1:86" s="18" customFormat="1" ht="14.25">
      <c r="A117" s="24"/>
      <c r="B117" s="24"/>
      <c r="C117" s="278"/>
      <c r="E117" s="24"/>
      <c r="F117" s="94"/>
      <c r="G117" s="94"/>
      <c r="H117" s="24"/>
      <c r="I117" s="24"/>
      <c r="J117" s="24"/>
      <c r="K117" s="94"/>
      <c r="L117" s="24"/>
      <c r="M117" s="94"/>
      <c r="N117" s="24"/>
      <c r="O117" s="94"/>
      <c r="P117" s="313"/>
      <c r="Q117" s="313"/>
      <c r="R117" s="313"/>
      <c r="S117" s="24"/>
      <c r="CD117" s="421"/>
      <c r="CE117" s="421"/>
      <c r="CF117" s="421"/>
      <c r="CG117" s="421"/>
      <c r="CH117" s="421"/>
    </row>
    <row r="118" spans="1:86" s="18" customFormat="1" ht="14.25">
      <c r="A118" s="24"/>
      <c r="B118" s="24"/>
      <c r="C118" s="278"/>
      <c r="E118" s="24"/>
      <c r="F118" s="94"/>
      <c r="G118" s="94"/>
      <c r="H118" s="24"/>
      <c r="I118" s="24"/>
      <c r="J118" s="24"/>
      <c r="K118" s="94"/>
      <c r="L118" s="24"/>
      <c r="M118" s="94"/>
      <c r="N118" s="24"/>
      <c r="O118" s="94"/>
      <c r="P118" s="313"/>
      <c r="Q118" s="313"/>
      <c r="R118" s="313"/>
      <c r="S118" s="24"/>
      <c r="CD118" s="421"/>
      <c r="CE118" s="421"/>
      <c r="CF118" s="421"/>
      <c r="CG118" s="421"/>
      <c r="CH118" s="421"/>
    </row>
    <row r="119" spans="1:86" s="18" customFormat="1" ht="14.25">
      <c r="A119" s="24"/>
      <c r="B119" s="24"/>
      <c r="C119" s="278"/>
      <c r="E119" s="24"/>
      <c r="F119" s="94"/>
      <c r="G119" s="94"/>
      <c r="H119" s="24"/>
      <c r="I119" s="24"/>
      <c r="J119" s="24"/>
      <c r="K119" s="94"/>
      <c r="L119" s="24"/>
      <c r="M119" s="94"/>
      <c r="N119" s="24"/>
      <c r="O119" s="94"/>
      <c r="P119" s="313"/>
      <c r="Q119" s="313"/>
      <c r="R119" s="313"/>
      <c r="S119" s="24"/>
      <c r="CD119" s="421"/>
      <c r="CE119" s="421"/>
      <c r="CF119" s="421"/>
      <c r="CG119" s="421"/>
      <c r="CH119" s="421"/>
    </row>
    <row r="120" spans="1:86" s="18" customFormat="1" ht="14.25">
      <c r="A120" s="24"/>
      <c r="B120" s="24"/>
      <c r="C120" s="278"/>
      <c r="E120" s="24"/>
      <c r="F120" s="94"/>
      <c r="G120" s="94"/>
      <c r="H120" s="24"/>
      <c r="I120" s="24"/>
      <c r="J120" s="24"/>
      <c r="K120" s="94"/>
      <c r="L120" s="24"/>
      <c r="M120" s="94"/>
      <c r="N120" s="24"/>
      <c r="O120" s="94"/>
      <c r="P120" s="313"/>
      <c r="Q120" s="313"/>
      <c r="R120" s="313"/>
      <c r="S120" s="24"/>
      <c r="CD120" s="421"/>
      <c r="CE120" s="421"/>
      <c r="CF120" s="421"/>
      <c r="CG120" s="421"/>
      <c r="CH120" s="421"/>
    </row>
    <row r="121" spans="1:86" s="18" customFormat="1" ht="14.25">
      <c r="A121" s="24"/>
      <c r="B121" s="24"/>
      <c r="C121" s="278"/>
      <c r="E121" s="24"/>
      <c r="F121" s="94"/>
      <c r="G121" s="94"/>
      <c r="H121" s="24"/>
      <c r="I121" s="24"/>
      <c r="J121" s="24"/>
      <c r="K121" s="94"/>
      <c r="L121" s="24"/>
      <c r="M121" s="94"/>
      <c r="N121" s="24"/>
      <c r="O121" s="94"/>
      <c r="P121" s="313"/>
      <c r="Q121" s="313"/>
      <c r="R121" s="313"/>
      <c r="S121" s="24"/>
      <c r="CD121" s="421"/>
      <c r="CE121" s="421"/>
      <c r="CF121" s="421"/>
      <c r="CG121" s="421"/>
      <c r="CH121" s="421"/>
    </row>
    <row r="122" spans="1:86" s="18" customFormat="1" ht="14.25">
      <c r="A122" s="24"/>
      <c r="B122" s="24"/>
      <c r="C122" s="278"/>
      <c r="E122" s="24"/>
      <c r="F122" s="94"/>
      <c r="G122" s="94"/>
      <c r="H122" s="24"/>
      <c r="I122" s="24"/>
      <c r="J122" s="24"/>
      <c r="K122" s="94"/>
      <c r="L122" s="24"/>
      <c r="M122" s="94"/>
      <c r="N122" s="24"/>
      <c r="O122" s="94"/>
      <c r="P122" s="313"/>
      <c r="Q122" s="313"/>
      <c r="R122" s="313"/>
      <c r="S122" s="24"/>
      <c r="CD122" s="421"/>
      <c r="CE122" s="421"/>
      <c r="CF122" s="421"/>
      <c r="CG122" s="421"/>
      <c r="CH122" s="421"/>
    </row>
    <row r="123" spans="1:86" s="18" customFormat="1" ht="14.25">
      <c r="A123" s="24"/>
      <c r="B123" s="24"/>
      <c r="C123" s="278"/>
      <c r="E123" s="24"/>
      <c r="F123" s="94"/>
      <c r="G123" s="94"/>
      <c r="H123" s="24"/>
      <c r="I123" s="24"/>
      <c r="J123" s="24"/>
      <c r="K123" s="94"/>
      <c r="L123" s="24"/>
      <c r="M123" s="94"/>
      <c r="N123" s="24"/>
      <c r="O123" s="94"/>
      <c r="P123" s="313"/>
      <c r="Q123" s="313"/>
      <c r="R123" s="313"/>
      <c r="S123" s="24"/>
      <c r="CD123" s="421"/>
      <c r="CE123" s="421"/>
      <c r="CF123" s="421"/>
      <c r="CG123" s="421"/>
      <c r="CH123" s="421"/>
    </row>
    <row r="124" spans="1:86" s="18" customFormat="1" ht="14.25">
      <c r="A124" s="24"/>
      <c r="B124" s="24"/>
      <c r="C124" s="278"/>
      <c r="E124" s="24"/>
      <c r="F124" s="94"/>
      <c r="G124" s="94"/>
      <c r="H124" s="24"/>
      <c r="I124" s="24"/>
      <c r="J124" s="24"/>
      <c r="K124" s="94"/>
      <c r="L124" s="24"/>
      <c r="M124" s="94"/>
      <c r="N124" s="24"/>
      <c r="O124" s="94"/>
      <c r="P124" s="313"/>
      <c r="Q124" s="313"/>
      <c r="R124" s="313"/>
      <c r="S124" s="24"/>
      <c r="CD124" s="421"/>
      <c r="CE124" s="421"/>
      <c r="CF124" s="421"/>
      <c r="CG124" s="421"/>
      <c r="CH124" s="421"/>
    </row>
    <row r="125" spans="1:86" s="18" customFormat="1" ht="14.25">
      <c r="A125" s="24"/>
      <c r="B125" s="24"/>
      <c r="C125" s="278"/>
      <c r="E125" s="24"/>
      <c r="F125" s="94"/>
      <c r="G125" s="94"/>
      <c r="H125" s="24"/>
      <c r="I125" s="24"/>
      <c r="J125" s="24"/>
      <c r="K125" s="94"/>
      <c r="L125" s="24"/>
      <c r="M125" s="94"/>
      <c r="N125" s="24"/>
      <c r="O125" s="94"/>
      <c r="P125" s="313"/>
      <c r="Q125" s="313"/>
      <c r="R125" s="313"/>
      <c r="S125" s="24"/>
      <c r="CD125" s="421"/>
      <c r="CE125" s="421"/>
      <c r="CF125" s="421"/>
      <c r="CG125" s="421"/>
      <c r="CH125" s="421"/>
    </row>
    <row r="126" spans="1:86" s="18" customFormat="1" ht="14.25">
      <c r="A126" s="24"/>
      <c r="B126" s="24"/>
      <c r="C126" s="278"/>
      <c r="E126" s="24"/>
      <c r="F126" s="94"/>
      <c r="G126" s="94"/>
      <c r="H126" s="24"/>
      <c r="I126" s="24"/>
      <c r="J126" s="24"/>
      <c r="K126" s="94"/>
      <c r="L126" s="24"/>
      <c r="M126" s="94"/>
      <c r="N126" s="24"/>
      <c r="O126" s="94"/>
      <c r="P126" s="313"/>
      <c r="Q126" s="313"/>
      <c r="R126" s="313"/>
      <c r="S126" s="24"/>
      <c r="CD126" s="421"/>
      <c r="CE126" s="421"/>
      <c r="CF126" s="421"/>
      <c r="CG126" s="421"/>
      <c r="CH126" s="421"/>
    </row>
    <row r="127" spans="1:86" s="18" customFormat="1" ht="14.25">
      <c r="A127" s="24"/>
      <c r="B127" s="24"/>
      <c r="C127" s="278"/>
      <c r="E127" s="24"/>
      <c r="F127" s="94"/>
      <c r="G127" s="94"/>
      <c r="H127" s="24"/>
      <c r="I127" s="24"/>
      <c r="J127" s="24"/>
      <c r="K127" s="94"/>
      <c r="L127" s="24"/>
      <c r="M127" s="94"/>
      <c r="N127" s="24"/>
      <c r="O127" s="94"/>
      <c r="P127" s="313"/>
      <c r="Q127" s="313"/>
      <c r="R127" s="313"/>
      <c r="S127" s="24"/>
      <c r="CD127" s="421"/>
      <c r="CE127" s="421"/>
      <c r="CF127" s="421"/>
      <c r="CG127" s="421"/>
      <c r="CH127" s="421"/>
    </row>
    <row r="128" spans="1:86" s="18" customFormat="1" ht="14.25">
      <c r="A128" s="24"/>
      <c r="B128" s="24"/>
      <c r="C128" s="278"/>
      <c r="E128" s="24"/>
      <c r="F128" s="94"/>
      <c r="G128" s="94"/>
      <c r="H128" s="24"/>
      <c r="I128" s="24"/>
      <c r="J128" s="24"/>
      <c r="K128" s="94"/>
      <c r="L128" s="24"/>
      <c r="M128" s="94"/>
      <c r="N128" s="24"/>
      <c r="O128" s="94"/>
      <c r="P128" s="313"/>
      <c r="Q128" s="313"/>
      <c r="R128" s="313"/>
      <c r="S128" s="24"/>
      <c r="CD128" s="421"/>
      <c r="CE128" s="421"/>
      <c r="CF128" s="421"/>
      <c r="CG128" s="421"/>
      <c r="CH128" s="421"/>
    </row>
    <row r="129" spans="1:86" s="18" customFormat="1" ht="14.25">
      <c r="A129" s="24"/>
      <c r="B129" s="24"/>
      <c r="C129" s="278"/>
      <c r="E129" s="24"/>
      <c r="F129" s="94"/>
      <c r="G129" s="94"/>
      <c r="H129" s="24"/>
      <c r="I129" s="24"/>
      <c r="J129" s="24"/>
      <c r="K129" s="94"/>
      <c r="L129" s="24"/>
      <c r="M129" s="94"/>
      <c r="N129" s="24"/>
      <c r="O129" s="94"/>
      <c r="P129" s="313"/>
      <c r="Q129" s="313"/>
      <c r="R129" s="313"/>
      <c r="S129" s="24"/>
      <c r="CD129" s="421"/>
      <c r="CE129" s="421"/>
      <c r="CF129" s="421"/>
      <c r="CG129" s="421"/>
      <c r="CH129" s="421"/>
    </row>
    <row r="130" spans="1:86" s="18" customFormat="1" ht="14.25">
      <c r="A130" s="24"/>
      <c r="B130" s="24"/>
      <c r="C130" s="278"/>
      <c r="E130" s="24"/>
      <c r="F130" s="94"/>
      <c r="G130" s="94"/>
      <c r="H130" s="24"/>
      <c r="I130" s="24"/>
      <c r="J130" s="24"/>
      <c r="K130" s="94"/>
      <c r="L130" s="24"/>
      <c r="M130" s="94"/>
      <c r="N130" s="24"/>
      <c r="O130" s="94"/>
      <c r="P130" s="313"/>
      <c r="Q130" s="313"/>
      <c r="R130" s="313"/>
      <c r="S130" s="24"/>
      <c r="CD130" s="421"/>
      <c r="CE130" s="421"/>
      <c r="CF130" s="421"/>
      <c r="CG130" s="421"/>
      <c r="CH130" s="421"/>
    </row>
    <row r="131" spans="1:86" s="18" customFormat="1" ht="14.25">
      <c r="A131" s="24"/>
      <c r="B131" s="24"/>
      <c r="C131" s="278"/>
      <c r="E131" s="24"/>
      <c r="F131" s="94"/>
      <c r="G131" s="94"/>
      <c r="H131" s="24"/>
      <c r="I131" s="24"/>
      <c r="J131" s="24"/>
      <c r="K131" s="94"/>
      <c r="L131" s="24"/>
      <c r="M131" s="94"/>
      <c r="N131" s="24"/>
      <c r="O131" s="94"/>
      <c r="P131" s="313"/>
      <c r="Q131" s="313"/>
      <c r="R131" s="313"/>
      <c r="S131" s="24"/>
      <c r="CD131" s="421"/>
      <c r="CE131" s="421"/>
      <c r="CF131" s="421"/>
      <c r="CG131" s="421"/>
      <c r="CH131" s="421"/>
    </row>
    <row r="132" spans="1:86" s="18" customFormat="1" ht="14.25">
      <c r="A132" s="24"/>
      <c r="B132" s="24"/>
      <c r="C132" s="278"/>
      <c r="E132" s="24"/>
      <c r="F132" s="94"/>
      <c r="G132" s="94"/>
      <c r="H132" s="24"/>
      <c r="I132" s="24"/>
      <c r="J132" s="24"/>
      <c r="K132" s="94"/>
      <c r="L132" s="24"/>
      <c r="M132" s="94"/>
      <c r="N132" s="24"/>
      <c r="O132" s="94"/>
      <c r="P132" s="313"/>
      <c r="Q132" s="313"/>
      <c r="R132" s="313"/>
      <c r="S132" s="24"/>
      <c r="CD132" s="421"/>
      <c r="CE132" s="421"/>
      <c r="CF132" s="421"/>
      <c r="CG132" s="421"/>
      <c r="CH132" s="421"/>
    </row>
    <row r="133" spans="1:86" s="18" customFormat="1" ht="14.25">
      <c r="A133" s="24"/>
      <c r="B133" s="24"/>
      <c r="C133" s="278"/>
      <c r="E133" s="24"/>
      <c r="F133" s="94"/>
      <c r="G133" s="94"/>
      <c r="H133" s="24"/>
      <c r="I133" s="24"/>
      <c r="J133" s="24"/>
      <c r="K133" s="94"/>
      <c r="L133" s="24"/>
      <c r="M133" s="94"/>
      <c r="N133" s="24"/>
      <c r="O133" s="94"/>
      <c r="P133" s="313"/>
      <c r="Q133" s="313"/>
      <c r="R133" s="313"/>
      <c r="S133" s="24"/>
      <c r="CD133" s="421"/>
      <c r="CE133" s="421"/>
      <c r="CF133" s="421"/>
      <c r="CG133" s="421"/>
      <c r="CH133" s="421"/>
    </row>
    <row r="134" spans="1:86" s="18" customFormat="1" ht="14.25">
      <c r="A134" s="24"/>
      <c r="B134" s="24"/>
      <c r="C134" s="278"/>
      <c r="E134" s="24"/>
      <c r="F134" s="94"/>
      <c r="G134" s="94"/>
      <c r="H134" s="24"/>
      <c r="I134" s="24"/>
      <c r="J134" s="24"/>
      <c r="K134" s="94"/>
      <c r="L134" s="24"/>
      <c r="M134" s="94"/>
      <c r="N134" s="24"/>
      <c r="O134" s="94"/>
      <c r="P134" s="313"/>
      <c r="Q134" s="313"/>
      <c r="R134" s="313"/>
      <c r="S134" s="24"/>
      <c r="CD134" s="421"/>
      <c r="CE134" s="421"/>
      <c r="CF134" s="421"/>
      <c r="CG134" s="421"/>
      <c r="CH134" s="421"/>
    </row>
    <row r="135" spans="1:86" s="18" customFormat="1" ht="14.25">
      <c r="A135" s="24"/>
      <c r="B135" s="24"/>
      <c r="C135" s="278"/>
      <c r="E135" s="24"/>
      <c r="F135" s="94"/>
      <c r="G135" s="94"/>
      <c r="H135" s="24"/>
      <c r="I135" s="24"/>
      <c r="J135" s="24"/>
      <c r="K135" s="94"/>
      <c r="L135" s="24"/>
      <c r="M135" s="94"/>
      <c r="N135" s="24"/>
      <c r="O135" s="94"/>
      <c r="P135" s="313"/>
      <c r="Q135" s="313"/>
      <c r="R135" s="313"/>
      <c r="S135" s="24"/>
      <c r="CD135" s="421"/>
      <c r="CE135" s="421"/>
      <c r="CF135" s="421"/>
      <c r="CG135" s="421"/>
      <c r="CH135" s="421"/>
    </row>
    <row r="136" spans="1:86" s="18" customFormat="1" ht="14.25">
      <c r="A136" s="24"/>
      <c r="B136" s="24"/>
      <c r="C136" s="278"/>
      <c r="E136" s="24"/>
      <c r="F136" s="94"/>
      <c r="G136" s="94"/>
      <c r="H136" s="24"/>
      <c r="I136" s="24"/>
      <c r="J136" s="24"/>
      <c r="K136" s="94"/>
      <c r="L136" s="24"/>
      <c r="M136" s="94"/>
      <c r="N136" s="24"/>
      <c r="O136" s="94"/>
      <c r="P136" s="313"/>
      <c r="Q136" s="313"/>
      <c r="R136" s="313"/>
      <c r="S136" s="24"/>
      <c r="CD136" s="421"/>
      <c r="CE136" s="421"/>
      <c r="CF136" s="421"/>
      <c r="CG136" s="421"/>
      <c r="CH136" s="421"/>
    </row>
    <row r="137" spans="1:86" s="18" customFormat="1" ht="14.25">
      <c r="A137" s="24"/>
      <c r="B137" s="24"/>
      <c r="C137" s="278"/>
      <c r="E137" s="24"/>
      <c r="F137" s="94"/>
      <c r="G137" s="94"/>
      <c r="H137" s="24"/>
      <c r="I137" s="24"/>
      <c r="J137" s="24"/>
      <c r="K137" s="94"/>
      <c r="L137" s="24"/>
      <c r="M137" s="94"/>
      <c r="N137" s="24"/>
      <c r="O137" s="94"/>
      <c r="P137" s="313"/>
      <c r="Q137" s="313"/>
      <c r="R137" s="313"/>
      <c r="S137" s="24"/>
      <c r="CD137" s="421"/>
      <c r="CE137" s="421"/>
      <c r="CF137" s="421"/>
      <c r="CG137" s="421"/>
      <c r="CH137" s="421"/>
    </row>
    <row r="138" spans="1:86" s="18" customFormat="1" ht="14.25">
      <c r="A138" s="24"/>
      <c r="B138" s="24"/>
      <c r="C138" s="278"/>
      <c r="E138" s="24"/>
      <c r="F138" s="94"/>
      <c r="G138" s="94"/>
      <c r="H138" s="24"/>
      <c r="I138" s="24"/>
      <c r="J138" s="24"/>
      <c r="K138" s="94"/>
      <c r="L138" s="24"/>
      <c r="M138" s="94"/>
      <c r="N138" s="24"/>
      <c r="O138" s="94"/>
      <c r="P138" s="313"/>
      <c r="Q138" s="313"/>
      <c r="R138" s="313"/>
      <c r="S138" s="24"/>
      <c r="CD138" s="421"/>
      <c r="CE138" s="421"/>
      <c r="CF138" s="421"/>
      <c r="CG138" s="421"/>
      <c r="CH138" s="421"/>
    </row>
    <row r="139" spans="1:86" s="18" customFormat="1" ht="14.25">
      <c r="A139" s="24"/>
      <c r="B139" s="24"/>
      <c r="C139" s="278"/>
      <c r="E139" s="24"/>
      <c r="F139" s="94"/>
      <c r="G139" s="94"/>
      <c r="H139" s="24"/>
      <c r="I139" s="24"/>
      <c r="J139" s="24"/>
      <c r="K139" s="94"/>
      <c r="L139" s="24"/>
      <c r="M139" s="94"/>
      <c r="N139" s="24"/>
      <c r="O139" s="94"/>
      <c r="P139" s="313"/>
      <c r="Q139" s="313"/>
      <c r="R139" s="313"/>
      <c r="S139" s="24"/>
      <c r="CD139" s="421"/>
      <c r="CE139" s="421"/>
      <c r="CF139" s="421"/>
      <c r="CG139" s="421"/>
      <c r="CH139" s="421"/>
    </row>
    <row r="140" spans="1:86" s="18" customFormat="1" ht="14.25">
      <c r="A140" s="24"/>
      <c r="B140" s="24"/>
      <c r="C140" s="278"/>
      <c r="E140" s="24"/>
      <c r="F140" s="94"/>
      <c r="G140" s="94"/>
      <c r="H140" s="24"/>
      <c r="I140" s="24"/>
      <c r="J140" s="24"/>
      <c r="K140" s="94"/>
      <c r="L140" s="24"/>
      <c r="M140" s="94"/>
      <c r="N140" s="24"/>
      <c r="O140" s="94"/>
      <c r="P140" s="313"/>
      <c r="Q140" s="313"/>
      <c r="R140" s="313"/>
      <c r="S140" s="24"/>
      <c r="CD140" s="421"/>
      <c r="CE140" s="421"/>
      <c r="CF140" s="421"/>
      <c r="CG140" s="421"/>
      <c r="CH140" s="421"/>
    </row>
    <row r="141" spans="1:86" s="18" customFormat="1" ht="14.25">
      <c r="A141" s="24"/>
      <c r="B141" s="24"/>
      <c r="C141" s="278"/>
      <c r="E141" s="24"/>
      <c r="F141" s="94"/>
      <c r="G141" s="94"/>
      <c r="H141" s="24"/>
      <c r="I141" s="24"/>
      <c r="J141" s="24"/>
      <c r="K141" s="94"/>
      <c r="L141" s="24"/>
      <c r="M141" s="94"/>
      <c r="N141" s="24"/>
      <c r="O141" s="94"/>
      <c r="P141" s="313"/>
      <c r="Q141" s="313"/>
      <c r="R141" s="313"/>
      <c r="S141" s="24"/>
      <c r="CD141" s="421"/>
      <c r="CE141" s="421"/>
      <c r="CF141" s="421"/>
      <c r="CG141" s="421"/>
      <c r="CH141" s="421"/>
    </row>
    <row r="142" spans="1:86" s="18" customFormat="1" ht="14.25">
      <c r="A142" s="24"/>
      <c r="B142" s="24"/>
      <c r="C142" s="278"/>
      <c r="E142" s="24"/>
      <c r="F142" s="94"/>
      <c r="G142" s="94"/>
      <c r="H142" s="24"/>
      <c r="I142" s="24"/>
      <c r="J142" s="24"/>
      <c r="K142" s="94"/>
      <c r="L142" s="24"/>
      <c r="M142" s="94"/>
      <c r="N142" s="24"/>
      <c r="O142" s="94"/>
      <c r="P142" s="313"/>
      <c r="Q142" s="313"/>
      <c r="R142" s="313"/>
      <c r="S142" s="24"/>
      <c r="CD142" s="421"/>
      <c r="CE142" s="421"/>
      <c r="CF142" s="421"/>
      <c r="CG142" s="421"/>
      <c r="CH142" s="421"/>
    </row>
    <row r="143" spans="1:86" s="18" customFormat="1" ht="14.25">
      <c r="A143" s="24"/>
      <c r="B143" s="24"/>
      <c r="C143" s="278"/>
      <c r="E143" s="24"/>
      <c r="F143" s="94"/>
      <c r="G143" s="94"/>
      <c r="H143" s="24"/>
      <c r="I143" s="24"/>
      <c r="J143" s="24"/>
      <c r="K143" s="94"/>
      <c r="L143" s="24"/>
      <c r="M143" s="94"/>
      <c r="N143" s="24"/>
      <c r="O143" s="94"/>
      <c r="P143" s="313"/>
      <c r="Q143" s="313"/>
      <c r="R143" s="313"/>
      <c r="S143" s="24"/>
      <c r="CD143" s="421"/>
      <c r="CE143" s="421"/>
      <c r="CF143" s="421"/>
      <c r="CG143" s="421"/>
      <c r="CH143" s="421"/>
    </row>
    <row r="144" spans="1:86" s="18" customFormat="1" ht="14.25">
      <c r="A144" s="24"/>
      <c r="B144" s="24"/>
      <c r="C144" s="278"/>
      <c r="E144" s="24"/>
      <c r="F144" s="94"/>
      <c r="G144" s="94"/>
      <c r="H144" s="24"/>
      <c r="I144" s="24"/>
      <c r="J144" s="24"/>
      <c r="K144" s="94"/>
      <c r="L144" s="24"/>
      <c r="M144" s="94"/>
      <c r="N144" s="24"/>
      <c r="O144" s="94"/>
      <c r="P144" s="313"/>
      <c r="Q144" s="313"/>
      <c r="R144" s="313"/>
      <c r="S144" s="24"/>
      <c r="CD144" s="421"/>
      <c r="CE144" s="421"/>
      <c r="CF144" s="421"/>
      <c r="CG144" s="421"/>
      <c r="CH144" s="421"/>
    </row>
    <row r="145" spans="1:86" s="18" customFormat="1" ht="14.25">
      <c r="A145" s="24"/>
      <c r="B145" s="24"/>
      <c r="C145" s="278"/>
      <c r="E145" s="24"/>
      <c r="F145" s="94"/>
      <c r="G145" s="94"/>
      <c r="H145" s="24"/>
      <c r="I145" s="24"/>
      <c r="J145" s="24"/>
      <c r="K145" s="94"/>
      <c r="L145" s="24"/>
      <c r="M145" s="94"/>
      <c r="N145" s="24"/>
      <c r="O145" s="94"/>
      <c r="P145" s="313"/>
      <c r="Q145" s="313"/>
      <c r="R145" s="313"/>
      <c r="S145" s="24"/>
      <c r="CD145" s="421"/>
      <c r="CE145" s="421"/>
      <c r="CF145" s="421"/>
      <c r="CG145" s="421"/>
      <c r="CH145" s="421"/>
    </row>
    <row r="146" spans="1:86" s="18" customFormat="1" ht="14.25">
      <c r="A146" s="24"/>
      <c r="B146" s="24"/>
      <c r="C146" s="278"/>
      <c r="E146" s="24"/>
      <c r="F146" s="94"/>
      <c r="G146" s="94"/>
      <c r="H146" s="24"/>
      <c r="I146" s="24"/>
      <c r="J146" s="24"/>
      <c r="K146" s="94"/>
      <c r="L146" s="24"/>
      <c r="M146" s="94"/>
      <c r="N146" s="24"/>
      <c r="O146" s="94"/>
      <c r="P146" s="313"/>
      <c r="Q146" s="313"/>
      <c r="R146" s="313"/>
      <c r="S146" s="24"/>
      <c r="CD146" s="421"/>
      <c r="CE146" s="421"/>
      <c r="CF146" s="421"/>
      <c r="CG146" s="421"/>
      <c r="CH146" s="421"/>
    </row>
    <row r="147" spans="1:86" s="18" customFormat="1" ht="14.25">
      <c r="A147" s="24"/>
      <c r="B147" s="24"/>
      <c r="C147" s="278"/>
      <c r="E147" s="24"/>
      <c r="F147" s="94"/>
      <c r="G147" s="94"/>
      <c r="H147" s="24"/>
      <c r="I147" s="24"/>
      <c r="J147" s="24"/>
      <c r="K147" s="94"/>
      <c r="L147" s="24"/>
      <c r="M147" s="94"/>
      <c r="N147" s="24"/>
      <c r="O147" s="94"/>
      <c r="P147" s="313"/>
      <c r="Q147" s="313"/>
      <c r="R147" s="313"/>
      <c r="S147" s="24"/>
      <c r="CD147" s="421"/>
      <c r="CE147" s="421"/>
      <c r="CF147" s="421"/>
      <c r="CG147" s="421"/>
      <c r="CH147" s="421"/>
    </row>
    <row r="148" spans="1:86" s="18" customFormat="1" ht="14.25">
      <c r="A148" s="24"/>
      <c r="B148" s="24"/>
      <c r="C148" s="278"/>
      <c r="E148" s="24"/>
      <c r="F148" s="94"/>
      <c r="G148" s="94"/>
      <c r="H148" s="24"/>
      <c r="I148" s="24"/>
      <c r="J148" s="24"/>
      <c r="K148" s="94"/>
      <c r="L148" s="24"/>
      <c r="M148" s="94"/>
      <c r="N148" s="24"/>
      <c r="O148" s="94"/>
      <c r="P148" s="313"/>
      <c r="Q148" s="313"/>
      <c r="R148" s="313"/>
      <c r="S148" s="24"/>
      <c r="CD148" s="421"/>
      <c r="CE148" s="421"/>
      <c r="CF148" s="421"/>
      <c r="CG148" s="421"/>
      <c r="CH148" s="421"/>
    </row>
    <row r="149" spans="1:86" s="18" customFormat="1" ht="14.25">
      <c r="A149" s="24"/>
      <c r="B149" s="24"/>
      <c r="C149" s="278"/>
      <c r="E149" s="24"/>
      <c r="F149" s="94"/>
      <c r="G149" s="94"/>
      <c r="H149" s="24"/>
      <c r="I149" s="24"/>
      <c r="J149" s="24"/>
      <c r="K149" s="94"/>
      <c r="L149" s="24"/>
      <c r="M149" s="94"/>
      <c r="N149" s="24"/>
      <c r="O149" s="94"/>
      <c r="P149" s="313"/>
      <c r="Q149" s="313"/>
      <c r="R149" s="313"/>
      <c r="S149" s="24"/>
      <c r="CD149" s="421"/>
      <c r="CE149" s="421"/>
      <c r="CF149" s="421"/>
      <c r="CG149" s="421"/>
      <c r="CH149" s="421"/>
    </row>
    <row r="150" spans="1:86" s="18" customFormat="1" ht="14.25">
      <c r="A150" s="24"/>
      <c r="B150" s="24"/>
      <c r="C150" s="278"/>
      <c r="E150" s="24"/>
      <c r="F150" s="94"/>
      <c r="G150" s="94"/>
      <c r="H150" s="24"/>
      <c r="I150" s="24"/>
      <c r="J150" s="24"/>
      <c r="K150" s="94"/>
      <c r="L150" s="24"/>
      <c r="M150" s="94"/>
      <c r="N150" s="24"/>
      <c r="O150" s="94"/>
      <c r="P150" s="313"/>
      <c r="Q150" s="313"/>
      <c r="R150" s="313"/>
      <c r="S150" s="24"/>
      <c r="CD150" s="421"/>
      <c r="CE150" s="421"/>
      <c r="CF150" s="421"/>
      <c r="CG150" s="421"/>
      <c r="CH150" s="421"/>
    </row>
    <row r="151" spans="1:86" s="18" customFormat="1" ht="14.25">
      <c r="A151" s="24"/>
      <c r="B151" s="24"/>
      <c r="C151" s="278"/>
      <c r="E151" s="24"/>
      <c r="F151" s="94"/>
      <c r="G151" s="94"/>
      <c r="H151" s="24"/>
      <c r="I151" s="24"/>
      <c r="J151" s="24"/>
      <c r="K151" s="94"/>
      <c r="L151" s="24"/>
      <c r="M151" s="94"/>
      <c r="N151" s="24"/>
      <c r="O151" s="94"/>
      <c r="P151" s="313"/>
      <c r="Q151" s="313"/>
      <c r="R151" s="313"/>
      <c r="S151" s="24"/>
      <c r="CD151" s="421"/>
      <c r="CE151" s="421"/>
      <c r="CF151" s="421"/>
      <c r="CG151" s="421"/>
      <c r="CH151" s="421"/>
    </row>
    <row r="152" spans="1:86" s="18" customFormat="1" ht="14.25">
      <c r="A152" s="24"/>
      <c r="B152" s="24"/>
      <c r="C152" s="278"/>
      <c r="E152" s="24"/>
      <c r="F152" s="94"/>
      <c r="G152" s="94"/>
      <c r="H152" s="24"/>
      <c r="I152" s="24"/>
      <c r="J152" s="24"/>
      <c r="K152" s="94"/>
      <c r="L152" s="24"/>
      <c r="M152" s="94"/>
      <c r="N152" s="24"/>
      <c r="O152" s="94"/>
      <c r="P152" s="313"/>
      <c r="Q152" s="313"/>
      <c r="R152" s="313"/>
      <c r="S152" s="24"/>
      <c r="CD152" s="421"/>
      <c r="CE152" s="421"/>
      <c r="CF152" s="421"/>
      <c r="CG152" s="421"/>
      <c r="CH152" s="421"/>
    </row>
    <row r="153" spans="1:86" s="18" customFormat="1" ht="14.25">
      <c r="A153" s="24"/>
      <c r="B153" s="24"/>
      <c r="C153" s="278"/>
      <c r="E153" s="24"/>
      <c r="F153" s="94"/>
      <c r="G153" s="94"/>
      <c r="H153" s="24"/>
      <c r="I153" s="24"/>
      <c r="J153" s="24"/>
      <c r="K153" s="94"/>
      <c r="L153" s="24"/>
      <c r="M153" s="94"/>
      <c r="N153" s="24"/>
      <c r="O153" s="94"/>
      <c r="P153" s="313"/>
      <c r="Q153" s="313"/>
      <c r="R153" s="313"/>
      <c r="S153" s="24"/>
      <c r="CD153" s="421"/>
      <c r="CE153" s="421"/>
      <c r="CF153" s="421"/>
      <c r="CG153" s="421"/>
      <c r="CH153" s="421"/>
    </row>
    <row r="154" spans="1:86" s="18" customFormat="1" ht="14.25">
      <c r="A154" s="24"/>
      <c r="B154" s="24"/>
      <c r="C154" s="278"/>
      <c r="E154" s="24"/>
      <c r="F154" s="94"/>
      <c r="G154" s="94"/>
      <c r="H154" s="24"/>
      <c r="I154" s="24"/>
      <c r="J154" s="24"/>
      <c r="K154" s="94"/>
      <c r="L154" s="24"/>
      <c r="M154" s="94"/>
      <c r="N154" s="24"/>
      <c r="O154" s="94"/>
      <c r="P154" s="313"/>
      <c r="Q154" s="313"/>
      <c r="R154" s="313"/>
      <c r="S154" s="24"/>
      <c r="CD154" s="421"/>
      <c r="CE154" s="421"/>
      <c r="CF154" s="421"/>
      <c r="CG154" s="421"/>
      <c r="CH154" s="421"/>
    </row>
    <row r="155" spans="1:86" s="18" customFormat="1" ht="14.25">
      <c r="A155" s="24"/>
      <c r="B155" s="24"/>
      <c r="C155" s="278"/>
      <c r="E155" s="24"/>
      <c r="F155" s="94"/>
      <c r="G155" s="94"/>
      <c r="H155" s="24"/>
      <c r="I155" s="24"/>
      <c r="J155" s="24"/>
      <c r="K155" s="94"/>
      <c r="L155" s="24"/>
      <c r="M155" s="94"/>
      <c r="N155" s="24"/>
      <c r="O155" s="94"/>
      <c r="P155" s="313"/>
      <c r="Q155" s="313"/>
      <c r="R155" s="313"/>
      <c r="S155" s="24"/>
      <c r="CD155" s="421"/>
      <c r="CE155" s="421"/>
      <c r="CF155" s="421"/>
      <c r="CG155" s="421"/>
      <c r="CH155" s="421"/>
    </row>
    <row r="156" spans="1:86" s="18" customFormat="1" ht="14.25">
      <c r="A156" s="24"/>
      <c r="B156" s="24"/>
      <c r="C156" s="278"/>
      <c r="E156" s="24"/>
      <c r="F156" s="94"/>
      <c r="G156" s="94"/>
      <c r="H156" s="24"/>
      <c r="I156" s="24"/>
      <c r="J156" s="24"/>
      <c r="K156" s="94"/>
      <c r="L156" s="24"/>
      <c r="M156" s="94"/>
      <c r="N156" s="24"/>
      <c r="O156" s="94"/>
      <c r="P156" s="313"/>
      <c r="Q156" s="313"/>
      <c r="R156" s="313"/>
      <c r="S156" s="24"/>
      <c r="CD156" s="421"/>
      <c r="CE156" s="421"/>
      <c r="CF156" s="421"/>
      <c r="CG156" s="421"/>
      <c r="CH156" s="421"/>
    </row>
    <row r="157" spans="1:86" s="18" customFormat="1" ht="14.25">
      <c r="A157" s="24"/>
      <c r="B157" s="24"/>
      <c r="C157" s="278"/>
      <c r="E157" s="24"/>
      <c r="F157" s="94"/>
      <c r="G157" s="94"/>
      <c r="H157" s="24"/>
      <c r="I157" s="24"/>
      <c r="J157" s="24"/>
      <c r="K157" s="94"/>
      <c r="L157" s="24"/>
      <c r="M157" s="94"/>
      <c r="N157" s="24"/>
      <c r="O157" s="94"/>
      <c r="P157" s="313"/>
      <c r="Q157" s="313"/>
      <c r="R157" s="313"/>
      <c r="S157" s="24"/>
      <c r="CD157" s="421"/>
      <c r="CE157" s="421"/>
      <c r="CF157" s="421"/>
      <c r="CG157" s="421"/>
      <c r="CH157" s="421"/>
    </row>
    <row r="158" spans="1:86" s="18" customFormat="1" ht="14.25">
      <c r="A158" s="24"/>
      <c r="B158" s="24"/>
      <c r="C158" s="278"/>
      <c r="E158" s="24"/>
      <c r="F158" s="94"/>
      <c r="G158" s="94"/>
      <c r="H158" s="24"/>
      <c r="I158" s="24"/>
      <c r="J158" s="24"/>
      <c r="K158" s="94"/>
      <c r="L158" s="24"/>
      <c r="M158" s="94"/>
      <c r="N158" s="24"/>
      <c r="O158" s="94"/>
      <c r="P158" s="313"/>
      <c r="Q158" s="313"/>
      <c r="R158" s="313"/>
      <c r="S158" s="24"/>
      <c r="CD158" s="421"/>
      <c r="CE158" s="421"/>
      <c r="CF158" s="421"/>
      <c r="CG158" s="421"/>
      <c r="CH158" s="421"/>
    </row>
    <row r="159" spans="1:86" s="18" customFormat="1" ht="14.25">
      <c r="A159" s="24"/>
      <c r="B159" s="24"/>
      <c r="C159" s="278"/>
      <c r="E159" s="24"/>
      <c r="F159" s="94"/>
      <c r="G159" s="94"/>
      <c r="H159" s="24"/>
      <c r="I159" s="24"/>
      <c r="J159" s="24"/>
      <c r="K159" s="94"/>
      <c r="L159" s="24"/>
      <c r="M159" s="94"/>
      <c r="N159" s="24"/>
      <c r="O159" s="94"/>
      <c r="P159" s="313"/>
      <c r="Q159" s="313"/>
      <c r="R159" s="313"/>
      <c r="S159" s="24"/>
      <c r="CD159" s="421"/>
      <c r="CE159" s="421"/>
      <c r="CF159" s="421"/>
      <c r="CG159" s="421"/>
      <c r="CH159" s="421"/>
    </row>
    <row r="160" spans="1:86" s="18" customFormat="1" ht="14.25">
      <c r="A160" s="24"/>
      <c r="B160" s="24"/>
      <c r="C160" s="278"/>
      <c r="E160" s="24"/>
      <c r="F160" s="94"/>
      <c r="G160" s="94"/>
      <c r="H160" s="24"/>
      <c r="I160" s="24"/>
      <c r="J160" s="24"/>
      <c r="K160" s="94"/>
      <c r="L160" s="24"/>
      <c r="M160" s="94"/>
      <c r="N160" s="24"/>
      <c r="O160" s="94"/>
      <c r="P160" s="313"/>
      <c r="Q160" s="313"/>
      <c r="R160" s="313"/>
      <c r="S160" s="24"/>
      <c r="CD160" s="421"/>
      <c r="CE160" s="421"/>
      <c r="CF160" s="421"/>
      <c r="CG160" s="421"/>
      <c r="CH160" s="421"/>
    </row>
    <row r="161" spans="1:86" s="18" customFormat="1" ht="14.25">
      <c r="A161" s="24"/>
      <c r="B161" s="24"/>
      <c r="C161" s="278"/>
      <c r="E161" s="24"/>
      <c r="F161" s="94"/>
      <c r="G161" s="94"/>
      <c r="H161" s="24"/>
      <c r="I161" s="24"/>
      <c r="J161" s="24"/>
      <c r="K161" s="94"/>
      <c r="L161" s="24"/>
      <c r="M161" s="94"/>
      <c r="N161" s="24"/>
      <c r="O161" s="94"/>
      <c r="P161" s="313"/>
      <c r="Q161" s="313"/>
      <c r="R161" s="313"/>
      <c r="S161" s="24"/>
      <c r="CD161" s="421"/>
      <c r="CE161" s="421"/>
      <c r="CF161" s="421"/>
      <c r="CG161" s="421"/>
      <c r="CH161" s="421"/>
    </row>
    <row r="162" spans="1:86" s="18" customFormat="1" ht="14.25">
      <c r="A162" s="24"/>
      <c r="B162" s="24"/>
      <c r="C162" s="278"/>
      <c r="E162" s="24"/>
      <c r="F162" s="94"/>
      <c r="G162" s="94"/>
      <c r="H162" s="24"/>
      <c r="I162" s="24"/>
      <c r="J162" s="24"/>
      <c r="K162" s="94"/>
      <c r="L162" s="24"/>
      <c r="M162" s="94"/>
      <c r="N162" s="24"/>
      <c r="O162" s="94"/>
      <c r="P162" s="313"/>
      <c r="Q162" s="313"/>
      <c r="R162" s="313"/>
      <c r="S162" s="24"/>
      <c r="CD162" s="421"/>
      <c r="CE162" s="421"/>
      <c r="CF162" s="421"/>
      <c r="CG162" s="421"/>
      <c r="CH162" s="421"/>
    </row>
    <row r="163" spans="1:86" s="18" customFormat="1" ht="14.25">
      <c r="A163" s="24"/>
      <c r="B163" s="24"/>
      <c r="C163" s="278"/>
      <c r="E163" s="24"/>
      <c r="F163" s="94"/>
      <c r="G163" s="94"/>
      <c r="H163" s="24"/>
      <c r="I163" s="24"/>
      <c r="J163" s="24"/>
      <c r="K163" s="94"/>
      <c r="L163" s="24"/>
      <c r="M163" s="94"/>
      <c r="N163" s="24"/>
      <c r="O163" s="94"/>
      <c r="P163" s="313"/>
      <c r="Q163" s="313"/>
      <c r="R163" s="313"/>
      <c r="S163" s="24"/>
      <c r="CD163" s="421"/>
      <c r="CE163" s="421"/>
      <c r="CF163" s="421"/>
      <c r="CG163" s="421"/>
      <c r="CH163" s="421"/>
    </row>
    <row r="164" spans="1:86" s="18" customFormat="1" ht="14.25">
      <c r="A164" s="24"/>
      <c r="B164" s="24"/>
      <c r="C164" s="278"/>
      <c r="E164" s="24"/>
      <c r="F164" s="94"/>
      <c r="G164" s="94"/>
      <c r="H164" s="24"/>
      <c r="I164" s="24"/>
      <c r="J164" s="24"/>
      <c r="K164" s="94"/>
      <c r="L164" s="24"/>
      <c r="M164" s="94"/>
      <c r="N164" s="24"/>
      <c r="O164" s="94"/>
      <c r="P164" s="313"/>
      <c r="Q164" s="313"/>
      <c r="R164" s="313"/>
      <c r="S164" s="24"/>
      <c r="CD164" s="421"/>
      <c r="CE164" s="421"/>
      <c r="CF164" s="421"/>
      <c r="CG164" s="421"/>
      <c r="CH164" s="421"/>
    </row>
    <row r="165" spans="1:86" s="18" customFormat="1" ht="14.25">
      <c r="A165" s="24"/>
      <c r="B165" s="24"/>
      <c r="C165" s="278"/>
      <c r="E165" s="24"/>
      <c r="F165" s="94"/>
      <c r="G165" s="94"/>
      <c r="H165" s="24"/>
      <c r="I165" s="24"/>
      <c r="J165" s="24"/>
      <c r="K165" s="94"/>
      <c r="L165" s="24"/>
      <c r="M165" s="94"/>
      <c r="N165" s="24"/>
      <c r="O165" s="94"/>
      <c r="P165" s="313"/>
      <c r="Q165" s="313"/>
      <c r="R165" s="313"/>
      <c r="S165" s="24"/>
      <c r="CD165" s="421"/>
      <c r="CE165" s="421"/>
      <c r="CF165" s="421"/>
      <c r="CG165" s="421"/>
      <c r="CH165" s="421"/>
    </row>
    <row r="166" spans="1:86" s="18" customFormat="1" ht="14.25">
      <c r="A166" s="24"/>
      <c r="B166" s="24"/>
      <c r="C166" s="278"/>
      <c r="E166" s="24"/>
      <c r="F166" s="94"/>
      <c r="G166" s="94"/>
      <c r="H166" s="24"/>
      <c r="I166" s="24"/>
      <c r="J166" s="24"/>
      <c r="K166" s="94"/>
      <c r="L166" s="24"/>
      <c r="M166" s="94"/>
      <c r="N166" s="24"/>
      <c r="O166" s="94"/>
      <c r="P166" s="313"/>
      <c r="Q166" s="313"/>
      <c r="R166" s="313"/>
      <c r="S166" s="24"/>
      <c r="CD166" s="421"/>
      <c r="CE166" s="421"/>
      <c r="CF166" s="421"/>
      <c r="CG166" s="421"/>
      <c r="CH166" s="421"/>
    </row>
    <row r="167" spans="1:86" s="18" customFormat="1" ht="14.25">
      <c r="A167" s="24"/>
      <c r="B167" s="24"/>
      <c r="C167" s="278"/>
      <c r="E167" s="24"/>
      <c r="F167" s="94"/>
      <c r="G167" s="94"/>
      <c r="H167" s="24"/>
      <c r="I167" s="24"/>
      <c r="J167" s="24"/>
      <c r="K167" s="94"/>
      <c r="L167" s="24"/>
      <c r="M167" s="94"/>
      <c r="N167" s="24"/>
      <c r="O167" s="94"/>
      <c r="P167" s="313"/>
      <c r="Q167" s="313"/>
      <c r="R167" s="313"/>
      <c r="S167" s="24"/>
      <c r="CD167" s="421"/>
      <c r="CE167" s="421"/>
      <c r="CF167" s="421"/>
      <c r="CG167" s="421"/>
      <c r="CH167" s="421"/>
    </row>
    <row r="168" spans="1:86" s="18" customFormat="1" ht="14.25">
      <c r="A168" s="24"/>
      <c r="B168" s="24"/>
      <c r="C168" s="278"/>
      <c r="E168" s="24"/>
      <c r="F168" s="94"/>
      <c r="G168" s="94"/>
      <c r="H168" s="24"/>
      <c r="I168" s="24"/>
      <c r="J168" s="24"/>
      <c r="K168" s="94"/>
      <c r="L168" s="24"/>
      <c r="M168" s="94"/>
      <c r="N168" s="24"/>
      <c r="O168" s="94"/>
      <c r="P168" s="313"/>
      <c r="Q168" s="313"/>
      <c r="R168" s="313"/>
      <c r="S168" s="24"/>
      <c r="CD168" s="421"/>
      <c r="CE168" s="421"/>
      <c r="CF168" s="421"/>
      <c r="CG168" s="421"/>
      <c r="CH168" s="421"/>
    </row>
    <row r="169" spans="1:86" s="18" customFormat="1" ht="14.25">
      <c r="A169" s="24"/>
      <c r="B169" s="24"/>
      <c r="C169" s="278"/>
      <c r="E169" s="24"/>
      <c r="F169" s="94"/>
      <c r="G169" s="94"/>
      <c r="H169" s="24"/>
      <c r="I169" s="24"/>
      <c r="J169" s="24"/>
      <c r="K169" s="94"/>
      <c r="L169" s="24"/>
      <c r="M169" s="94"/>
      <c r="N169" s="24"/>
      <c r="O169" s="94"/>
      <c r="P169" s="313"/>
      <c r="Q169" s="313"/>
      <c r="R169" s="313"/>
      <c r="S169" s="24"/>
      <c r="CD169" s="421"/>
      <c r="CE169" s="421"/>
      <c r="CF169" s="421"/>
      <c r="CG169" s="421"/>
      <c r="CH169" s="421"/>
    </row>
    <row r="170" spans="1:86">
      <c r="A170" s="24"/>
      <c r="B170" s="24"/>
      <c r="C170" s="278"/>
      <c r="D170" s="18"/>
      <c r="E170" s="24"/>
      <c r="I170" s="24"/>
      <c r="J170" s="24"/>
      <c r="K170" s="94"/>
      <c r="L170" s="24"/>
      <c r="M170" s="94"/>
      <c r="N170" s="24"/>
      <c r="O170" s="94"/>
      <c r="P170" s="313"/>
      <c r="Q170" s="313"/>
      <c r="R170" s="313"/>
      <c r="S170" s="24"/>
      <c r="T170" s="18"/>
      <c r="U170" s="18"/>
      <c r="V170" s="18"/>
      <c r="W170" s="18"/>
      <c r="Z170" s="18"/>
      <c r="AA170" s="18"/>
      <c r="AB170" s="18"/>
      <c r="AC170" s="18"/>
      <c r="AF170" s="18"/>
      <c r="AG170" s="18"/>
      <c r="AH170" s="18"/>
      <c r="AI170" s="18"/>
      <c r="AL170" s="18"/>
      <c r="AM170" s="18"/>
      <c r="AN170" s="18"/>
      <c r="AO170" s="18"/>
      <c r="AR170" s="18"/>
      <c r="AS170" s="18"/>
      <c r="AT170" s="18"/>
      <c r="AU170" s="18"/>
      <c r="AX170" s="18"/>
      <c r="AY170" s="18"/>
      <c r="AZ170" s="18"/>
      <c r="BA170" s="18"/>
      <c r="BD170" s="18"/>
      <c r="BE170" s="18"/>
      <c r="BF170" s="18"/>
      <c r="BG170" s="18"/>
      <c r="BJ170" s="18"/>
      <c r="BK170" s="18"/>
      <c r="BL170" s="18"/>
      <c r="BM170" s="18"/>
      <c r="BP170" s="18"/>
      <c r="BQ170" s="18"/>
      <c r="BR170" s="18"/>
      <c r="BS170" s="18"/>
      <c r="BV170" s="18"/>
      <c r="BW170" s="18"/>
      <c r="BX170" s="18"/>
      <c r="BY170" s="18"/>
      <c r="CA170" s="18"/>
    </row>
    <row r="171" spans="1:86">
      <c r="P171" s="313"/>
      <c r="Q171" s="313"/>
      <c r="R171" s="313"/>
      <c r="T171" s="18"/>
      <c r="U171" s="18"/>
      <c r="V171" s="18"/>
      <c r="W171" s="18"/>
      <c r="Z171" s="18"/>
      <c r="AA171" s="18"/>
      <c r="AB171" s="18"/>
      <c r="AC171" s="18"/>
      <c r="AF171" s="18"/>
      <c r="AG171" s="18"/>
      <c r="AH171" s="18"/>
      <c r="AI171" s="18"/>
      <c r="AL171" s="18"/>
      <c r="AM171" s="18"/>
      <c r="AN171" s="18"/>
      <c r="AO171" s="18"/>
      <c r="AR171" s="18"/>
      <c r="AS171" s="18"/>
      <c r="AT171" s="18"/>
      <c r="AU171" s="18"/>
      <c r="AX171" s="18"/>
      <c r="AY171" s="18"/>
      <c r="AZ171" s="18"/>
      <c r="BA171" s="18"/>
      <c r="BD171" s="18"/>
      <c r="BE171" s="18"/>
      <c r="BF171" s="18"/>
      <c r="BG171" s="18"/>
      <c r="BJ171" s="18"/>
      <c r="BK171" s="18"/>
      <c r="BL171" s="18"/>
      <c r="BM171" s="18"/>
      <c r="BP171" s="18"/>
      <c r="BQ171" s="18"/>
      <c r="BR171" s="18"/>
      <c r="BS171" s="18"/>
      <c r="BV171" s="18"/>
      <c r="BW171" s="18"/>
      <c r="BX171" s="18"/>
      <c r="BY171" s="18"/>
      <c r="CA171" s="18"/>
    </row>
    <row r="172" spans="1:86">
      <c r="P172" s="313"/>
      <c r="Q172" s="313"/>
      <c r="R172" s="313"/>
      <c r="T172" s="18"/>
      <c r="U172" s="18"/>
      <c r="V172" s="18"/>
      <c r="W172" s="18"/>
      <c r="Z172" s="18"/>
      <c r="AA172" s="18"/>
      <c r="AB172" s="18"/>
      <c r="AC172" s="18"/>
      <c r="AF172" s="18"/>
      <c r="AG172" s="18"/>
      <c r="AH172" s="18"/>
      <c r="AI172" s="18"/>
      <c r="AL172" s="18"/>
      <c r="AM172" s="18"/>
      <c r="AN172" s="18"/>
      <c r="AO172" s="18"/>
      <c r="AR172" s="18"/>
      <c r="AS172" s="18"/>
      <c r="AT172" s="18"/>
      <c r="AU172" s="18"/>
      <c r="AX172" s="18"/>
      <c r="AY172" s="18"/>
      <c r="AZ172" s="18"/>
      <c r="BA172" s="18"/>
      <c r="BD172" s="18"/>
      <c r="BE172" s="18"/>
      <c r="BF172" s="18"/>
      <c r="BG172" s="18"/>
      <c r="BJ172" s="18"/>
      <c r="BK172" s="18"/>
      <c r="BL172" s="18"/>
      <c r="BM172" s="18"/>
      <c r="BP172" s="18"/>
      <c r="BQ172" s="18"/>
      <c r="BR172" s="18"/>
      <c r="BS172" s="18"/>
      <c r="BV172" s="18"/>
      <c r="BW172" s="18"/>
      <c r="BX172" s="18"/>
      <c r="BY172" s="18"/>
      <c r="CA172" s="18"/>
    </row>
    <row r="173" spans="1:86">
      <c r="P173" s="313"/>
      <c r="Q173" s="313"/>
      <c r="R173" s="313"/>
      <c r="T173" s="18"/>
      <c r="U173" s="18"/>
      <c r="V173" s="18"/>
      <c r="W173" s="18"/>
      <c r="Z173" s="18"/>
      <c r="AA173" s="18"/>
      <c r="AB173" s="18"/>
      <c r="AC173" s="18"/>
      <c r="AF173" s="18"/>
      <c r="AG173" s="18"/>
      <c r="AH173" s="18"/>
      <c r="AI173" s="18"/>
      <c r="AL173" s="18"/>
      <c r="AM173" s="18"/>
      <c r="AN173" s="18"/>
      <c r="AO173" s="18"/>
      <c r="AR173" s="18"/>
      <c r="AS173" s="18"/>
      <c r="AT173" s="18"/>
      <c r="AU173" s="18"/>
      <c r="AX173" s="18"/>
      <c r="AY173" s="18"/>
      <c r="AZ173" s="18"/>
      <c r="BA173" s="18"/>
      <c r="BD173" s="18"/>
      <c r="BE173" s="18"/>
      <c r="BF173" s="18"/>
      <c r="BG173" s="18"/>
      <c r="BJ173" s="18"/>
      <c r="BK173" s="18"/>
      <c r="BL173" s="18"/>
      <c r="BM173" s="18"/>
      <c r="BP173" s="18"/>
      <c r="BQ173" s="18"/>
      <c r="BR173" s="18"/>
      <c r="BS173" s="18"/>
      <c r="BV173" s="18"/>
      <c r="BW173" s="18"/>
      <c r="BX173" s="18"/>
      <c r="BY173" s="18"/>
      <c r="CA173" s="18"/>
    </row>
    <row r="174" spans="1:86">
      <c r="P174" s="313"/>
      <c r="Q174" s="313"/>
      <c r="R174" s="313"/>
      <c r="T174" s="18"/>
      <c r="U174" s="18"/>
      <c r="V174" s="18"/>
      <c r="W174" s="18"/>
      <c r="Z174" s="18"/>
      <c r="AA174" s="18"/>
      <c r="AB174" s="18"/>
      <c r="AC174" s="18"/>
      <c r="AF174" s="18"/>
      <c r="AG174" s="18"/>
      <c r="AH174" s="18"/>
      <c r="AI174" s="18"/>
      <c r="AL174" s="18"/>
      <c r="AM174" s="18"/>
      <c r="AN174" s="18"/>
      <c r="AO174" s="18"/>
      <c r="AR174" s="18"/>
      <c r="AS174" s="18"/>
      <c r="AT174" s="18"/>
      <c r="AU174" s="18"/>
      <c r="AX174" s="18"/>
      <c r="AY174" s="18"/>
      <c r="AZ174" s="18"/>
      <c r="BA174" s="18"/>
      <c r="BD174" s="18"/>
      <c r="BE174" s="18"/>
      <c r="BF174" s="18"/>
      <c r="BG174" s="18"/>
      <c r="BJ174" s="18"/>
      <c r="BK174" s="18"/>
      <c r="BL174" s="18"/>
      <c r="BM174" s="18"/>
      <c r="BP174" s="18"/>
      <c r="BQ174" s="18"/>
      <c r="BR174" s="18"/>
      <c r="BS174" s="18"/>
      <c r="BV174" s="18"/>
      <c r="BW174" s="18"/>
      <c r="BX174" s="18"/>
      <c r="BY174" s="18"/>
      <c r="CA174" s="18"/>
    </row>
    <row r="175" spans="1:86">
      <c r="P175" s="313"/>
      <c r="Q175" s="313"/>
      <c r="R175" s="313"/>
      <c r="T175" s="18"/>
      <c r="U175" s="18"/>
      <c r="V175" s="18"/>
      <c r="W175" s="18"/>
      <c r="Z175" s="18"/>
      <c r="AA175" s="18"/>
      <c r="AB175" s="18"/>
      <c r="AC175" s="18"/>
      <c r="AF175" s="18"/>
      <c r="AG175" s="18"/>
      <c r="AH175" s="18"/>
      <c r="AI175" s="18"/>
      <c r="AL175" s="18"/>
      <c r="AM175" s="18"/>
      <c r="AN175" s="18"/>
      <c r="AO175" s="18"/>
      <c r="AR175" s="18"/>
      <c r="AS175" s="18"/>
      <c r="AT175" s="18"/>
      <c r="AU175" s="18"/>
      <c r="AX175" s="18"/>
      <c r="AY175" s="18"/>
      <c r="AZ175" s="18"/>
      <c r="BA175" s="18"/>
      <c r="BD175" s="18"/>
      <c r="BE175" s="18"/>
      <c r="BF175" s="18"/>
      <c r="BG175" s="18"/>
      <c r="BJ175" s="18"/>
      <c r="BK175" s="18"/>
      <c r="BL175" s="18"/>
      <c r="BM175" s="18"/>
      <c r="BP175" s="18"/>
      <c r="BQ175" s="18"/>
      <c r="BR175" s="18"/>
      <c r="BS175" s="18"/>
      <c r="BV175" s="18"/>
      <c r="BW175" s="18"/>
      <c r="BX175" s="18"/>
      <c r="BY175" s="18"/>
      <c r="CA175" s="18"/>
    </row>
    <row r="176" spans="1:86">
      <c r="P176" s="313"/>
      <c r="Q176" s="313"/>
      <c r="R176" s="313"/>
      <c r="T176" s="18"/>
      <c r="U176" s="18"/>
      <c r="V176" s="18"/>
      <c r="W176" s="18"/>
      <c r="Z176" s="18"/>
      <c r="AA176" s="18"/>
      <c r="AB176" s="18"/>
      <c r="AC176" s="18"/>
      <c r="AF176" s="18"/>
      <c r="AG176" s="18"/>
      <c r="AH176" s="18"/>
      <c r="AI176" s="18"/>
      <c r="AL176" s="18"/>
      <c r="AM176" s="18"/>
      <c r="AN176" s="18"/>
      <c r="AO176" s="18"/>
      <c r="AR176" s="18"/>
      <c r="AS176" s="18"/>
      <c r="AT176" s="18"/>
      <c r="AU176" s="18"/>
      <c r="AX176" s="18"/>
      <c r="AY176" s="18"/>
      <c r="AZ176" s="18"/>
      <c r="BA176" s="18"/>
      <c r="BD176" s="18"/>
      <c r="BE176" s="18"/>
      <c r="BF176" s="18"/>
      <c r="BG176" s="18"/>
      <c r="BJ176" s="18"/>
      <c r="BK176" s="18"/>
      <c r="BL176" s="18"/>
      <c r="BM176" s="18"/>
      <c r="BP176" s="18"/>
      <c r="BQ176" s="18"/>
      <c r="BR176" s="18"/>
      <c r="BS176" s="18"/>
      <c r="BV176" s="18"/>
      <c r="BW176" s="18"/>
      <c r="BX176" s="18"/>
      <c r="BY176" s="18"/>
      <c r="CA176" s="18"/>
    </row>
    <row r="177" spans="16:79">
      <c r="P177" s="313"/>
      <c r="Q177" s="313"/>
      <c r="R177" s="313"/>
      <c r="T177" s="18"/>
      <c r="U177" s="18"/>
      <c r="V177" s="18"/>
      <c r="W177" s="18"/>
      <c r="Z177" s="18"/>
      <c r="AA177" s="18"/>
      <c r="AB177" s="18"/>
      <c r="AC177" s="18"/>
      <c r="AF177" s="18"/>
      <c r="AG177" s="18"/>
      <c r="AH177" s="18"/>
      <c r="AI177" s="18"/>
      <c r="AL177" s="18"/>
      <c r="AM177" s="18"/>
      <c r="AN177" s="18"/>
      <c r="AO177" s="18"/>
      <c r="AR177" s="18"/>
      <c r="AS177" s="18"/>
      <c r="AT177" s="18"/>
      <c r="AU177" s="18"/>
      <c r="AX177" s="18"/>
      <c r="AY177" s="18"/>
      <c r="AZ177" s="18"/>
      <c r="BA177" s="18"/>
      <c r="BD177" s="18"/>
      <c r="BE177" s="18"/>
      <c r="BF177" s="18"/>
      <c r="BG177" s="18"/>
      <c r="BJ177" s="18"/>
      <c r="BK177" s="18"/>
      <c r="BL177" s="18"/>
      <c r="BM177" s="18"/>
      <c r="BP177" s="18"/>
      <c r="BQ177" s="18"/>
      <c r="BR177" s="18"/>
      <c r="BS177" s="18"/>
      <c r="BV177" s="18"/>
      <c r="BW177" s="18"/>
      <c r="BX177" s="18"/>
      <c r="BY177" s="18"/>
      <c r="CA177" s="18"/>
    </row>
    <row r="178" spans="16:79">
      <c r="P178" s="313"/>
      <c r="Q178" s="313"/>
      <c r="R178" s="313"/>
      <c r="T178" s="18"/>
      <c r="U178" s="18"/>
      <c r="V178" s="18"/>
      <c r="W178" s="18"/>
      <c r="Z178" s="18"/>
      <c r="AA178" s="18"/>
      <c r="AB178" s="18"/>
      <c r="AC178" s="18"/>
      <c r="AF178" s="18"/>
      <c r="AG178" s="18"/>
      <c r="AH178" s="18"/>
      <c r="AI178" s="18"/>
      <c r="AL178" s="18"/>
      <c r="AM178" s="18"/>
      <c r="AN178" s="18"/>
      <c r="AO178" s="18"/>
      <c r="AR178" s="18"/>
      <c r="AS178" s="18"/>
      <c r="AT178" s="18"/>
      <c r="AU178" s="18"/>
      <c r="AX178" s="18"/>
      <c r="AY178" s="18"/>
      <c r="AZ178" s="18"/>
      <c r="BA178" s="18"/>
      <c r="BD178" s="18"/>
      <c r="BE178" s="18"/>
      <c r="BF178" s="18"/>
      <c r="BG178" s="18"/>
      <c r="BJ178" s="18"/>
      <c r="BK178" s="18"/>
      <c r="BL178" s="18"/>
      <c r="BM178" s="18"/>
      <c r="BP178" s="18"/>
      <c r="BQ178" s="18"/>
      <c r="BR178" s="18"/>
      <c r="BS178" s="18"/>
      <c r="BV178" s="18"/>
      <c r="BW178" s="18"/>
      <c r="BX178" s="18"/>
      <c r="BY178" s="18"/>
      <c r="CA178" s="18"/>
    </row>
    <row r="179" spans="16:79">
      <c r="P179" s="313"/>
      <c r="Q179" s="313"/>
      <c r="R179" s="313"/>
      <c r="T179" s="18"/>
      <c r="U179" s="18"/>
      <c r="V179" s="18"/>
      <c r="W179" s="18"/>
      <c r="Z179" s="18"/>
      <c r="AA179" s="18"/>
      <c r="AB179" s="18"/>
      <c r="AC179" s="18"/>
      <c r="AF179" s="18"/>
      <c r="AG179" s="18"/>
      <c r="AH179" s="18"/>
      <c r="AI179" s="18"/>
      <c r="AL179" s="18"/>
      <c r="AM179" s="18"/>
      <c r="AN179" s="18"/>
      <c r="AO179" s="18"/>
      <c r="AR179" s="18"/>
      <c r="AS179" s="18"/>
      <c r="AT179" s="18"/>
      <c r="AU179" s="18"/>
      <c r="AX179" s="18"/>
      <c r="AY179" s="18"/>
      <c r="AZ179" s="18"/>
      <c r="BA179" s="18"/>
      <c r="BD179" s="18"/>
      <c r="BE179" s="18"/>
      <c r="BF179" s="18"/>
      <c r="BG179" s="18"/>
      <c r="BJ179" s="18"/>
      <c r="BK179" s="18"/>
      <c r="BL179" s="18"/>
      <c r="BM179" s="18"/>
      <c r="BP179" s="18"/>
      <c r="BQ179" s="18"/>
      <c r="BR179" s="18"/>
      <c r="BS179" s="18"/>
      <c r="BV179" s="18"/>
      <c r="BW179" s="18"/>
      <c r="BX179" s="18"/>
      <c r="BY179" s="18"/>
      <c r="CA179" s="18"/>
    </row>
    <row r="180" spans="16:79">
      <c r="P180" s="313"/>
      <c r="Q180" s="313"/>
      <c r="R180" s="313"/>
      <c r="T180" s="18"/>
      <c r="U180" s="18"/>
      <c r="V180" s="18"/>
      <c r="W180" s="18"/>
      <c r="Z180" s="18"/>
      <c r="AA180" s="18"/>
      <c r="AB180" s="18"/>
      <c r="AC180" s="18"/>
      <c r="AF180" s="18"/>
      <c r="AG180" s="18"/>
      <c r="AH180" s="18"/>
      <c r="AI180" s="18"/>
      <c r="AL180" s="18"/>
      <c r="AM180" s="18"/>
      <c r="AN180" s="18"/>
      <c r="AO180" s="18"/>
      <c r="AR180" s="18"/>
      <c r="AS180" s="18"/>
      <c r="AT180" s="18"/>
      <c r="AU180" s="18"/>
      <c r="AX180" s="18"/>
      <c r="AY180" s="18"/>
      <c r="AZ180" s="18"/>
      <c r="BA180" s="18"/>
      <c r="BD180" s="18"/>
      <c r="BE180" s="18"/>
      <c r="BF180" s="18"/>
      <c r="BG180" s="18"/>
      <c r="BJ180" s="18"/>
      <c r="BK180" s="18"/>
      <c r="BL180" s="18"/>
      <c r="BM180" s="18"/>
      <c r="BP180" s="18"/>
      <c r="BQ180" s="18"/>
      <c r="BR180" s="18"/>
      <c r="BS180" s="18"/>
      <c r="BV180" s="18"/>
      <c r="BW180" s="18"/>
      <c r="BX180" s="18"/>
      <c r="BY180" s="18"/>
      <c r="CA180" s="18"/>
    </row>
    <row r="181" spans="16:79">
      <c r="P181" s="313"/>
      <c r="Q181" s="313"/>
      <c r="R181" s="313"/>
      <c r="T181" s="18"/>
      <c r="U181" s="18"/>
      <c r="V181" s="18"/>
      <c r="W181" s="18"/>
      <c r="Z181" s="18"/>
      <c r="AA181" s="18"/>
      <c r="AB181" s="18"/>
      <c r="AC181" s="18"/>
      <c r="AF181" s="18"/>
      <c r="AG181" s="18"/>
      <c r="AH181" s="18"/>
      <c r="AI181" s="18"/>
      <c r="AL181" s="18"/>
      <c r="AM181" s="18"/>
      <c r="AN181" s="18"/>
      <c r="AO181" s="18"/>
      <c r="AR181" s="18"/>
      <c r="AS181" s="18"/>
      <c r="AT181" s="18"/>
      <c r="AU181" s="18"/>
      <c r="AX181" s="18"/>
      <c r="AY181" s="18"/>
      <c r="AZ181" s="18"/>
      <c r="BA181" s="18"/>
      <c r="BD181" s="18"/>
      <c r="BE181" s="18"/>
      <c r="BF181" s="18"/>
      <c r="BG181" s="18"/>
      <c r="BJ181" s="18"/>
      <c r="BK181" s="18"/>
      <c r="BL181" s="18"/>
      <c r="BM181" s="18"/>
      <c r="BP181" s="18"/>
      <c r="BQ181" s="18"/>
      <c r="BR181" s="18"/>
      <c r="BS181" s="18"/>
      <c r="BV181" s="18"/>
      <c r="BW181" s="18"/>
      <c r="BX181" s="18"/>
      <c r="BY181" s="18"/>
      <c r="CA181" s="18"/>
    </row>
    <row r="182" spans="16:79">
      <c r="P182" s="313"/>
      <c r="Q182" s="313"/>
      <c r="R182" s="313"/>
      <c r="T182" s="18"/>
      <c r="U182" s="18"/>
      <c r="V182" s="18"/>
      <c r="W182" s="18"/>
      <c r="Z182" s="18"/>
      <c r="AA182" s="18"/>
      <c r="AB182" s="18"/>
      <c r="AC182" s="18"/>
      <c r="AF182" s="18"/>
      <c r="AG182" s="18"/>
      <c r="AH182" s="18"/>
      <c r="AI182" s="18"/>
      <c r="AL182" s="18"/>
      <c r="AM182" s="18"/>
      <c r="AN182" s="18"/>
      <c r="AO182" s="18"/>
      <c r="AR182" s="18"/>
      <c r="AS182" s="18"/>
      <c r="AT182" s="18"/>
      <c r="AU182" s="18"/>
      <c r="AX182" s="18"/>
      <c r="AY182" s="18"/>
      <c r="AZ182" s="18"/>
      <c r="BA182" s="18"/>
      <c r="BD182" s="18"/>
      <c r="BE182" s="18"/>
      <c r="BF182" s="18"/>
      <c r="BG182" s="18"/>
      <c r="BJ182" s="18"/>
      <c r="BK182" s="18"/>
      <c r="BL182" s="18"/>
      <c r="BM182" s="18"/>
      <c r="BP182" s="18"/>
      <c r="BQ182" s="18"/>
      <c r="BR182" s="18"/>
      <c r="BS182" s="18"/>
      <c r="BV182" s="18"/>
      <c r="BW182" s="18"/>
      <c r="BX182" s="18"/>
      <c r="BY182" s="18"/>
      <c r="CA182" s="18"/>
    </row>
    <row r="183" spans="16:79">
      <c r="P183" s="313"/>
      <c r="Q183" s="313"/>
      <c r="R183" s="313"/>
      <c r="T183" s="18"/>
      <c r="U183" s="18"/>
      <c r="V183" s="18"/>
      <c r="W183" s="18"/>
      <c r="Z183" s="18"/>
      <c r="AA183" s="18"/>
      <c r="AB183" s="18"/>
      <c r="AC183" s="18"/>
      <c r="AF183" s="18"/>
      <c r="AG183" s="18"/>
      <c r="AH183" s="18"/>
      <c r="AI183" s="18"/>
      <c r="AL183" s="18"/>
      <c r="AM183" s="18"/>
      <c r="AN183" s="18"/>
      <c r="AO183" s="18"/>
      <c r="AR183" s="18"/>
      <c r="AS183" s="18"/>
      <c r="AT183" s="18"/>
      <c r="AU183" s="18"/>
      <c r="AX183" s="18"/>
      <c r="AY183" s="18"/>
      <c r="AZ183" s="18"/>
      <c r="BA183" s="18"/>
      <c r="BD183" s="18"/>
      <c r="BE183" s="18"/>
      <c r="BF183" s="18"/>
      <c r="BG183" s="18"/>
      <c r="BJ183" s="18"/>
      <c r="BK183" s="18"/>
      <c r="BL183" s="18"/>
      <c r="BM183" s="18"/>
      <c r="BP183" s="18"/>
      <c r="BQ183" s="18"/>
      <c r="BR183" s="18"/>
      <c r="BS183" s="18"/>
      <c r="BV183" s="18"/>
      <c r="BW183" s="18"/>
      <c r="BX183" s="18"/>
      <c r="BY183" s="18"/>
      <c r="CA183" s="18"/>
    </row>
    <row r="184" spans="16:79">
      <c r="P184" s="313"/>
      <c r="Q184" s="313"/>
      <c r="R184" s="313"/>
      <c r="T184" s="18"/>
      <c r="U184" s="18"/>
      <c r="V184" s="18"/>
      <c r="W184" s="18"/>
      <c r="Z184" s="18"/>
      <c r="AA184" s="18"/>
      <c r="AB184" s="18"/>
      <c r="AC184" s="18"/>
      <c r="AF184" s="18"/>
      <c r="AG184" s="18"/>
      <c r="AH184" s="18"/>
      <c r="AI184" s="18"/>
      <c r="AL184" s="18"/>
      <c r="AM184" s="18"/>
      <c r="AN184" s="18"/>
      <c r="AO184" s="18"/>
      <c r="AR184" s="18"/>
      <c r="AS184" s="18"/>
      <c r="AT184" s="18"/>
      <c r="AU184" s="18"/>
      <c r="AX184" s="18"/>
      <c r="AY184" s="18"/>
      <c r="AZ184" s="18"/>
      <c r="BA184" s="18"/>
      <c r="BD184" s="18"/>
      <c r="BE184" s="18"/>
      <c r="BF184" s="18"/>
      <c r="BG184" s="18"/>
      <c r="BJ184" s="18"/>
      <c r="BK184" s="18"/>
      <c r="BL184" s="18"/>
      <c r="BM184" s="18"/>
      <c r="BP184" s="18"/>
      <c r="BQ184" s="18"/>
      <c r="BR184" s="18"/>
      <c r="BS184" s="18"/>
      <c r="BV184" s="18"/>
      <c r="BW184" s="18"/>
      <c r="BX184" s="18"/>
      <c r="BY184" s="18"/>
      <c r="CA184" s="18"/>
    </row>
    <row r="185" spans="16:79">
      <c r="P185" s="313"/>
      <c r="Q185" s="313"/>
      <c r="R185" s="313"/>
      <c r="T185" s="18"/>
      <c r="U185" s="18"/>
      <c r="V185" s="18"/>
      <c r="W185" s="18"/>
      <c r="Z185" s="18"/>
      <c r="AA185" s="18"/>
      <c r="AB185" s="18"/>
      <c r="AC185" s="18"/>
      <c r="AF185" s="18"/>
      <c r="AG185" s="18"/>
      <c r="AH185" s="18"/>
      <c r="AI185" s="18"/>
      <c r="AL185" s="18"/>
      <c r="AM185" s="18"/>
      <c r="AN185" s="18"/>
      <c r="AO185" s="18"/>
      <c r="AR185" s="18"/>
      <c r="AS185" s="18"/>
      <c r="AT185" s="18"/>
      <c r="AU185" s="18"/>
      <c r="AX185" s="18"/>
      <c r="AY185" s="18"/>
      <c r="AZ185" s="18"/>
      <c r="BA185" s="18"/>
      <c r="BD185" s="18"/>
      <c r="BE185" s="18"/>
      <c r="BF185" s="18"/>
      <c r="BG185" s="18"/>
      <c r="BJ185" s="18"/>
      <c r="BK185" s="18"/>
      <c r="BL185" s="18"/>
      <c r="BM185" s="18"/>
      <c r="BP185" s="18"/>
      <c r="BQ185" s="18"/>
      <c r="BR185" s="18"/>
      <c r="BS185" s="18"/>
      <c r="BV185" s="18"/>
      <c r="BW185" s="18"/>
      <c r="BX185" s="18"/>
      <c r="BY185" s="18"/>
      <c r="CA185" s="18"/>
    </row>
    <row r="186" spans="16:79">
      <c r="P186" s="313"/>
      <c r="Q186" s="313"/>
      <c r="R186" s="313"/>
      <c r="T186" s="18"/>
      <c r="U186" s="18"/>
      <c r="V186" s="18"/>
      <c r="W186" s="18"/>
      <c r="Z186" s="18"/>
      <c r="AA186" s="18"/>
      <c r="AB186" s="18"/>
      <c r="AC186" s="18"/>
      <c r="AF186" s="18"/>
      <c r="AG186" s="18"/>
      <c r="AH186" s="18"/>
      <c r="AI186" s="18"/>
      <c r="AL186" s="18"/>
      <c r="AM186" s="18"/>
      <c r="AN186" s="18"/>
      <c r="AO186" s="18"/>
      <c r="AR186" s="18"/>
      <c r="AS186" s="18"/>
      <c r="AT186" s="18"/>
      <c r="AU186" s="18"/>
      <c r="AX186" s="18"/>
      <c r="AY186" s="18"/>
      <c r="AZ186" s="18"/>
      <c r="BA186" s="18"/>
      <c r="BD186" s="18"/>
      <c r="BE186" s="18"/>
      <c r="BF186" s="18"/>
      <c r="BG186" s="18"/>
      <c r="BJ186" s="18"/>
      <c r="BK186" s="18"/>
      <c r="BL186" s="18"/>
      <c r="BM186" s="18"/>
      <c r="BP186" s="18"/>
      <c r="BQ186" s="18"/>
      <c r="BR186" s="18"/>
      <c r="BS186" s="18"/>
      <c r="BV186" s="18"/>
      <c r="BW186" s="18"/>
      <c r="BX186" s="18"/>
      <c r="BY186" s="18"/>
      <c r="CA186" s="18"/>
    </row>
    <row r="187" spans="16:79">
      <c r="P187" s="313"/>
      <c r="Q187" s="313"/>
      <c r="R187" s="313"/>
      <c r="T187" s="18"/>
      <c r="U187" s="18"/>
      <c r="V187" s="18"/>
      <c r="W187" s="18"/>
      <c r="Z187" s="18"/>
      <c r="AA187" s="18"/>
      <c r="AB187" s="18"/>
      <c r="AC187" s="18"/>
      <c r="AF187" s="18"/>
      <c r="AG187" s="18"/>
      <c r="AH187" s="18"/>
      <c r="AI187" s="18"/>
      <c r="AL187" s="18"/>
      <c r="AM187" s="18"/>
      <c r="AN187" s="18"/>
      <c r="AO187" s="18"/>
      <c r="AR187" s="18"/>
      <c r="AS187" s="18"/>
      <c r="AT187" s="18"/>
      <c r="AU187" s="18"/>
      <c r="AX187" s="18"/>
      <c r="AY187" s="18"/>
      <c r="AZ187" s="18"/>
      <c r="BA187" s="18"/>
      <c r="BD187" s="18"/>
      <c r="BE187" s="18"/>
      <c r="BF187" s="18"/>
      <c r="BG187" s="18"/>
      <c r="BJ187" s="18"/>
      <c r="BK187" s="18"/>
      <c r="BL187" s="18"/>
      <c r="BM187" s="18"/>
      <c r="BP187" s="18"/>
      <c r="BQ187" s="18"/>
      <c r="BR187" s="18"/>
      <c r="BS187" s="18"/>
      <c r="BV187" s="18"/>
      <c r="BW187" s="18"/>
      <c r="BX187" s="18"/>
      <c r="BY187" s="18"/>
      <c r="CA187" s="18"/>
    </row>
    <row r="188" spans="16:79">
      <c r="P188" s="313"/>
      <c r="Q188" s="313"/>
      <c r="R188" s="313"/>
      <c r="T188" s="18"/>
      <c r="U188" s="18"/>
      <c r="V188" s="18"/>
      <c r="W188" s="18"/>
      <c r="Z188" s="18"/>
      <c r="AA188" s="18"/>
      <c r="AB188" s="18"/>
      <c r="AC188" s="18"/>
      <c r="AF188" s="18"/>
      <c r="AG188" s="18"/>
      <c r="AH188" s="18"/>
      <c r="AI188" s="18"/>
      <c r="AL188" s="18"/>
      <c r="AM188" s="18"/>
      <c r="AN188" s="18"/>
      <c r="AO188" s="18"/>
      <c r="AR188" s="18"/>
      <c r="AS188" s="18"/>
      <c r="AT188" s="18"/>
      <c r="AU188" s="18"/>
      <c r="AX188" s="18"/>
      <c r="AY188" s="18"/>
      <c r="AZ188" s="18"/>
      <c r="BA188" s="18"/>
      <c r="BD188" s="18"/>
      <c r="BE188" s="18"/>
      <c r="BF188" s="18"/>
      <c r="BG188" s="18"/>
      <c r="BJ188" s="18"/>
      <c r="BK188" s="18"/>
      <c r="BL188" s="18"/>
      <c r="BM188" s="18"/>
      <c r="BP188" s="18"/>
      <c r="BQ188" s="18"/>
      <c r="BR188" s="18"/>
      <c r="BS188" s="18"/>
      <c r="BV188" s="18"/>
      <c r="BW188" s="18"/>
      <c r="BX188" s="18"/>
      <c r="BY188" s="18"/>
      <c r="CA188" s="18"/>
    </row>
    <row r="189" spans="16:79">
      <c r="P189" s="313"/>
      <c r="Q189" s="313"/>
      <c r="R189" s="313"/>
      <c r="T189" s="18"/>
      <c r="U189" s="18"/>
      <c r="V189" s="18"/>
      <c r="W189" s="18"/>
      <c r="Z189" s="18"/>
      <c r="AA189" s="18"/>
      <c r="AB189" s="18"/>
      <c r="AC189" s="18"/>
      <c r="AF189" s="18"/>
      <c r="AG189" s="18"/>
      <c r="AH189" s="18"/>
      <c r="AI189" s="18"/>
      <c r="AL189" s="18"/>
      <c r="AM189" s="18"/>
      <c r="AN189" s="18"/>
      <c r="AO189" s="18"/>
      <c r="AR189" s="18"/>
      <c r="AS189" s="18"/>
      <c r="AT189" s="18"/>
      <c r="AU189" s="18"/>
      <c r="AX189" s="18"/>
      <c r="AY189" s="18"/>
      <c r="AZ189" s="18"/>
      <c r="BA189" s="18"/>
      <c r="BD189" s="18"/>
      <c r="BE189" s="18"/>
      <c r="BF189" s="18"/>
      <c r="BG189" s="18"/>
      <c r="BJ189" s="18"/>
      <c r="BK189" s="18"/>
      <c r="BL189" s="18"/>
      <c r="BM189" s="18"/>
      <c r="BP189" s="18"/>
      <c r="BQ189" s="18"/>
      <c r="BR189" s="18"/>
      <c r="BS189" s="18"/>
      <c r="BV189" s="18"/>
      <c r="BW189" s="18"/>
      <c r="BX189" s="18"/>
      <c r="BY189" s="18"/>
      <c r="CA189" s="18"/>
    </row>
    <row r="190" spans="16:79">
      <c r="P190" s="313"/>
      <c r="Q190" s="313"/>
      <c r="R190" s="313"/>
      <c r="T190" s="18"/>
      <c r="U190" s="18"/>
      <c r="V190" s="18"/>
      <c r="W190" s="18"/>
      <c r="Z190" s="18"/>
      <c r="AA190" s="18"/>
      <c r="AB190" s="18"/>
      <c r="AC190" s="18"/>
      <c r="AF190" s="18"/>
      <c r="AG190" s="18"/>
      <c r="AH190" s="18"/>
      <c r="AI190" s="18"/>
      <c r="AL190" s="18"/>
      <c r="AM190" s="18"/>
      <c r="AN190" s="18"/>
      <c r="AO190" s="18"/>
      <c r="AR190" s="18"/>
      <c r="AS190" s="18"/>
      <c r="AT190" s="18"/>
      <c r="AU190" s="18"/>
      <c r="AX190" s="18"/>
      <c r="AY190" s="18"/>
      <c r="AZ190" s="18"/>
      <c r="BA190" s="18"/>
      <c r="BD190" s="18"/>
      <c r="BE190" s="18"/>
      <c r="BF190" s="18"/>
      <c r="BG190" s="18"/>
      <c r="BJ190" s="18"/>
      <c r="BK190" s="18"/>
      <c r="BL190" s="18"/>
      <c r="BM190" s="18"/>
      <c r="BP190" s="18"/>
      <c r="BQ190" s="18"/>
      <c r="BR190" s="18"/>
      <c r="BS190" s="18"/>
      <c r="BV190" s="18"/>
      <c r="BW190" s="18"/>
      <c r="BX190" s="18"/>
      <c r="BY190" s="18"/>
      <c r="CA190" s="18"/>
    </row>
    <row r="191" spans="16:79">
      <c r="P191" s="313"/>
      <c r="Q191" s="313"/>
      <c r="R191" s="313"/>
      <c r="T191" s="18"/>
      <c r="U191" s="18"/>
      <c r="V191" s="18"/>
      <c r="W191" s="18"/>
      <c r="Z191" s="18"/>
      <c r="AA191" s="18"/>
      <c r="AB191" s="18"/>
      <c r="AC191" s="18"/>
      <c r="AF191" s="18"/>
      <c r="AG191" s="18"/>
      <c r="AH191" s="18"/>
      <c r="AI191" s="18"/>
      <c r="AL191" s="18"/>
      <c r="AM191" s="18"/>
      <c r="AN191" s="18"/>
      <c r="AO191" s="18"/>
      <c r="AR191" s="18"/>
      <c r="AS191" s="18"/>
      <c r="AT191" s="18"/>
      <c r="AU191" s="18"/>
      <c r="AX191" s="18"/>
      <c r="AY191" s="18"/>
      <c r="AZ191" s="18"/>
      <c r="BA191" s="18"/>
      <c r="BD191" s="18"/>
      <c r="BE191" s="18"/>
      <c r="BF191" s="18"/>
      <c r="BG191" s="18"/>
      <c r="BJ191" s="18"/>
      <c r="BK191" s="18"/>
      <c r="BL191" s="18"/>
      <c r="BM191" s="18"/>
      <c r="BP191" s="18"/>
      <c r="BQ191" s="18"/>
      <c r="BR191" s="18"/>
      <c r="BS191" s="18"/>
      <c r="BV191" s="18"/>
      <c r="BW191" s="18"/>
      <c r="BX191" s="18"/>
      <c r="BY191" s="18"/>
      <c r="CA191" s="18"/>
    </row>
    <row r="192" spans="16:79">
      <c r="P192" s="313"/>
      <c r="Q192" s="313"/>
      <c r="R192" s="313"/>
      <c r="T192" s="18"/>
      <c r="U192" s="18"/>
      <c r="V192" s="18"/>
      <c r="W192" s="18"/>
      <c r="Z192" s="18"/>
      <c r="AA192" s="18"/>
      <c r="AB192" s="18"/>
      <c r="AC192" s="18"/>
      <c r="AF192" s="18"/>
      <c r="AG192" s="18"/>
      <c r="AH192" s="18"/>
      <c r="AI192" s="18"/>
      <c r="AL192" s="18"/>
      <c r="AM192" s="18"/>
      <c r="AN192" s="18"/>
      <c r="AO192" s="18"/>
      <c r="AR192" s="18"/>
      <c r="AS192" s="18"/>
      <c r="AT192" s="18"/>
      <c r="AU192" s="18"/>
      <c r="AX192" s="18"/>
      <c r="AY192" s="18"/>
      <c r="AZ192" s="18"/>
      <c r="BA192" s="18"/>
      <c r="BD192" s="18"/>
      <c r="BE192" s="18"/>
      <c r="BF192" s="18"/>
      <c r="BG192" s="18"/>
      <c r="BJ192" s="18"/>
      <c r="BK192" s="18"/>
      <c r="BL192" s="18"/>
      <c r="BM192" s="18"/>
      <c r="BP192" s="18"/>
      <c r="BQ192" s="18"/>
      <c r="BR192" s="18"/>
      <c r="BS192" s="18"/>
      <c r="BV192" s="18"/>
      <c r="BW192" s="18"/>
      <c r="BX192" s="18"/>
      <c r="BY192" s="18"/>
      <c r="CA192" s="18"/>
    </row>
    <row r="193" spans="16:79">
      <c r="P193" s="313"/>
      <c r="Q193" s="313"/>
      <c r="R193" s="313"/>
      <c r="T193" s="18"/>
      <c r="U193" s="18"/>
      <c r="V193" s="18"/>
      <c r="W193" s="18"/>
      <c r="Z193" s="18"/>
      <c r="AA193" s="18"/>
      <c r="AB193" s="18"/>
      <c r="AC193" s="18"/>
      <c r="AF193" s="18"/>
      <c r="AG193" s="18"/>
      <c r="AH193" s="18"/>
      <c r="AI193" s="18"/>
      <c r="AL193" s="18"/>
      <c r="AM193" s="18"/>
      <c r="AN193" s="18"/>
      <c r="AO193" s="18"/>
      <c r="AR193" s="18"/>
      <c r="AS193" s="18"/>
      <c r="AT193" s="18"/>
      <c r="AU193" s="18"/>
      <c r="AX193" s="18"/>
      <c r="AY193" s="18"/>
      <c r="AZ193" s="18"/>
      <c r="BA193" s="18"/>
      <c r="BD193" s="18"/>
      <c r="BE193" s="18"/>
      <c r="BF193" s="18"/>
      <c r="BG193" s="18"/>
      <c r="BJ193" s="18"/>
      <c r="BK193" s="18"/>
      <c r="BL193" s="18"/>
      <c r="BM193" s="18"/>
      <c r="BP193" s="18"/>
      <c r="BQ193" s="18"/>
      <c r="BR193" s="18"/>
      <c r="BS193" s="18"/>
      <c r="BV193" s="18"/>
      <c r="BW193" s="18"/>
      <c r="BX193" s="18"/>
      <c r="BY193" s="18"/>
      <c r="CA193" s="18"/>
    </row>
    <row r="194" spans="16:79">
      <c r="P194" s="313"/>
      <c r="Q194" s="313"/>
      <c r="R194" s="313"/>
      <c r="T194" s="18"/>
      <c r="U194" s="18"/>
      <c r="V194" s="18"/>
      <c r="W194" s="18"/>
      <c r="Z194" s="18"/>
      <c r="AA194" s="18"/>
      <c r="AB194" s="18"/>
      <c r="AC194" s="18"/>
      <c r="AF194" s="18"/>
      <c r="AG194" s="18"/>
      <c r="AH194" s="18"/>
      <c r="AI194" s="18"/>
      <c r="AL194" s="18"/>
      <c r="AM194" s="18"/>
      <c r="AN194" s="18"/>
      <c r="AO194" s="18"/>
      <c r="AR194" s="18"/>
      <c r="AS194" s="18"/>
      <c r="AT194" s="18"/>
      <c r="AU194" s="18"/>
      <c r="AX194" s="18"/>
      <c r="AY194" s="18"/>
      <c r="AZ194" s="18"/>
      <c r="BA194" s="18"/>
      <c r="BD194" s="18"/>
      <c r="BE194" s="18"/>
      <c r="BF194" s="18"/>
      <c r="BG194" s="18"/>
      <c r="BJ194" s="18"/>
      <c r="BK194" s="18"/>
      <c r="BL194" s="18"/>
      <c r="BM194" s="18"/>
      <c r="BP194" s="18"/>
      <c r="BQ194" s="18"/>
      <c r="BR194" s="18"/>
      <c r="BS194" s="18"/>
      <c r="BV194" s="18"/>
      <c r="BW194" s="18"/>
      <c r="BX194" s="18"/>
      <c r="BY194" s="18"/>
      <c r="CA194" s="18"/>
    </row>
    <row r="195" spans="16:79">
      <c r="P195" s="313"/>
      <c r="Q195" s="313"/>
      <c r="R195" s="313"/>
      <c r="T195" s="18"/>
      <c r="U195" s="18"/>
      <c r="V195" s="18"/>
      <c r="W195" s="18"/>
      <c r="Z195" s="18"/>
      <c r="AA195" s="18"/>
      <c r="AB195" s="18"/>
      <c r="AC195" s="18"/>
      <c r="AF195" s="18"/>
      <c r="AG195" s="18"/>
      <c r="AH195" s="18"/>
      <c r="AI195" s="18"/>
      <c r="AL195" s="18"/>
      <c r="AM195" s="18"/>
      <c r="AN195" s="18"/>
      <c r="AO195" s="18"/>
      <c r="AR195" s="18"/>
      <c r="AS195" s="18"/>
      <c r="AT195" s="18"/>
      <c r="AU195" s="18"/>
      <c r="AX195" s="18"/>
      <c r="AY195" s="18"/>
      <c r="AZ195" s="18"/>
      <c r="BA195" s="18"/>
      <c r="BD195" s="18"/>
      <c r="BE195" s="18"/>
      <c r="BF195" s="18"/>
      <c r="BG195" s="18"/>
      <c r="BJ195" s="18"/>
      <c r="BK195" s="18"/>
      <c r="BL195" s="18"/>
      <c r="BM195" s="18"/>
      <c r="BP195" s="18"/>
      <c r="BQ195" s="18"/>
      <c r="BR195" s="18"/>
      <c r="BS195" s="18"/>
      <c r="BV195" s="18"/>
      <c r="BW195" s="18"/>
      <c r="BX195" s="18"/>
      <c r="BY195" s="18"/>
      <c r="CA195" s="18"/>
    </row>
    <row r="196" spans="16:79">
      <c r="P196" s="313"/>
      <c r="Q196" s="313"/>
      <c r="R196" s="313"/>
      <c r="T196" s="18"/>
      <c r="U196" s="18"/>
      <c r="V196" s="18"/>
      <c r="W196" s="18"/>
      <c r="Z196" s="18"/>
      <c r="AA196" s="18"/>
      <c r="AB196" s="18"/>
      <c r="AC196" s="18"/>
      <c r="AF196" s="18"/>
      <c r="AG196" s="18"/>
      <c r="AH196" s="18"/>
      <c r="AI196" s="18"/>
      <c r="AL196" s="18"/>
      <c r="AM196" s="18"/>
      <c r="AN196" s="18"/>
      <c r="AO196" s="18"/>
      <c r="AR196" s="18"/>
      <c r="AS196" s="18"/>
      <c r="AT196" s="18"/>
      <c r="AU196" s="18"/>
      <c r="AX196" s="18"/>
      <c r="AY196" s="18"/>
      <c r="AZ196" s="18"/>
      <c r="BA196" s="18"/>
      <c r="BD196" s="18"/>
      <c r="BE196" s="18"/>
      <c r="BF196" s="18"/>
      <c r="BG196" s="18"/>
      <c r="BJ196" s="18"/>
      <c r="BK196" s="18"/>
      <c r="BL196" s="18"/>
      <c r="BM196" s="18"/>
      <c r="BP196" s="18"/>
      <c r="BQ196" s="18"/>
      <c r="BR196" s="18"/>
      <c r="BS196" s="18"/>
      <c r="BV196" s="18"/>
      <c r="BW196" s="18"/>
      <c r="BX196" s="18"/>
      <c r="BY196" s="18"/>
      <c r="CA196" s="18"/>
    </row>
    <row r="197" spans="16:79">
      <c r="P197" s="313"/>
      <c r="Q197" s="313"/>
      <c r="R197" s="313"/>
      <c r="T197" s="18"/>
      <c r="U197" s="18"/>
      <c r="V197" s="18"/>
      <c r="W197" s="18"/>
      <c r="Z197" s="18"/>
      <c r="AA197" s="18"/>
      <c r="AB197" s="18"/>
      <c r="AC197" s="18"/>
      <c r="AF197" s="18"/>
      <c r="AG197" s="18"/>
      <c r="AH197" s="18"/>
      <c r="AI197" s="18"/>
      <c r="AL197" s="18"/>
      <c r="AM197" s="18"/>
      <c r="AN197" s="18"/>
      <c r="AO197" s="18"/>
      <c r="AR197" s="18"/>
      <c r="AS197" s="18"/>
      <c r="AT197" s="18"/>
      <c r="AU197" s="18"/>
      <c r="AX197" s="18"/>
      <c r="AY197" s="18"/>
      <c r="AZ197" s="18"/>
      <c r="BA197" s="18"/>
      <c r="BD197" s="18"/>
      <c r="BE197" s="18"/>
      <c r="BF197" s="18"/>
      <c r="BG197" s="18"/>
      <c r="BJ197" s="18"/>
      <c r="BK197" s="18"/>
      <c r="BL197" s="18"/>
      <c r="BM197" s="18"/>
      <c r="BP197" s="18"/>
      <c r="BQ197" s="18"/>
      <c r="BR197" s="18"/>
      <c r="BS197" s="18"/>
      <c r="BV197" s="18"/>
      <c r="BW197" s="18"/>
      <c r="BX197" s="18"/>
      <c r="BY197" s="18"/>
      <c r="CA197" s="18"/>
    </row>
    <row r="198" spans="16:79">
      <c r="P198" s="313"/>
      <c r="Q198" s="313"/>
      <c r="R198" s="313"/>
      <c r="T198" s="18"/>
      <c r="U198" s="18"/>
      <c r="V198" s="18"/>
      <c r="W198" s="18"/>
      <c r="Z198" s="18"/>
      <c r="AA198" s="18"/>
      <c r="AB198" s="18"/>
      <c r="AC198" s="18"/>
      <c r="AF198" s="18"/>
      <c r="AG198" s="18"/>
      <c r="AH198" s="18"/>
      <c r="AI198" s="18"/>
      <c r="AL198" s="18"/>
      <c r="AM198" s="18"/>
      <c r="AN198" s="18"/>
      <c r="AO198" s="18"/>
      <c r="AR198" s="18"/>
      <c r="AS198" s="18"/>
      <c r="AT198" s="18"/>
      <c r="AU198" s="18"/>
      <c r="AX198" s="18"/>
      <c r="AY198" s="18"/>
      <c r="AZ198" s="18"/>
      <c r="BA198" s="18"/>
      <c r="BD198" s="18"/>
      <c r="BE198" s="18"/>
      <c r="BF198" s="18"/>
      <c r="BG198" s="18"/>
      <c r="BJ198" s="18"/>
      <c r="BK198" s="18"/>
      <c r="BL198" s="18"/>
      <c r="BM198" s="18"/>
      <c r="BP198" s="18"/>
      <c r="BQ198" s="18"/>
      <c r="BR198" s="18"/>
      <c r="BS198" s="18"/>
      <c r="BV198" s="18"/>
      <c r="BW198" s="18"/>
      <c r="BX198" s="18"/>
      <c r="BY198" s="18"/>
      <c r="CA198" s="18"/>
    </row>
    <row r="199" spans="16:79">
      <c r="P199" s="313"/>
      <c r="Q199" s="313"/>
      <c r="R199" s="313"/>
      <c r="T199" s="18"/>
      <c r="U199" s="18"/>
      <c r="V199" s="18"/>
      <c r="W199" s="18"/>
      <c r="Z199" s="18"/>
      <c r="AA199" s="18"/>
      <c r="AB199" s="18"/>
      <c r="AC199" s="18"/>
      <c r="AF199" s="18"/>
      <c r="AG199" s="18"/>
      <c r="AH199" s="18"/>
      <c r="AI199" s="18"/>
      <c r="AL199" s="18"/>
      <c r="AM199" s="18"/>
      <c r="AN199" s="18"/>
      <c r="AO199" s="18"/>
      <c r="AR199" s="18"/>
      <c r="AS199" s="18"/>
      <c r="AT199" s="18"/>
      <c r="AU199" s="18"/>
      <c r="AX199" s="18"/>
      <c r="AY199" s="18"/>
      <c r="AZ199" s="18"/>
      <c r="BA199" s="18"/>
      <c r="BD199" s="18"/>
      <c r="BE199" s="18"/>
      <c r="BF199" s="18"/>
      <c r="BG199" s="18"/>
      <c r="BJ199" s="18"/>
      <c r="BK199" s="18"/>
      <c r="BL199" s="18"/>
      <c r="BM199" s="18"/>
      <c r="BP199" s="18"/>
      <c r="BQ199" s="18"/>
      <c r="BR199" s="18"/>
      <c r="BS199" s="18"/>
      <c r="BV199" s="18"/>
      <c r="BW199" s="18"/>
      <c r="BX199" s="18"/>
      <c r="BY199" s="18"/>
      <c r="CA199" s="18"/>
    </row>
    <row r="200" spans="16:79">
      <c r="P200" s="313"/>
      <c r="Q200" s="313"/>
      <c r="R200" s="313"/>
      <c r="T200" s="18"/>
      <c r="U200" s="18"/>
      <c r="V200" s="18"/>
      <c r="W200" s="18"/>
      <c r="Z200" s="18"/>
      <c r="AA200" s="18"/>
      <c r="AB200" s="18"/>
      <c r="AC200" s="18"/>
      <c r="AF200" s="18"/>
      <c r="AG200" s="18"/>
      <c r="AH200" s="18"/>
      <c r="AI200" s="18"/>
      <c r="AL200" s="18"/>
      <c r="AM200" s="18"/>
      <c r="AN200" s="18"/>
      <c r="AO200" s="18"/>
      <c r="AR200" s="18"/>
      <c r="AS200" s="18"/>
      <c r="AT200" s="18"/>
      <c r="AU200" s="18"/>
      <c r="AX200" s="18"/>
      <c r="AY200" s="18"/>
      <c r="AZ200" s="18"/>
      <c r="BA200" s="18"/>
      <c r="BD200" s="18"/>
      <c r="BE200" s="18"/>
      <c r="BF200" s="18"/>
      <c r="BG200" s="18"/>
      <c r="BJ200" s="18"/>
      <c r="BK200" s="18"/>
      <c r="BL200" s="18"/>
      <c r="BM200" s="18"/>
      <c r="BP200" s="18"/>
      <c r="BQ200" s="18"/>
      <c r="BR200" s="18"/>
      <c r="BS200" s="18"/>
      <c r="BV200" s="18"/>
      <c r="BW200" s="18"/>
      <c r="BX200" s="18"/>
      <c r="BY200" s="18"/>
      <c r="CA200" s="18"/>
    </row>
    <row r="201" spans="16:79">
      <c r="P201" s="313"/>
      <c r="Q201" s="313"/>
      <c r="R201" s="313"/>
      <c r="T201" s="18"/>
      <c r="U201" s="18"/>
      <c r="V201" s="18"/>
      <c r="W201" s="18"/>
      <c r="Z201" s="18"/>
      <c r="AA201" s="18"/>
      <c r="AB201" s="18"/>
      <c r="AC201" s="18"/>
      <c r="AF201" s="18"/>
      <c r="AG201" s="18"/>
      <c r="AH201" s="18"/>
      <c r="AI201" s="18"/>
      <c r="AL201" s="18"/>
      <c r="AM201" s="18"/>
      <c r="AN201" s="18"/>
      <c r="AO201" s="18"/>
      <c r="AR201" s="18"/>
      <c r="AS201" s="18"/>
      <c r="AT201" s="18"/>
      <c r="AU201" s="18"/>
      <c r="AX201" s="18"/>
      <c r="AY201" s="18"/>
      <c r="AZ201" s="18"/>
      <c r="BA201" s="18"/>
      <c r="BD201" s="18"/>
      <c r="BE201" s="18"/>
      <c r="BF201" s="18"/>
      <c r="BG201" s="18"/>
      <c r="BJ201" s="18"/>
      <c r="BK201" s="18"/>
      <c r="BL201" s="18"/>
      <c r="BM201" s="18"/>
      <c r="BP201" s="18"/>
      <c r="BQ201" s="18"/>
      <c r="BR201" s="18"/>
      <c r="BS201" s="18"/>
      <c r="BV201" s="18"/>
      <c r="BW201" s="18"/>
      <c r="BX201" s="18"/>
      <c r="BY201" s="18"/>
      <c r="CA201" s="18"/>
    </row>
    <row r="202" spans="16:79">
      <c r="P202" s="313"/>
      <c r="Q202" s="313"/>
      <c r="R202" s="313"/>
      <c r="T202" s="18"/>
      <c r="U202" s="18"/>
      <c r="V202" s="18"/>
      <c r="W202" s="18"/>
      <c r="Z202" s="18"/>
      <c r="AA202" s="18"/>
      <c r="AB202" s="18"/>
      <c r="AC202" s="18"/>
      <c r="AF202" s="18"/>
      <c r="AG202" s="18"/>
      <c r="AH202" s="18"/>
      <c r="AI202" s="18"/>
      <c r="AL202" s="18"/>
      <c r="AM202" s="18"/>
      <c r="AN202" s="18"/>
      <c r="AO202" s="18"/>
      <c r="AR202" s="18"/>
      <c r="AS202" s="18"/>
      <c r="AT202" s="18"/>
      <c r="AU202" s="18"/>
      <c r="AX202" s="18"/>
      <c r="AY202" s="18"/>
      <c r="AZ202" s="18"/>
      <c r="BA202" s="18"/>
      <c r="BD202" s="18"/>
      <c r="BE202" s="18"/>
      <c r="BF202" s="18"/>
      <c r="BG202" s="18"/>
      <c r="BJ202" s="18"/>
      <c r="BK202" s="18"/>
      <c r="BL202" s="18"/>
      <c r="BM202" s="18"/>
      <c r="BP202" s="18"/>
      <c r="BQ202" s="18"/>
      <c r="BR202" s="18"/>
      <c r="BS202" s="18"/>
      <c r="BV202" s="18"/>
      <c r="BW202" s="18"/>
      <c r="BX202" s="18"/>
      <c r="BY202" s="18"/>
      <c r="CA202" s="18"/>
    </row>
    <row r="203" spans="16:79">
      <c r="P203" s="313"/>
      <c r="Q203" s="313"/>
      <c r="R203" s="313"/>
      <c r="T203" s="18"/>
      <c r="U203" s="18"/>
      <c r="V203" s="18"/>
      <c r="W203" s="18"/>
      <c r="Z203" s="18"/>
      <c r="AA203" s="18"/>
      <c r="AB203" s="18"/>
      <c r="AC203" s="18"/>
      <c r="AF203" s="18"/>
      <c r="AG203" s="18"/>
      <c r="AH203" s="18"/>
      <c r="AI203" s="18"/>
      <c r="AL203" s="18"/>
      <c r="AM203" s="18"/>
      <c r="AN203" s="18"/>
      <c r="AO203" s="18"/>
      <c r="AR203" s="18"/>
      <c r="AS203" s="18"/>
      <c r="AT203" s="18"/>
      <c r="AU203" s="18"/>
      <c r="AX203" s="18"/>
      <c r="AY203" s="18"/>
      <c r="AZ203" s="18"/>
      <c r="BA203" s="18"/>
      <c r="BD203" s="18"/>
      <c r="BE203" s="18"/>
      <c r="BF203" s="18"/>
      <c r="BG203" s="18"/>
      <c r="BJ203" s="18"/>
      <c r="BK203" s="18"/>
      <c r="BL203" s="18"/>
      <c r="BM203" s="18"/>
      <c r="BP203" s="18"/>
      <c r="BQ203" s="18"/>
      <c r="BR203" s="18"/>
      <c r="BS203" s="18"/>
      <c r="BV203" s="18"/>
      <c r="BW203" s="18"/>
      <c r="BX203" s="18"/>
      <c r="BY203" s="18"/>
      <c r="CA203" s="18"/>
    </row>
    <row r="204" spans="16:79">
      <c r="P204" s="313"/>
      <c r="Q204" s="313"/>
      <c r="R204" s="313"/>
      <c r="T204" s="18"/>
      <c r="U204" s="18"/>
      <c r="V204" s="18"/>
      <c r="W204" s="18"/>
      <c r="Z204" s="18"/>
      <c r="AA204" s="18"/>
      <c r="AB204" s="18"/>
      <c r="AC204" s="18"/>
      <c r="AF204" s="18"/>
      <c r="AG204" s="18"/>
      <c r="AH204" s="18"/>
      <c r="AI204" s="18"/>
      <c r="AL204" s="18"/>
      <c r="AM204" s="18"/>
      <c r="AN204" s="18"/>
      <c r="AO204" s="18"/>
      <c r="AR204" s="18"/>
      <c r="AS204" s="18"/>
      <c r="AT204" s="18"/>
      <c r="AU204" s="18"/>
      <c r="AX204" s="18"/>
      <c r="AY204" s="18"/>
      <c r="AZ204" s="18"/>
      <c r="BA204" s="18"/>
      <c r="BD204" s="18"/>
      <c r="BE204" s="18"/>
      <c r="BF204" s="18"/>
      <c r="BG204" s="18"/>
      <c r="BJ204" s="18"/>
      <c r="BK204" s="18"/>
      <c r="BL204" s="18"/>
      <c r="BM204" s="18"/>
      <c r="BP204" s="18"/>
      <c r="BQ204" s="18"/>
      <c r="BR204" s="18"/>
      <c r="BS204" s="18"/>
      <c r="BV204" s="18"/>
      <c r="BW204" s="18"/>
      <c r="BX204" s="18"/>
      <c r="BY204" s="18"/>
      <c r="CA204" s="18"/>
    </row>
    <row r="205" spans="16:79">
      <c r="P205" s="313"/>
      <c r="Q205" s="313"/>
      <c r="R205" s="313"/>
      <c r="T205" s="18"/>
      <c r="U205" s="18"/>
      <c r="V205" s="18"/>
      <c r="W205" s="18"/>
      <c r="Z205" s="18"/>
      <c r="AA205" s="18"/>
      <c r="AB205" s="18"/>
      <c r="AC205" s="18"/>
      <c r="AF205" s="18"/>
      <c r="AG205" s="18"/>
      <c r="AH205" s="18"/>
      <c r="AI205" s="18"/>
      <c r="AL205" s="18"/>
      <c r="AM205" s="18"/>
      <c r="AN205" s="18"/>
      <c r="AO205" s="18"/>
      <c r="AR205" s="18"/>
      <c r="AS205" s="18"/>
      <c r="AT205" s="18"/>
      <c r="AU205" s="18"/>
      <c r="AX205" s="18"/>
      <c r="AY205" s="18"/>
      <c r="AZ205" s="18"/>
      <c r="BA205" s="18"/>
      <c r="BD205" s="18"/>
      <c r="BE205" s="18"/>
      <c r="BF205" s="18"/>
      <c r="BG205" s="18"/>
      <c r="BJ205" s="18"/>
      <c r="BK205" s="18"/>
      <c r="BL205" s="18"/>
      <c r="BM205" s="18"/>
      <c r="BP205" s="18"/>
      <c r="BQ205" s="18"/>
      <c r="BR205" s="18"/>
      <c r="BS205" s="18"/>
      <c r="BV205" s="18"/>
      <c r="BW205" s="18"/>
      <c r="BX205" s="18"/>
      <c r="BY205" s="18"/>
      <c r="CA205" s="18"/>
    </row>
  </sheetData>
  <dataConsolidate/>
  <mergeCells count="162">
    <mergeCell ref="N38:N40"/>
    <mergeCell ref="K16:K18"/>
    <mergeCell ref="M16:M18"/>
    <mergeCell ref="K25:K28"/>
    <mergeCell ref="M25:M28"/>
    <mergeCell ref="O38:O40"/>
    <mergeCell ref="T2:X2"/>
    <mergeCell ref="K31:K32"/>
    <mergeCell ref="M31:M32"/>
    <mergeCell ref="K29:K30"/>
    <mergeCell ref="M29:M30"/>
    <mergeCell ref="K34:K35"/>
    <mergeCell ref="M34:M35"/>
    <mergeCell ref="O16:O18"/>
    <mergeCell ref="P16:P18"/>
    <mergeCell ref="Q16:Q18"/>
    <mergeCell ref="Z2:AD2"/>
    <mergeCell ref="AF2:AJ2"/>
    <mergeCell ref="AL2:AP2"/>
    <mergeCell ref="AR2:AV2"/>
    <mergeCell ref="AX2:BB2"/>
    <mergeCell ref="BD2:BH2"/>
    <mergeCell ref="BJ2:BN2"/>
    <mergeCell ref="K38:K40"/>
    <mergeCell ref="A4:A6"/>
    <mergeCell ref="B4:B6"/>
    <mergeCell ref="J2:O2"/>
    <mergeCell ref="A29:A30"/>
    <mergeCell ref="B29:B30"/>
    <mergeCell ref="H29:H30"/>
    <mergeCell ref="I29:I30"/>
    <mergeCell ref="U29:U30"/>
    <mergeCell ref="W29:W30"/>
    <mergeCell ref="AO25:AO28"/>
    <mergeCell ref="AS25:AS28"/>
    <mergeCell ref="AU25:AU28"/>
    <mergeCell ref="H25:H28"/>
    <mergeCell ref="I25:I28"/>
    <mergeCell ref="U25:U28"/>
    <mergeCell ref="W25:W28"/>
    <mergeCell ref="BP2:BT2"/>
    <mergeCell ref="BV2:BZ2"/>
    <mergeCell ref="A19:A21"/>
    <mergeCell ref="B19:B21"/>
    <mergeCell ref="A22:A24"/>
    <mergeCell ref="B22:B24"/>
    <mergeCell ref="A25:A28"/>
    <mergeCell ref="B25:B28"/>
    <mergeCell ref="A7:A10"/>
    <mergeCell ref="B7:B10"/>
    <mergeCell ref="A13:A15"/>
    <mergeCell ref="B13:B15"/>
    <mergeCell ref="A16:A18"/>
    <mergeCell ref="B16:B18"/>
    <mergeCell ref="BY25:BY28"/>
    <mergeCell ref="AY25:AY28"/>
    <mergeCell ref="BA25:BA28"/>
    <mergeCell ref="BE25:BE28"/>
    <mergeCell ref="BG25:BG28"/>
    <mergeCell ref="BK25:BK28"/>
    <mergeCell ref="BM25:BM28"/>
    <mergeCell ref="AG25:AG28"/>
    <mergeCell ref="AI25:AI28"/>
    <mergeCell ref="AM25:AM28"/>
    <mergeCell ref="AA25:AA28"/>
    <mergeCell ref="AA29:AA30"/>
    <mergeCell ref="AC29:AC30"/>
    <mergeCell ref="AG29:AG30"/>
    <mergeCell ref="AI29:AI30"/>
    <mergeCell ref="AM29:AM30"/>
    <mergeCell ref="AO29:AO30"/>
    <mergeCell ref="BQ25:BQ28"/>
    <mergeCell ref="BS25:BS28"/>
    <mergeCell ref="BW25:BW28"/>
    <mergeCell ref="AC25:AC28"/>
    <mergeCell ref="BK29:BK30"/>
    <mergeCell ref="BM29:BM30"/>
    <mergeCell ref="BQ29:BQ30"/>
    <mergeCell ref="BS29:BS30"/>
    <mergeCell ref="BW29:BW30"/>
    <mergeCell ref="BY29:BY30"/>
    <mergeCell ref="AS29:AS30"/>
    <mergeCell ref="AU29:AU30"/>
    <mergeCell ref="AY29:AY30"/>
    <mergeCell ref="BA29:BA30"/>
    <mergeCell ref="BE29:BE30"/>
    <mergeCell ref="BG29:BG30"/>
    <mergeCell ref="BS31:BS32"/>
    <mergeCell ref="BW31:BW32"/>
    <mergeCell ref="BY31:BY32"/>
    <mergeCell ref="AS31:AS32"/>
    <mergeCell ref="AU31:AU32"/>
    <mergeCell ref="AY31:AY32"/>
    <mergeCell ref="BA31:BA32"/>
    <mergeCell ref="BE31:BE32"/>
    <mergeCell ref="BG31:BG32"/>
    <mergeCell ref="BK31:BK32"/>
    <mergeCell ref="BM31:BM32"/>
    <mergeCell ref="BQ31:BQ32"/>
    <mergeCell ref="A31:A32"/>
    <mergeCell ref="B31:B32"/>
    <mergeCell ref="H31:H32"/>
    <mergeCell ref="I31:I32"/>
    <mergeCell ref="U31:U32"/>
    <mergeCell ref="W31:W32"/>
    <mergeCell ref="AU34:AU35"/>
    <mergeCell ref="AY34:AY35"/>
    <mergeCell ref="BA34:BA35"/>
    <mergeCell ref="AA31:AA32"/>
    <mergeCell ref="AC31:AC32"/>
    <mergeCell ref="AG31:AG32"/>
    <mergeCell ref="AI31:AI32"/>
    <mergeCell ref="AM31:AM32"/>
    <mergeCell ref="AO31:AO32"/>
    <mergeCell ref="BY38:BY40"/>
    <mergeCell ref="AY38:AY40"/>
    <mergeCell ref="BA38:BA40"/>
    <mergeCell ref="BE34:BE35"/>
    <mergeCell ref="W34:W35"/>
    <mergeCell ref="AA34:AA35"/>
    <mergeCell ref="AC34:AC35"/>
    <mergeCell ref="AG34:AG35"/>
    <mergeCell ref="AI34:AI35"/>
    <mergeCell ref="AM34:AM35"/>
    <mergeCell ref="AG38:AG40"/>
    <mergeCell ref="AI38:AI40"/>
    <mergeCell ref="AM38:AM40"/>
    <mergeCell ref="AO38:AO40"/>
    <mergeCell ref="AS38:AS40"/>
    <mergeCell ref="AU38:AU40"/>
    <mergeCell ref="BE38:BE40"/>
    <mergeCell ref="BG38:BG40"/>
    <mergeCell ref="BK38:BK40"/>
    <mergeCell ref="BM38:BM40"/>
    <mergeCell ref="BY34:BY35"/>
    <mergeCell ref="BG34:BG35"/>
    <mergeCell ref="BK34:BK35"/>
    <mergeCell ref="BM34:BM35"/>
    <mergeCell ref="BQ34:BQ35"/>
    <mergeCell ref="BS34:BS35"/>
    <mergeCell ref="BW34:BW35"/>
    <mergeCell ref="AO34:AO35"/>
    <mergeCell ref="AS34:AS35"/>
    <mergeCell ref="BQ38:BQ40"/>
    <mergeCell ref="BS38:BS40"/>
    <mergeCell ref="BW38:BW40"/>
    <mergeCell ref="A38:A40"/>
    <mergeCell ref="B38:B40"/>
    <mergeCell ref="H38:H40"/>
    <mergeCell ref="G38:G40"/>
    <mergeCell ref="I38:I40"/>
    <mergeCell ref="U38:U40"/>
    <mergeCell ref="W38:W40"/>
    <mergeCell ref="AA38:AA40"/>
    <mergeCell ref="AC38:AC40"/>
    <mergeCell ref="A34:A35"/>
    <mergeCell ref="B34:B35"/>
    <mergeCell ref="H34:H35"/>
    <mergeCell ref="G34:G35"/>
    <mergeCell ref="I34:I35"/>
    <mergeCell ref="U34:U35"/>
    <mergeCell ref="M38:M40"/>
  </mergeCells>
  <phoneticPr fontId="3" type="noConversion"/>
  <conditionalFormatting sqref="X4:X40 AD4:AD40 BZ4:BZ40 AJ4:AJ40 AP4:AP40 AV4:AV40 BB4:BB40 BH4:BH40 BN4:BN40 BT4:BT40">
    <cfRule type="cellIs" dxfId="191" priority="128" operator="lessThan">
      <formula>-0.3</formula>
    </cfRule>
    <cfRule type="cellIs" dxfId="190" priority="129" operator="greaterThan">
      <formula>0.3</formula>
    </cfRule>
  </conditionalFormatting>
  <conditionalFormatting sqref="U4 AA4 AG4 AM4 AS4 AY4 BE4 BK4 BQ4 BW4 W4 AC4 AI4 AO4 AU4 BA4 BG4 BM4 BS4 BY4">
    <cfRule type="cellIs" dxfId="189" priority="127" operator="notEqual">
      <formula>$I$4</formula>
    </cfRule>
  </conditionalFormatting>
  <conditionalFormatting sqref="U7 AA7 AG7 AM7 AS7 AY7 BE7 BK7 BQ7 BW7 W7 AC7 AI7 AO7 AU7 BA7 BG7 BM7 BS7 BY7">
    <cfRule type="cellIs" dxfId="188" priority="126" operator="notEqual">
      <formula>$I$7</formula>
    </cfRule>
  </conditionalFormatting>
  <conditionalFormatting sqref="U11 AA11 AG11 AM11 AS11 AY11 BE11 BK11 BQ11 BW11 W11 AC11 AI11 AO11 AU11 BA11 BG11 BM11 BS11 BY11">
    <cfRule type="cellIs" dxfId="187" priority="125" operator="notEqual">
      <formula>$I$11</formula>
    </cfRule>
  </conditionalFormatting>
  <conditionalFormatting sqref="U13 AA13 AG13 AM13 AS13 AY13 BE13 BK13 BQ13 BW13 W13 AC13 AI13 AO13 AU13 BA13 BG13 BM13 BS13 BY13">
    <cfRule type="cellIs" dxfId="186" priority="124" operator="notEqual">
      <formula>$I$13</formula>
    </cfRule>
  </conditionalFormatting>
  <conditionalFormatting sqref="U19 AA19 AG19 AM19 AS19 AY19 BE19 BK19 BQ19 BW19 W19 AC19 AI19 AO19 AU19 BA19 BG19 BM19 BS19 BY19">
    <cfRule type="cellIs" dxfId="185" priority="123" operator="notEqual">
      <formula>$I$19</formula>
    </cfRule>
  </conditionalFormatting>
  <conditionalFormatting sqref="U22 AA22 AG22 AM22 AS22 AY22 BE22 BK22 BQ22 BW22 W22 AC22 AI22 AO22 AU22 BA22 BG22 BM22 BS22 BY22">
    <cfRule type="cellIs" dxfId="184" priority="122" operator="notEqual">
      <formula>$I$22</formula>
    </cfRule>
  </conditionalFormatting>
  <conditionalFormatting sqref="U25:U28 AA25:AA28 AG25:AG28 AM25:AM28 AS25:AS28 AY25:AY28 BE25:BE28 BK25:BK28 BQ25:BQ28 BW25:BW28 W25:W28 AC25:AC28 AI25:AI28 AO25:AO28 AU25:AU28 BA25:BA28 BG25:BG28 BM25:BM28 BS25:BS28 BY25:BY28">
    <cfRule type="cellIs" dxfId="183" priority="121" operator="notEqual">
      <formula>$I$25</formula>
    </cfRule>
  </conditionalFormatting>
  <conditionalFormatting sqref="U29:U30 AA29:AA30 AG29:AG30 AM29:AM30 AS29:AS30 AY29:AY30 BE29:BE30 BK29:BK30 BQ29:BQ30 BW29:BW30 W29:W30 AC29:AC30 AI29:AI30 AO29:AO30 AU29:AU30 BA29:BA30 BG29:BG30 BM29:BM30 BS29:BS30 BY29:BY30">
    <cfRule type="cellIs" dxfId="182" priority="120" operator="notEqual">
      <formula>$I$29</formula>
    </cfRule>
  </conditionalFormatting>
  <conditionalFormatting sqref="U31:U32 AA31:AA32 AG31:AG32 AM31:AM32 AS31:AS32 AY31:AY32 BE31:BE32 BK31:BK32 BQ31:BQ32 BW31:BW32 W31:W32 AC31:AC32 AI31:AI32 AO31:AO32 AU31:AU32 BA31:BA32 BG31:BG32 BM31:BM32 BS31:BS32 BY31:BY32">
    <cfRule type="cellIs" dxfId="181" priority="119" operator="notEqual">
      <formula>$I$31</formula>
    </cfRule>
  </conditionalFormatting>
  <conditionalFormatting sqref="U34:U35 AA34:AA35 AG34:AG35 AM34:AM35 AS34:AS35 AY34:AY35 BE34:BE35 BK34:BK35 BQ34:BQ35 BW34:BW35 W34:W35 AC34:AC35 AI34:AI35 AO34:AO35 AU34:AU35 BA34:BA35 BG34:BG35 BM34:BM35 BS34:BS35 BY34:BY35">
    <cfRule type="cellIs" dxfId="180" priority="118" operator="notEqual">
      <formula>$I$34</formula>
    </cfRule>
  </conditionalFormatting>
  <conditionalFormatting sqref="BZ4:BZ40 X4:X40 AD4:AD40 AJ4:AJ40 AP4:AP40 AV4:AV40 BB4:BB40 BH4:BH40 BN4:BN40 BT4:BT40">
    <cfRule type="cellIs" dxfId="179" priority="116" stopIfTrue="1" operator="lessThanOrEqual">
      <formula>-0.3</formula>
    </cfRule>
    <cfRule type="cellIs" dxfId="178" priority="117" stopIfTrue="1" operator="greaterThanOrEqual">
      <formula>0.3</formula>
    </cfRule>
  </conditionalFormatting>
  <conditionalFormatting sqref="O34:R38 O19:R32 O5:R16">
    <cfRule type="expression" dxfId="177" priority="14">
      <formula>$O5&lt;&gt;0</formula>
    </cfRule>
  </conditionalFormatting>
  <conditionalFormatting sqref="O4:R4">
    <cfRule type="expression" dxfId="176" priority="13">
      <formula>$O4&lt;&gt;0</formula>
    </cfRule>
  </conditionalFormatting>
  <conditionalFormatting sqref="O19:R32 O5:R16">
    <cfRule type="expression" dxfId="175" priority="12">
      <formula>$O5&lt;&gt;0</formula>
    </cfRule>
  </conditionalFormatting>
  <conditionalFormatting sqref="P34:R40 P5:R16 P19:R32">
    <cfRule type="expression" dxfId="174" priority="11">
      <formula>$I5&gt;$M5</formula>
    </cfRule>
  </conditionalFormatting>
  <conditionalFormatting sqref="P4:R4 R34:R40 R5:R16 R19:R32">
    <cfRule type="expression" dxfId="173" priority="9">
      <formula>$I4&gt;$M4</formula>
    </cfRule>
  </conditionalFormatting>
  <conditionalFormatting sqref="Q34:Q40 Q5:Q16 Q19:Q32">
    <cfRule type="expression" dxfId="172" priority="8">
      <formula>$I5&gt;$M5</formula>
    </cfRule>
  </conditionalFormatting>
  <conditionalFormatting sqref="R34:R40 R5:R16 R19:R32">
    <cfRule type="expression" dxfId="171" priority="7">
      <formula>$I5&gt;$M5</formula>
    </cfRule>
  </conditionalFormatting>
  <conditionalFormatting sqref="N4:N40">
    <cfRule type="cellIs" dxfId="170" priority="5" operator="lessThan">
      <formula>0</formula>
    </cfRule>
    <cfRule type="cellIs" dxfId="169" priority="6" operator="greaterThan">
      <formula>0</formula>
    </cfRule>
  </conditionalFormatting>
  <conditionalFormatting sqref="O16">
    <cfRule type="expression" dxfId="168" priority="3">
      <formula>$I16&gt;$M16</formula>
    </cfRule>
  </conditionalFormatting>
  <conditionalFormatting sqref="O7">
    <cfRule type="expression" dxfId="167" priority="2">
      <formula>$I7&gt;$M7</formula>
    </cfRule>
  </conditionalFormatting>
  <conditionalFormatting sqref="O4">
    <cfRule type="expression" dxfId="166" priority="1">
      <formula>$I4&gt;$M4</formula>
    </cfRule>
  </conditionalFormatting>
  <dataValidations disablePrompts="1" count="1">
    <dataValidation type="list" allowBlank="1" showInputMessage="1" showErrorMessage="1" sqref="A36:B37 A12:B12">
      <formula1>#REF!</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0"/>
  <sheetViews>
    <sheetView workbookViewId="0">
      <selection activeCell="C22" sqref="C22"/>
    </sheetView>
  </sheetViews>
  <sheetFormatPr defaultRowHeight="13.5"/>
  <cols>
    <col min="1" max="1" width="7.25" bestFit="1" customWidth="1"/>
    <col min="2" max="2" width="27.125" bestFit="1" customWidth="1"/>
    <col min="3" max="3" width="64.875" customWidth="1"/>
  </cols>
  <sheetData>
    <row r="1" spans="1:3" ht="14.25" thickBot="1">
      <c r="A1" s="374" t="s">
        <v>1199</v>
      </c>
      <c r="B1" s="375" t="s">
        <v>1551</v>
      </c>
    </row>
    <row r="2" spans="1:3" ht="14.25" thickBot="1">
      <c r="A2" s="376" t="s">
        <v>1552</v>
      </c>
      <c r="B2" s="377" t="s">
        <v>1553</v>
      </c>
      <c r="C2">
        <v>1</v>
      </c>
    </row>
    <row r="3" spans="1:3" ht="14.25" thickBot="1">
      <c r="A3" s="376" t="s">
        <v>1554</v>
      </c>
      <c r="B3" s="377" t="s">
        <v>1555</v>
      </c>
      <c r="C3">
        <v>13</v>
      </c>
    </row>
    <row r="4" spans="1:3" ht="14.25" thickBot="1">
      <c r="A4" s="464" t="s">
        <v>1556</v>
      </c>
      <c r="B4" s="465" t="s">
        <v>1557</v>
      </c>
      <c r="C4" s="466">
        <v>614</v>
      </c>
    </row>
    <row r="5" spans="1:3" ht="14.25" thickBot="1">
      <c r="A5" s="464" t="s">
        <v>1558</v>
      </c>
      <c r="B5" s="465" t="s">
        <v>1559</v>
      </c>
      <c r="C5" s="466">
        <v>59</v>
      </c>
    </row>
    <row r="6" spans="1:3" ht="14.25" thickBot="1">
      <c r="A6" s="464" t="s">
        <v>1560</v>
      </c>
      <c r="B6" s="465" t="s">
        <v>1561</v>
      </c>
      <c r="C6" s="466">
        <v>0</v>
      </c>
    </row>
    <row r="8" spans="1:3" ht="14.25" thickBot="1"/>
    <row r="9" spans="1:3" ht="14.25" thickBot="1">
      <c r="A9" s="374" t="s">
        <v>1199</v>
      </c>
      <c r="B9" s="375" t="s">
        <v>1562</v>
      </c>
      <c r="C9" s="375" t="s">
        <v>1563</v>
      </c>
    </row>
    <row r="10" spans="1:3" ht="14.25" thickBot="1">
      <c r="A10" s="378" t="s">
        <v>1564</v>
      </c>
      <c r="B10" s="377" t="s">
        <v>1565</v>
      </c>
      <c r="C10" s="377" t="s">
        <v>1566</v>
      </c>
    </row>
    <row r="11" spans="1:3" ht="14.25" thickBot="1">
      <c r="A11" s="378" t="s">
        <v>1567</v>
      </c>
      <c r="B11" s="377" t="s">
        <v>1565</v>
      </c>
      <c r="C11" s="377" t="s">
        <v>1568</v>
      </c>
    </row>
    <row r="12" spans="1:3" ht="14.25" thickBot="1">
      <c r="A12" s="378" t="s">
        <v>1554</v>
      </c>
      <c r="B12" s="377" t="s">
        <v>1565</v>
      </c>
      <c r="C12" s="377" t="s">
        <v>1569</v>
      </c>
    </row>
    <row r="13" spans="1:3" ht="14.25" thickBot="1">
      <c r="A13" s="378" t="s">
        <v>1570</v>
      </c>
      <c r="B13" s="377" t="s">
        <v>1565</v>
      </c>
      <c r="C13" s="377" t="s">
        <v>1571</v>
      </c>
    </row>
    <row r="14" spans="1:3" ht="14.25" thickBot="1">
      <c r="A14" s="378" t="s">
        <v>1560</v>
      </c>
      <c r="B14" s="377" t="s">
        <v>1565</v>
      </c>
      <c r="C14" s="377" t="s">
        <v>1572</v>
      </c>
    </row>
    <row r="15" spans="1:3" ht="14.25" thickBot="1">
      <c r="A15" s="378" t="s">
        <v>1573</v>
      </c>
      <c r="B15" s="377" t="s">
        <v>1574</v>
      </c>
      <c r="C15" s="377" t="s">
        <v>1575</v>
      </c>
    </row>
    <row r="16" spans="1:3" ht="14.25">
      <c r="A16" s="379"/>
    </row>
    <row r="17" spans="1:3">
      <c r="A17" s="1916" t="s">
        <v>1576</v>
      </c>
      <c r="B17" s="1916"/>
      <c r="C17" s="1916"/>
    </row>
    <row r="18" spans="1:3" ht="34.15" customHeight="1">
      <c r="A18" s="1917" t="s">
        <v>1577</v>
      </c>
      <c r="B18" s="1917"/>
      <c r="C18" s="1917"/>
    </row>
    <row r="19" spans="1:3" ht="61.9" customHeight="1">
      <c r="A19" s="1917" t="s">
        <v>1578</v>
      </c>
      <c r="B19" s="1917"/>
      <c r="C19" s="1917"/>
    </row>
    <row r="20" spans="1:3" ht="15.75">
      <c r="A20" s="380"/>
    </row>
  </sheetData>
  <mergeCells count="3">
    <mergeCell ref="A17:C17"/>
    <mergeCell ref="A18:C18"/>
    <mergeCell ref="A19:C19"/>
  </mergeCells>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I13"/>
  <sheetViews>
    <sheetView workbookViewId="0">
      <selection activeCell="G34" sqref="G34"/>
    </sheetView>
  </sheetViews>
  <sheetFormatPr defaultRowHeight="13.5" outlineLevelCol="1"/>
  <cols>
    <col min="1" max="1" width="13.875" bestFit="1" customWidth="1"/>
    <col min="2" max="3" width="9.5" customWidth="1" outlineLevel="1"/>
    <col min="4" max="4" width="8.5" customWidth="1" outlineLevel="1"/>
    <col min="5" max="5" width="9.625" customWidth="1" outlineLevel="1"/>
    <col min="6" max="6" width="10.5" bestFit="1" customWidth="1"/>
    <col min="7" max="7" width="9.5" bestFit="1" customWidth="1"/>
  </cols>
  <sheetData>
    <row r="1" spans="1:9">
      <c r="A1" s="400"/>
      <c r="B1" s="1919" t="s">
        <v>1597</v>
      </c>
      <c r="C1" s="1919"/>
      <c r="D1" s="1918" t="s">
        <v>1598</v>
      </c>
      <c r="E1" s="1918"/>
      <c r="F1" s="417" t="s">
        <v>1663</v>
      </c>
      <c r="G1" s="417" t="s">
        <v>1611</v>
      </c>
    </row>
    <row r="2" spans="1:9">
      <c r="A2" s="400"/>
      <c r="B2" s="404" t="s">
        <v>577</v>
      </c>
      <c r="C2" s="401" t="s">
        <v>1599</v>
      </c>
      <c r="D2" s="402" t="s">
        <v>577</v>
      </c>
      <c r="E2" s="403" t="s">
        <v>1599</v>
      </c>
      <c r="F2" s="405" t="s">
        <v>1600</v>
      </c>
      <c r="G2" s="405" t="s">
        <v>1600</v>
      </c>
    </row>
    <row r="3" spans="1:9">
      <c r="A3" s="400" t="s">
        <v>1170</v>
      </c>
      <c r="B3" s="407">
        <f>'OR10-资金运用'!X69</f>
        <v>69.5</v>
      </c>
      <c r="C3" s="407">
        <f>'OR10-资金运用'!X70</f>
        <v>69.5</v>
      </c>
      <c r="D3" s="415"/>
      <c r="E3" s="415"/>
      <c r="F3" s="406">
        <f t="shared" ref="F3:F13" si="0">SUM(B3,D3)/SUM(C3,E3)*100</f>
        <v>100</v>
      </c>
      <c r="G3" s="406">
        <v>100</v>
      </c>
    </row>
    <row r="4" spans="1:9">
      <c r="A4" s="400" t="s">
        <v>1603</v>
      </c>
      <c r="B4" s="407">
        <f>'OR15-准备金再保险'!Z26</f>
        <v>70.382352941176464</v>
      </c>
      <c r="C4" s="407">
        <f>'OR15-准备金再保险'!Z27</f>
        <v>73.5</v>
      </c>
      <c r="D4" s="415"/>
      <c r="E4" s="415"/>
      <c r="F4" s="406">
        <f t="shared" si="0"/>
        <v>95.758303321328526</v>
      </c>
      <c r="G4" s="406">
        <f>'OR15-准备金再保险'!AC29</f>
        <v>96.41311069882498</v>
      </c>
    </row>
    <row r="5" spans="1:9">
      <c r="A5" s="400" t="s">
        <v>1606</v>
      </c>
      <c r="B5" s="407">
        <f>'OR10-资金运用'!Z69+'OR02-销售承保'!AZ46*0.3+信息系统!K140+'OR12-财务管理'!AG43*0.6</f>
        <v>99.079999999999927</v>
      </c>
      <c r="C5" s="407">
        <f>'OR10-资金运用'!Z70+'OR02-销售承保'!AZ47*0.3+信息系统!K141+'OR12-财务管理'!AG45*0.6</f>
        <v>110.44999999999996</v>
      </c>
      <c r="D5" s="415" t="e">
        <f>'OR04-分公司销售、承保、保全'!DK87*0.7+'OR08-分公司理赔'!CF52*0.7+'OR13-分公司财务管理'!#REF!*0.4</f>
        <v>#REF!</v>
      </c>
      <c r="E5" s="415" t="e">
        <f>'OR04-分公司销售、承保、保全'!DK88*0.7+'OR08-分公司理赔'!CF53*0.7+'OR13-分公司财务管理'!#REF!*0.4</f>
        <v>#REF!</v>
      </c>
      <c r="F5" s="406" t="e">
        <f t="shared" si="0"/>
        <v>#REF!</v>
      </c>
      <c r="G5" s="406">
        <v>90.464396284829661</v>
      </c>
      <c r="I5" s="137"/>
    </row>
    <row r="6" spans="1:9">
      <c r="A6" s="400" t="s">
        <v>1617</v>
      </c>
      <c r="B6" s="407">
        <f>'OR12-财务管理'!AA43*0.6+'OR10-资金运用'!AB69</f>
        <v>28.8</v>
      </c>
      <c r="C6" s="407">
        <f>'OR12-财务管理'!AA45*0.6+'OR10-资金运用'!AB70</f>
        <v>37.799999999999997</v>
      </c>
      <c r="D6" s="415">
        <f>'OR13-分公司财务管理'!CY58*0.4</f>
        <v>20.260000000000002</v>
      </c>
      <c r="E6" s="415">
        <f>'OR13-分公司财务管理'!CY59*0.4</f>
        <v>20.6</v>
      </c>
      <c r="F6" s="406">
        <f t="shared" si="0"/>
        <v>84.006849315068493</v>
      </c>
      <c r="G6" s="406">
        <v>91.01045296167247</v>
      </c>
      <c r="H6" s="416"/>
      <c r="I6" s="137"/>
    </row>
    <row r="7" spans="1:9">
      <c r="A7" s="400" t="s">
        <v>1618</v>
      </c>
      <c r="B7" s="407">
        <f>'OR12-财务管理'!AC43*0.6</f>
        <v>33.9</v>
      </c>
      <c r="C7" s="407">
        <f>'OR12-财务管理'!AC45*0.6</f>
        <v>41.699999999999996</v>
      </c>
      <c r="D7" s="415">
        <f>'OR13-分公司财务管理'!DA58*0.4</f>
        <v>25.960000000000004</v>
      </c>
      <c r="E7" s="415">
        <f>'OR13-分公司财务管理'!DA59*0.4</f>
        <v>26.400000000000002</v>
      </c>
      <c r="F7" s="406">
        <f t="shared" si="0"/>
        <v>87.900146842878129</v>
      </c>
      <c r="G7" s="406">
        <v>94.684287812041106</v>
      </c>
      <c r="H7" s="416"/>
      <c r="I7" s="137"/>
    </row>
    <row r="8" spans="1:9">
      <c r="A8" s="400" t="s">
        <v>1627</v>
      </c>
      <c r="B8" s="407" t="e">
        <f>'OR02-销售承保'!AN46*0.3+'OR06-理赔保全'!#REF!*0.3</f>
        <v>#REF!</v>
      </c>
      <c r="C8" s="407" t="e">
        <f>'OR02-销售承保'!AN47*0.3+'OR06-理赔保全'!#REF!*0.3</f>
        <v>#REF!</v>
      </c>
      <c r="D8" s="415">
        <f>'OR04-分公司销售、承保、保全'!CY87*0.7+'OR08-分公司理赔'!CD52*0.7</f>
        <v>90.299999999999983</v>
      </c>
      <c r="E8" s="415">
        <f>'OR04-分公司销售、承保、保全'!CY88*0.7+'OR08-分公司理赔'!CD53*0.7</f>
        <v>92.399999999999991</v>
      </c>
      <c r="F8" s="406" t="e">
        <f t="shared" si="0"/>
        <v>#REF!</v>
      </c>
      <c r="G8" s="406">
        <v>95.43035010751835</v>
      </c>
      <c r="I8" s="137"/>
    </row>
    <row r="9" spans="1:9">
      <c r="A9" s="400" t="s">
        <v>1628</v>
      </c>
      <c r="B9" s="407">
        <f>'OR02-销售承保'!AP46*0.3</f>
        <v>20.364548211225287</v>
      </c>
      <c r="C9" s="407">
        <f>'OR02-销售承保'!AP47*0.3</f>
        <v>22.8</v>
      </c>
      <c r="D9" s="415">
        <f>'OR04-分公司销售、承保、保全'!DA87*0.7+'OR13-分公司财务管理'!DE58*0.4</f>
        <v>45.535254979797685</v>
      </c>
      <c r="E9" s="415">
        <f>'OR04-分公司销售、承保、保全'!DA88*0.7+'OR13-分公司财务管理'!DE59*0.4</f>
        <v>55.699999999999996</v>
      </c>
      <c r="F9" s="406">
        <f t="shared" si="0"/>
        <v>83.94879387391461</v>
      </c>
      <c r="G9" s="406">
        <v>86.250155968065926</v>
      </c>
      <c r="I9" s="137"/>
    </row>
    <row r="10" spans="1:9">
      <c r="A10" s="400" t="s">
        <v>1629</v>
      </c>
      <c r="B10" s="407">
        <f>'OR02-销售承保'!AR46*0.3</f>
        <v>16.546571704490585</v>
      </c>
      <c r="C10" s="407">
        <f>'OR02-销售承保'!AR47*0.3</f>
        <v>18</v>
      </c>
      <c r="D10" s="415">
        <f>'OR04-分公司销售、承保、保全'!DC87*0.7+'OR13-分公司财务管理'!DG58*0.4</f>
        <v>49.075000000000003</v>
      </c>
      <c r="E10" s="415">
        <f>'OR04-分公司销售、承保、保全'!DC88*0.7+'OR13-分公司财务管理'!DG59*0.4</f>
        <v>50.8</v>
      </c>
      <c r="F10" s="406">
        <f t="shared" si="0"/>
        <v>95.380191430945629</v>
      </c>
      <c r="G10" s="406">
        <v>97.499170658563486</v>
      </c>
      <c r="I10" s="137"/>
    </row>
    <row r="11" spans="1:9">
      <c r="A11" s="400" t="s">
        <v>1630</v>
      </c>
      <c r="B11" s="407">
        <f>'OR02-销售承保'!AT46*0.3+'OR12-财务管理'!AE43*0.6</f>
        <v>23.983842350879605</v>
      </c>
      <c r="C11" s="407">
        <f>'OR02-销售承保'!AT47*0.3+'OR12-财务管理'!AE45*0.6</f>
        <v>30</v>
      </c>
      <c r="D11" s="415">
        <f>'OR04-分公司销售、承保、保全'!DE87*0.7+'OR13-分公司财务管理'!DI58*0.4</f>
        <v>51.172499999999992</v>
      </c>
      <c r="E11" s="415">
        <f>'OR04-分公司销售、承保、保全'!DE88*0.7+'OR13-分公司财务管理'!DI59*0.4</f>
        <v>56.6</v>
      </c>
      <c r="F11" s="406">
        <f t="shared" si="0"/>
        <v>86.785614723879448</v>
      </c>
      <c r="G11" s="406">
        <v>82.561444413977981</v>
      </c>
      <c r="I11" s="137"/>
    </row>
    <row r="12" spans="1:9">
      <c r="A12" s="400" t="s">
        <v>1631</v>
      </c>
      <c r="B12" s="407">
        <f>'OR02-销售承保'!AV46*0.3</f>
        <v>18.3318945716338</v>
      </c>
      <c r="C12" s="407">
        <f>'OR02-销售承保'!AV47*0.3</f>
        <v>22.8</v>
      </c>
      <c r="D12" s="415">
        <f>'OR04-分公司销售、承保、保全'!DG87*0.7+'OR13-分公司财务管理'!DK58*0.4</f>
        <v>50.05</v>
      </c>
      <c r="E12" s="415">
        <f>'OR04-分公司销售、承保、保全'!DG88*0.7+'OR13-分公司财务管理'!DK59*0.4</f>
        <v>51.5</v>
      </c>
      <c r="F12" s="406">
        <f t="shared" si="0"/>
        <v>92.03485137501184</v>
      </c>
      <c r="G12" s="406">
        <v>95.714618716001496</v>
      </c>
      <c r="I12" s="137"/>
    </row>
    <row r="13" spans="1:9">
      <c r="A13" s="400" t="s">
        <v>1632</v>
      </c>
      <c r="B13" s="407">
        <f>'OR02-销售承保'!AX46*0.3</f>
        <v>19.150763897050179</v>
      </c>
      <c r="C13" s="407">
        <f>'OR02-销售承保'!AX47*0.3</f>
        <v>19.8</v>
      </c>
      <c r="D13" s="415">
        <f>'OR04-分公司销售、承保、保全'!DI87*0.7+'OR13-分公司财务管理'!DM58*0.4</f>
        <v>49.050000000000004</v>
      </c>
      <c r="E13" s="415">
        <f>'OR04-分公司销售、承保、保全'!DI88*0.7+'OR13-分公司财务管理'!DM59*0.4</f>
        <v>50.1</v>
      </c>
      <c r="F13" s="406">
        <f t="shared" si="0"/>
        <v>97.569047063018843</v>
      </c>
      <c r="G13" s="406">
        <v>98.835828523506478</v>
      </c>
      <c r="I13" s="137"/>
    </row>
  </sheetData>
  <mergeCells count="2">
    <mergeCell ref="D1:E1"/>
    <mergeCell ref="B1:C1"/>
  </mergeCells>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DO205"/>
  <sheetViews>
    <sheetView zoomScale="130" zoomScaleNormal="130" workbookViewId="0">
      <pane xSplit="18" ySplit="3" topLeftCell="S28" activePane="bottomRight" state="frozenSplit"/>
      <selection activeCell="C1" sqref="C1"/>
      <selection pane="topRight" activeCell="V1" sqref="V1"/>
      <selection pane="bottomLeft" activeCell="C10" sqref="C10"/>
      <selection pane="bottomRight" activeCell="D31" sqref="D31"/>
    </sheetView>
  </sheetViews>
  <sheetFormatPr defaultColWidth="8.875" defaultRowHeight="16.5" outlineLevelCol="3"/>
  <cols>
    <col min="1" max="1" width="22.125" style="26" hidden="1" customWidth="1" outlineLevel="3"/>
    <col min="2" max="2" width="29.625" style="26" hidden="1" customWidth="1" outlineLevel="2" collapsed="1"/>
    <col min="3" max="3" width="5.625" style="7" customWidth="1" collapsed="1"/>
    <col min="4" max="4" width="40.5" style="77" customWidth="1"/>
    <col min="5" max="5" width="17.5" style="26" hidden="1" customWidth="1" outlineLevel="2"/>
    <col min="6" max="6" width="5.5" style="26" hidden="1" customWidth="1" outlineLevel="3"/>
    <col min="7" max="7" width="10.5" style="83" hidden="1" customWidth="1" outlineLevel="3"/>
    <col min="8" max="8" width="10.5" style="26" hidden="1" customWidth="1" outlineLevel="2"/>
    <col min="9" max="9" width="8.625" style="26" customWidth="1" collapsed="1"/>
    <col min="10" max="10" width="12.125" style="83" hidden="1" customWidth="1" outlineLevel="1"/>
    <col min="11" max="11" width="8.125" style="26" hidden="1" customWidth="1" outlineLevel="1"/>
    <col min="12" max="12" width="12.25" style="26" hidden="1" customWidth="1" outlineLevel="1"/>
    <col min="13" max="13" width="9.625" style="26" hidden="1" customWidth="1" outlineLevel="1"/>
    <col min="14" max="14" width="6.75" style="26" hidden="1" customWidth="1" outlineLevel="1"/>
    <col min="15" max="15" width="7" style="26" hidden="1" customWidth="1" outlineLevel="1"/>
    <col min="16" max="16" width="6.375" style="312" hidden="1" customWidth="1" outlineLevel="1"/>
    <col min="17" max="17" width="8" style="312" hidden="1" customWidth="1" outlineLevel="1"/>
    <col min="18" max="18" width="8.125" style="312" customWidth="1" collapsed="1"/>
    <col min="19" max="19" width="4.25" style="26" customWidth="1"/>
    <col min="20" max="20" width="13" style="77" customWidth="1" outlineLevel="2"/>
    <col min="21" max="21" width="9" style="77" hidden="1" customWidth="1" outlineLevel="2"/>
    <col min="22" max="22" width="10.75" style="77" customWidth="1" outlineLevel="2"/>
    <col min="23" max="23" width="10.25" style="77" customWidth="1"/>
    <col min="24" max="24" width="9" style="77" hidden="1" customWidth="1"/>
    <col min="25" max="25" width="14.25" style="77" customWidth="1"/>
    <col min="26" max="26" width="7.5" style="77" customWidth="1"/>
    <col min="27" max="27" width="4" style="77" customWidth="1"/>
    <col min="28" max="28" width="11.5" style="53" customWidth="1" outlineLevel="1"/>
    <col min="29" max="29" width="9" style="53" hidden="1" customWidth="1" outlineLevel="1"/>
    <col min="30" max="30" width="11.75" style="53" customWidth="1" outlineLevel="1"/>
    <col min="31" max="31" width="11.75" style="53" customWidth="1"/>
    <col min="32" max="32" width="9" style="53" hidden="1" customWidth="1"/>
    <col min="33" max="33" width="9" style="53" customWidth="1"/>
    <col min="34" max="34" width="7.5" style="53" customWidth="1"/>
    <col min="35" max="35" width="4.375" style="53" customWidth="1"/>
    <col min="36" max="36" width="11.5" style="77" customWidth="1" outlineLevel="1"/>
    <col min="37" max="37" width="9" style="77" hidden="1" customWidth="1" outlineLevel="1"/>
    <col min="38" max="38" width="11.75" style="77" customWidth="1" outlineLevel="1"/>
    <col min="39" max="39" width="11.5" style="77" customWidth="1"/>
    <col min="40" max="40" width="8.125" style="77" hidden="1" customWidth="1"/>
    <col min="41" max="41" width="8.125" style="77" customWidth="1"/>
    <col min="42" max="42" width="7.5" style="77" customWidth="1"/>
    <col min="43" max="43" width="3.875" style="77" customWidth="1"/>
    <col min="44" max="44" width="11.5" style="53" customWidth="1" outlineLevel="1"/>
    <col min="45" max="45" width="9" style="53" hidden="1" customWidth="1" outlineLevel="1"/>
    <col min="46" max="46" width="9" style="53" customWidth="1" outlineLevel="1"/>
    <col min="47" max="47" width="11.5" style="53" customWidth="1"/>
    <col min="48" max="48" width="9" style="53" hidden="1" customWidth="1"/>
    <col min="49" max="49" width="9" style="53" customWidth="1"/>
    <col min="50" max="50" width="9.25" style="53" customWidth="1"/>
    <col min="51" max="51" width="3.75" style="53" customWidth="1"/>
    <col min="52" max="52" width="11.5" style="77" customWidth="1" outlineLevel="1"/>
    <col min="53" max="53" width="9" style="77" hidden="1" customWidth="1" outlineLevel="1"/>
    <col min="54" max="54" width="9" style="77" customWidth="1" outlineLevel="1"/>
    <col min="55" max="55" width="11.5" style="77" customWidth="1"/>
    <col min="56" max="56" width="9" style="77" hidden="1" customWidth="1"/>
    <col min="57" max="57" width="9" style="77" customWidth="1"/>
    <col min="58" max="58" width="9.25" style="77" customWidth="1"/>
    <col min="59" max="59" width="3.5" style="77" customWidth="1"/>
    <col min="60" max="60" width="11.5" style="53" customWidth="1" outlineLevel="1"/>
    <col min="61" max="61" width="9" style="53" hidden="1" customWidth="1" outlineLevel="1"/>
    <col min="62" max="62" width="9" style="53" customWidth="1" outlineLevel="1"/>
    <col min="63" max="63" width="11.5" style="53" customWidth="1"/>
    <col min="64" max="64" width="9" style="53" hidden="1" customWidth="1"/>
    <col min="65" max="65" width="9" style="53" customWidth="1"/>
    <col min="66" max="66" width="9.25" style="53" customWidth="1"/>
    <col min="67" max="67" width="3.375" style="53" customWidth="1"/>
    <col min="68" max="68" width="11.5" style="77" customWidth="1" outlineLevel="1"/>
    <col min="69" max="69" width="9" style="77" hidden="1" customWidth="1" outlineLevel="1"/>
    <col min="70" max="70" width="9" style="77" customWidth="1" outlineLevel="1"/>
    <col min="71" max="71" width="11.5" style="77" customWidth="1"/>
    <col min="72" max="72" width="9" style="77" hidden="1" customWidth="1"/>
    <col min="73" max="73" width="9" style="77" customWidth="1"/>
    <col min="74" max="74" width="9.25" style="77" customWidth="1"/>
    <col min="75" max="75" width="3.875" style="77" customWidth="1"/>
    <col min="76" max="76" width="11.5" style="53" customWidth="1" outlineLevel="1"/>
    <col min="77" max="77" width="9" style="53" hidden="1" customWidth="1" outlineLevel="1"/>
    <col min="78" max="78" width="9" style="53" customWidth="1" outlineLevel="1"/>
    <col min="79" max="79" width="11.5" style="53" customWidth="1"/>
    <col min="80" max="80" width="9" style="53" hidden="1" customWidth="1"/>
    <col min="81" max="81" width="9" style="53" customWidth="1"/>
    <col min="82" max="82" width="9.25" style="53" customWidth="1"/>
    <col min="83" max="83" width="4.125" style="53" customWidth="1"/>
    <col min="84" max="84" width="11.5" style="77" customWidth="1" outlineLevel="1"/>
    <col min="85" max="85" width="9" style="77" hidden="1" customWidth="1" outlineLevel="1"/>
    <col min="86" max="86" width="9" style="77" customWidth="1" outlineLevel="1"/>
    <col min="87" max="87" width="11.5" style="77" customWidth="1"/>
    <col min="88" max="88" width="9" style="77" hidden="1" customWidth="1"/>
    <col min="89" max="89" width="9" style="77" customWidth="1"/>
    <col min="90" max="90" width="9.25" style="77" customWidth="1"/>
    <col min="91" max="91" width="4" style="77" customWidth="1"/>
    <col min="92" max="92" width="11.5" style="53" customWidth="1" outlineLevel="1"/>
    <col min="93" max="93" width="9" style="53" hidden="1" customWidth="1" outlineLevel="1"/>
    <col min="94" max="94" width="15.75" style="53" customWidth="1" outlineLevel="1"/>
    <col min="95" max="95" width="11.5" style="53" customWidth="1"/>
    <col min="96" max="96" width="9" style="53" hidden="1" customWidth="1"/>
    <col min="97" max="97" width="9" style="53" customWidth="1"/>
    <col min="98" max="98" width="7.5" style="53" customWidth="1"/>
    <col min="99" max="99" width="9" style="53" customWidth="1"/>
    <col min="100" max="100" width="8.875" style="77" customWidth="1"/>
    <col min="101" max="101" width="8.875" style="77"/>
    <col min="102" max="107" width="8.875" style="422" customWidth="1" outlineLevel="1"/>
    <col min="108" max="117" width="8.875" style="573" customWidth="1" outlineLevel="1"/>
    <col min="118" max="16384" width="8.875" style="77"/>
  </cols>
  <sheetData>
    <row r="1" spans="1:117">
      <c r="A1" s="692"/>
      <c r="B1" s="187"/>
      <c r="C1" s="693" t="s">
        <v>1353</v>
      </c>
      <c r="D1" s="694"/>
      <c r="E1" s="187"/>
      <c r="F1" s="187"/>
      <c r="G1" s="187"/>
      <c r="H1" s="187"/>
      <c r="I1" s="187"/>
      <c r="J1" s="187"/>
      <c r="K1" s="187"/>
      <c r="L1" s="308" t="s">
        <v>1945</v>
      </c>
      <c r="M1" s="187"/>
      <c r="N1" s="187"/>
      <c r="O1" s="187"/>
      <c r="P1" s="311"/>
      <c r="Q1" s="311"/>
      <c r="R1" s="311"/>
      <c r="S1" s="187"/>
    </row>
    <row r="2" spans="1:117" ht="20.25" customHeight="1">
      <c r="A2" s="695"/>
      <c r="B2" s="187"/>
      <c r="E2" s="187"/>
      <c r="F2" s="187"/>
      <c r="G2" s="187"/>
      <c r="H2" s="187"/>
      <c r="J2" s="1938" t="s">
        <v>1796</v>
      </c>
      <c r="K2" s="1938"/>
      <c r="L2" s="1938"/>
      <c r="M2" s="1938"/>
      <c r="N2" s="1938"/>
      <c r="O2" s="1938"/>
      <c r="P2" s="503"/>
      <c r="Q2" s="804"/>
      <c r="R2" s="804"/>
      <c r="S2" s="696"/>
      <c r="T2" s="1935" t="s">
        <v>1173</v>
      </c>
      <c r="U2" s="1936"/>
      <c r="V2" s="1936"/>
      <c r="W2" s="1936"/>
      <c r="X2" s="1936"/>
      <c r="Y2" s="1936"/>
      <c r="Z2" s="1937"/>
      <c r="AA2" s="697"/>
      <c r="AB2" s="1935" t="s">
        <v>1174</v>
      </c>
      <c r="AC2" s="1936"/>
      <c r="AD2" s="1936"/>
      <c r="AE2" s="1936"/>
      <c r="AF2" s="1936"/>
      <c r="AG2" s="1936"/>
      <c r="AH2" s="1937"/>
      <c r="AI2" s="697"/>
      <c r="AJ2" s="1935" t="s">
        <v>1175</v>
      </c>
      <c r="AK2" s="1936"/>
      <c r="AL2" s="1936"/>
      <c r="AM2" s="1936"/>
      <c r="AN2" s="1936"/>
      <c r="AO2" s="1936"/>
      <c r="AP2" s="1937"/>
      <c r="AQ2" s="697"/>
      <c r="AR2" s="1935" t="s">
        <v>1176</v>
      </c>
      <c r="AS2" s="1936"/>
      <c r="AT2" s="1936"/>
      <c r="AU2" s="1936"/>
      <c r="AV2" s="1936"/>
      <c r="AW2" s="1936"/>
      <c r="AX2" s="1937"/>
      <c r="AY2" s="697"/>
      <c r="AZ2" s="1935" t="s">
        <v>1177</v>
      </c>
      <c r="BA2" s="1936"/>
      <c r="BB2" s="1936"/>
      <c r="BC2" s="1936"/>
      <c r="BD2" s="1936"/>
      <c r="BE2" s="1936"/>
      <c r="BF2" s="1937"/>
      <c r="BG2" s="697"/>
      <c r="BH2" s="1935" t="s">
        <v>1178</v>
      </c>
      <c r="BI2" s="1936"/>
      <c r="BJ2" s="1936"/>
      <c r="BK2" s="1936"/>
      <c r="BL2" s="1936"/>
      <c r="BM2" s="1936"/>
      <c r="BN2" s="1937"/>
      <c r="BO2" s="697"/>
      <c r="BP2" s="1935" t="s">
        <v>1179</v>
      </c>
      <c r="BQ2" s="1936"/>
      <c r="BR2" s="1936"/>
      <c r="BS2" s="1936"/>
      <c r="BT2" s="1936"/>
      <c r="BU2" s="1936"/>
      <c r="BV2" s="1937"/>
      <c r="BW2" s="697"/>
      <c r="BX2" s="1935" t="s">
        <v>1180</v>
      </c>
      <c r="BY2" s="1936"/>
      <c r="BZ2" s="1936"/>
      <c r="CA2" s="1936"/>
      <c r="CB2" s="1936"/>
      <c r="CC2" s="1936"/>
      <c r="CD2" s="1937"/>
      <c r="CE2" s="697"/>
      <c r="CF2" s="1935" t="s">
        <v>1181</v>
      </c>
      <c r="CG2" s="1936"/>
      <c r="CH2" s="1936"/>
      <c r="CI2" s="1936"/>
      <c r="CJ2" s="1936"/>
      <c r="CK2" s="1936"/>
      <c r="CL2" s="1937"/>
      <c r="CM2" s="697"/>
      <c r="CN2" s="1935" t="s">
        <v>1354</v>
      </c>
      <c r="CO2" s="1936"/>
      <c r="CP2" s="1936"/>
      <c r="CQ2" s="1936"/>
      <c r="CR2" s="1936"/>
      <c r="CS2" s="1936"/>
      <c r="CT2" s="1937"/>
      <c r="CX2" s="602" t="s">
        <v>1169</v>
      </c>
      <c r="CY2" s="602"/>
      <c r="CZ2" s="602"/>
      <c r="DA2" s="602"/>
      <c r="DB2" s="602"/>
      <c r="DC2" s="602"/>
      <c r="DD2" s="603"/>
      <c r="DE2" s="603"/>
      <c r="DF2" s="603"/>
      <c r="DG2" s="603"/>
      <c r="DH2" s="603"/>
      <c r="DI2" s="603"/>
      <c r="DJ2" s="603"/>
      <c r="DK2" s="603"/>
      <c r="DL2" s="603"/>
      <c r="DM2" s="603"/>
    </row>
    <row r="3" spans="1:117" ht="20.25" customHeight="1">
      <c r="A3" s="698" t="s">
        <v>470</v>
      </c>
      <c r="B3" s="699" t="s">
        <v>491</v>
      </c>
      <c r="C3" s="956" t="s">
        <v>228</v>
      </c>
      <c r="D3" s="956" t="s">
        <v>227</v>
      </c>
      <c r="E3" s="956" t="s">
        <v>1752</v>
      </c>
      <c r="F3" s="956" t="s">
        <v>1188</v>
      </c>
      <c r="G3" s="956" t="s">
        <v>469</v>
      </c>
      <c r="H3" s="956" t="s">
        <v>732</v>
      </c>
      <c r="I3" s="956" t="s">
        <v>571</v>
      </c>
      <c r="J3" s="956" t="s">
        <v>1759</v>
      </c>
      <c r="K3" s="956" t="s">
        <v>1760</v>
      </c>
      <c r="L3" s="957" t="s">
        <v>2347</v>
      </c>
      <c r="M3" s="956" t="s">
        <v>2344</v>
      </c>
      <c r="N3" s="956" t="s">
        <v>1190</v>
      </c>
      <c r="O3" s="956" t="s">
        <v>541</v>
      </c>
      <c r="P3" s="67" t="s">
        <v>1883</v>
      </c>
      <c r="Q3" s="67" t="s">
        <v>1884</v>
      </c>
      <c r="R3" s="67" t="s">
        <v>1885</v>
      </c>
      <c r="S3" s="696"/>
      <c r="T3" s="696" t="str">
        <f>J3</f>
        <v>Q2</v>
      </c>
      <c r="U3" s="696" t="str">
        <f>K3</f>
        <v>Q2得分</v>
      </c>
      <c r="V3" s="1443" t="s">
        <v>2517</v>
      </c>
      <c r="W3" s="700" t="str">
        <f>L3</f>
        <v>Q3</v>
      </c>
      <c r="X3" s="696" t="str">
        <f>M3</f>
        <v>Q3得分</v>
      </c>
      <c r="Y3" s="1443" t="s">
        <v>2517</v>
      </c>
      <c r="Z3" s="696" t="s">
        <v>1189</v>
      </c>
      <c r="AA3" s="696"/>
      <c r="AB3" s="696" t="str">
        <f>T3</f>
        <v>Q2</v>
      </c>
      <c r="AC3" s="696" t="str">
        <f>U3</f>
        <v>Q2得分</v>
      </c>
      <c r="AD3" s="1443" t="s">
        <v>2517</v>
      </c>
      <c r="AE3" s="700" t="str">
        <f>W3</f>
        <v>Q3</v>
      </c>
      <c r="AF3" s="696" t="str">
        <f>X3</f>
        <v>Q3得分</v>
      </c>
      <c r="AG3" s="1443" t="s">
        <v>2517</v>
      </c>
      <c r="AH3" s="696" t="s">
        <v>1189</v>
      </c>
      <c r="AI3" s="696"/>
      <c r="AJ3" s="696" t="str">
        <f>AB3</f>
        <v>Q2</v>
      </c>
      <c r="AK3" s="696" t="str">
        <f>AC3</f>
        <v>Q2得分</v>
      </c>
      <c r="AL3" s="1443" t="s">
        <v>2517</v>
      </c>
      <c r="AM3" s="700" t="str">
        <f>AE3</f>
        <v>Q3</v>
      </c>
      <c r="AN3" s="696" t="str">
        <f>AF3</f>
        <v>Q3得分</v>
      </c>
      <c r="AO3" s="1443" t="s">
        <v>2517</v>
      </c>
      <c r="AP3" s="696" t="s">
        <v>1189</v>
      </c>
      <c r="AQ3" s="696"/>
      <c r="AR3" s="696" t="str">
        <f>AJ3</f>
        <v>Q2</v>
      </c>
      <c r="AS3" s="696" t="str">
        <f>AK3</f>
        <v>Q2得分</v>
      </c>
      <c r="AT3" s="1443" t="s">
        <v>2517</v>
      </c>
      <c r="AU3" s="700" t="str">
        <f>AM3</f>
        <v>Q3</v>
      </c>
      <c r="AV3" s="696" t="str">
        <f>AN3</f>
        <v>Q3得分</v>
      </c>
      <c r="AW3" s="1443" t="s">
        <v>2517</v>
      </c>
      <c r="AX3" s="696" t="s">
        <v>1189</v>
      </c>
      <c r="AY3" s="696"/>
      <c r="AZ3" s="696" t="str">
        <f>AR3</f>
        <v>Q2</v>
      </c>
      <c r="BA3" s="696" t="str">
        <f>AS3</f>
        <v>Q2得分</v>
      </c>
      <c r="BB3" s="1443" t="s">
        <v>2517</v>
      </c>
      <c r="BC3" s="700" t="str">
        <f>AU3</f>
        <v>Q3</v>
      </c>
      <c r="BD3" s="696" t="str">
        <f>AV3</f>
        <v>Q3得分</v>
      </c>
      <c r="BE3" s="1443" t="s">
        <v>2517</v>
      </c>
      <c r="BF3" s="696" t="s">
        <v>1189</v>
      </c>
      <c r="BG3" s="696"/>
      <c r="BH3" s="696" t="str">
        <f>AZ3</f>
        <v>Q2</v>
      </c>
      <c r="BI3" s="696" t="str">
        <f>BA3</f>
        <v>Q2得分</v>
      </c>
      <c r="BJ3" s="1443" t="s">
        <v>2517</v>
      </c>
      <c r="BK3" s="700" t="str">
        <f>BC3</f>
        <v>Q3</v>
      </c>
      <c r="BL3" s="696" t="str">
        <f>BD3</f>
        <v>Q3得分</v>
      </c>
      <c r="BM3" s="1443" t="s">
        <v>2517</v>
      </c>
      <c r="BN3" s="696" t="s">
        <v>1189</v>
      </c>
      <c r="BO3" s="696"/>
      <c r="BP3" s="696" t="str">
        <f>BH3</f>
        <v>Q2</v>
      </c>
      <c r="BQ3" s="696" t="str">
        <f>BI3</f>
        <v>Q2得分</v>
      </c>
      <c r="BR3" s="1443" t="s">
        <v>2517</v>
      </c>
      <c r="BS3" s="700" t="str">
        <f>BK3</f>
        <v>Q3</v>
      </c>
      <c r="BT3" s="696" t="str">
        <f>BL3</f>
        <v>Q3得分</v>
      </c>
      <c r="BU3" s="1443" t="s">
        <v>2517</v>
      </c>
      <c r="BV3" s="696" t="s">
        <v>1189</v>
      </c>
      <c r="BW3" s="696"/>
      <c r="BX3" s="696" t="str">
        <f>BP3</f>
        <v>Q2</v>
      </c>
      <c r="BY3" s="696" t="str">
        <f>BQ3</f>
        <v>Q2得分</v>
      </c>
      <c r="BZ3" s="1443" t="s">
        <v>2517</v>
      </c>
      <c r="CA3" s="700" t="str">
        <f>BS3</f>
        <v>Q3</v>
      </c>
      <c r="CB3" s="696" t="str">
        <f>BT3</f>
        <v>Q3得分</v>
      </c>
      <c r="CC3" s="1443" t="s">
        <v>2517</v>
      </c>
      <c r="CD3" s="696" t="s">
        <v>1189</v>
      </c>
      <c r="CE3" s="696"/>
      <c r="CF3" s="696" t="str">
        <f>BX3</f>
        <v>Q2</v>
      </c>
      <c r="CG3" s="696" t="str">
        <f>BY3</f>
        <v>Q2得分</v>
      </c>
      <c r="CH3" s="1443" t="s">
        <v>2517</v>
      </c>
      <c r="CI3" s="700" t="str">
        <f>CA3</f>
        <v>Q3</v>
      </c>
      <c r="CJ3" s="696" t="str">
        <f>CB3</f>
        <v>Q3得分</v>
      </c>
      <c r="CK3" s="1443" t="s">
        <v>2517</v>
      </c>
      <c r="CL3" s="696" t="s">
        <v>1189</v>
      </c>
      <c r="CM3" s="696"/>
      <c r="CN3" s="696" t="str">
        <f>CF3</f>
        <v>Q2</v>
      </c>
      <c r="CO3" s="696" t="str">
        <f>CG3</f>
        <v>Q2得分</v>
      </c>
      <c r="CP3" s="1443" t="s">
        <v>2517</v>
      </c>
      <c r="CQ3" s="700" t="str">
        <f>CI3</f>
        <v>Q3</v>
      </c>
      <c r="CR3" s="696" t="str">
        <f>CJ3</f>
        <v>Q3得分</v>
      </c>
      <c r="CS3" s="1443" t="s">
        <v>2517</v>
      </c>
      <c r="CT3" s="696" t="s">
        <v>1189</v>
      </c>
      <c r="CX3" s="602" t="s">
        <v>1621</v>
      </c>
      <c r="CY3" s="602" t="s">
        <v>1608</v>
      </c>
      <c r="CZ3" s="602" t="s">
        <v>1623</v>
      </c>
      <c r="DA3" s="602" t="s">
        <v>1622</v>
      </c>
      <c r="DB3" s="602" t="s">
        <v>1591</v>
      </c>
      <c r="DC3" s="602" t="s">
        <v>1592</v>
      </c>
      <c r="DD3" s="603" t="s">
        <v>1581</v>
      </c>
      <c r="DE3" s="603" t="s">
        <v>1582</v>
      </c>
      <c r="DF3" s="603" t="s">
        <v>1583</v>
      </c>
      <c r="DG3" s="603" t="s">
        <v>1584</v>
      </c>
      <c r="DH3" s="603" t="s">
        <v>1585</v>
      </c>
      <c r="DI3" s="603" t="s">
        <v>1586</v>
      </c>
      <c r="DJ3" s="603" t="s">
        <v>1587</v>
      </c>
      <c r="DK3" s="603" t="s">
        <v>1588</v>
      </c>
      <c r="DL3" s="603" t="s">
        <v>1589</v>
      </c>
      <c r="DM3" s="603" t="s">
        <v>1590</v>
      </c>
    </row>
    <row r="4" spans="1:117" ht="14.25">
      <c r="A4" s="40" t="s">
        <v>1356</v>
      </c>
      <c r="B4" s="40" t="s">
        <v>1357</v>
      </c>
      <c r="C4" s="11">
        <v>1</v>
      </c>
      <c r="D4" s="79" t="s">
        <v>1355</v>
      </c>
      <c r="E4" s="480" t="s">
        <v>256</v>
      </c>
      <c r="F4" s="275"/>
      <c r="G4" s="260" t="s">
        <v>474</v>
      </c>
      <c r="H4" s="275" t="s">
        <v>284</v>
      </c>
      <c r="I4" s="622">
        <v>5</v>
      </c>
      <c r="J4" s="588">
        <f>AVERAGE(CN4,CF4,BX4,BP4,BH4,AZ4,AR4,AJ4,AB4,T4)</f>
        <v>14.8</v>
      </c>
      <c r="K4" s="586">
        <f>AVERAGE(CO4,CG4,BY4,BQ4,BI4,BA4,AS4,AK4,AC4,U4)</f>
        <v>5</v>
      </c>
      <c r="L4" s="588">
        <f>AVERAGE(CQ4,CI4,CA4,BS4,BK4,BC4,AU4,AM4,AE4,W4)</f>
        <v>14.9</v>
      </c>
      <c r="M4" s="584">
        <f>AVERAGE(CR4,CJ4,CB4,BT4,BL4,BD4,AV4,AN4,AF4,X4)</f>
        <v>5</v>
      </c>
      <c r="N4" s="502">
        <f>M4-K4</f>
        <v>0</v>
      </c>
      <c r="O4" s="585">
        <f t="shared" ref="O4:O48" si="0">I4-M4</f>
        <v>0</v>
      </c>
      <c r="P4" s="584">
        <f>O4*0.4</f>
        <v>0</v>
      </c>
      <c r="Q4" s="958">
        <f>P4/9</f>
        <v>0</v>
      </c>
      <c r="R4" s="959">
        <f>Q4/2</f>
        <v>0</v>
      </c>
      <c r="S4" s="664"/>
      <c r="T4" s="1319">
        <v>10</v>
      </c>
      <c r="U4" s="618">
        <f>IF(T4&gt;5,5,0)</f>
        <v>5</v>
      </c>
      <c r="V4" s="1446"/>
      <c r="W4" s="621">
        <v>10</v>
      </c>
      <c r="X4" s="977">
        <f>IF(W4&gt;5,5,0)</f>
        <v>5</v>
      </c>
      <c r="Y4" s="1434"/>
      <c r="Z4" s="167">
        <f t="shared" ref="Z4:Z14" si="1">IF(AND(T4=0,W4&lt;&gt;0),1,IF(AND(T4=0,W4=0),0,W4/T4-1))</f>
        <v>0</v>
      </c>
      <c r="AA4" s="664"/>
      <c r="AB4" s="1319">
        <v>9</v>
      </c>
      <c r="AC4" s="621">
        <f>IF(AB4&gt;5,5,0)</f>
        <v>5</v>
      </c>
      <c r="AD4" s="1449"/>
      <c r="AE4" s="621">
        <v>9</v>
      </c>
      <c r="AF4" s="977">
        <f>IF(AE4&gt;5,5,0)</f>
        <v>5</v>
      </c>
      <c r="AG4" s="1434"/>
      <c r="AH4" s="167">
        <f t="shared" ref="AH4:AH14" si="2">IF(AND(AB4=0,AE4&lt;&gt;0),1,IF(AND(AB4=0,AE4=0),0,AE4/AB4-1))</f>
        <v>0</v>
      </c>
      <c r="AI4" s="664"/>
      <c r="AJ4" s="1319">
        <v>13</v>
      </c>
      <c r="AK4" s="621">
        <f>IF(AJ4&gt;5,5,0)</f>
        <v>5</v>
      </c>
      <c r="AL4" s="1449"/>
      <c r="AM4" s="621">
        <v>13</v>
      </c>
      <c r="AN4" s="621">
        <f>IF(AM4&gt;5,5,0)</f>
        <v>5</v>
      </c>
      <c r="AO4" s="1437"/>
      <c r="AP4" s="167">
        <f t="shared" ref="AP4:AP14" si="3">IF(AND(AJ4=0,AM4&lt;&gt;0),1,IF(AND(AJ4=0,AM4=0),0,AM4/AJ4-1))</f>
        <v>0</v>
      </c>
      <c r="AQ4" s="664"/>
      <c r="AR4" s="1319">
        <v>26</v>
      </c>
      <c r="AS4" s="621">
        <f>IF(AR4&gt;5,5,0)</f>
        <v>5</v>
      </c>
      <c r="AT4" s="1449"/>
      <c r="AU4" s="621">
        <v>27</v>
      </c>
      <c r="AV4" s="621">
        <f>IF(AU4&gt;5,5,0)</f>
        <v>5</v>
      </c>
      <c r="AW4" s="1437"/>
      <c r="AX4" s="167">
        <f t="shared" ref="AX4:AX14" si="4">IF(AND(AR4=0,AU4&lt;&gt;0),1,IF(AND(AR4=0,AU4=0),0,AU4/AR4-1))</f>
        <v>3.8461538461538547E-2</v>
      </c>
      <c r="AY4" s="664"/>
      <c r="AZ4" s="1319">
        <v>13</v>
      </c>
      <c r="BA4" s="621">
        <f>IF(AZ4&gt;5,5,0)</f>
        <v>5</v>
      </c>
      <c r="BB4" s="1449"/>
      <c r="BC4" s="621">
        <v>13</v>
      </c>
      <c r="BD4" s="621">
        <f>IF(BC4&gt;5,5,0)</f>
        <v>5</v>
      </c>
      <c r="BE4" s="1437"/>
      <c r="BF4" s="167">
        <f t="shared" ref="BF4:BF14" si="5">IF(AND(AZ4=0,BC4&lt;&gt;0),1,IF(AND(AZ4=0,BC4=0),0,BC4/AZ4-1))</f>
        <v>0</v>
      </c>
      <c r="BG4" s="664"/>
      <c r="BH4" s="1319">
        <v>12</v>
      </c>
      <c r="BI4" s="621">
        <f>IF(BH4&gt;5,5,0)</f>
        <v>5</v>
      </c>
      <c r="BJ4" s="1449"/>
      <c r="BK4" s="621">
        <v>12</v>
      </c>
      <c r="BL4" s="621">
        <f>IF(BK4&gt;5,5,0)</f>
        <v>5</v>
      </c>
      <c r="BM4" s="1437"/>
      <c r="BN4" s="167">
        <f t="shared" ref="BN4:BN14" si="6">IF(AND(BH4=0,BK4&lt;&gt;0),1,IF(AND(BH4=0,BK4=0),0,BK4/BH4-1))</f>
        <v>0</v>
      </c>
      <c r="BO4" s="664"/>
      <c r="BP4" s="1319">
        <v>18</v>
      </c>
      <c r="BQ4" s="621">
        <f>IF(BP4&gt;5,5,0)</f>
        <v>5</v>
      </c>
      <c r="BR4" s="1449"/>
      <c r="BS4" s="621">
        <v>18</v>
      </c>
      <c r="BT4" s="621">
        <f>IF(BS4&gt;5,5,0)</f>
        <v>5</v>
      </c>
      <c r="BU4" s="1437"/>
      <c r="BV4" s="167">
        <f t="shared" ref="BV4:BV14" si="7">IF(AND(BP4=0,BS4&lt;&gt;0),1,IF(AND(BP4=0,BS4=0),0,BS4/BP4-1))</f>
        <v>0</v>
      </c>
      <c r="BW4" s="664"/>
      <c r="BX4" s="1319">
        <v>16</v>
      </c>
      <c r="BY4" s="621">
        <f>IF(BX4&gt;5,5,0)</f>
        <v>5</v>
      </c>
      <c r="BZ4" s="1449"/>
      <c r="CA4" s="621">
        <v>16</v>
      </c>
      <c r="CB4" s="621">
        <f>IF(CA4&gt;5,5,0)</f>
        <v>5</v>
      </c>
      <c r="CC4" s="1437"/>
      <c r="CD4" s="167">
        <f t="shared" ref="CD4:CD14" si="8">IF(AND(BX4=0,CA4&lt;&gt;0),1,IF(AND(BX4=0,CA4=0),0,CA4/BX4-1))</f>
        <v>0</v>
      </c>
      <c r="CE4" s="664"/>
      <c r="CF4" s="1319">
        <v>18</v>
      </c>
      <c r="CG4" s="621">
        <f>IF(CF4&gt;5,5,0)</f>
        <v>5</v>
      </c>
      <c r="CH4" s="1449"/>
      <c r="CI4" s="621">
        <v>18</v>
      </c>
      <c r="CJ4" s="621">
        <f>IF(CI4&gt;5,5,0)</f>
        <v>5</v>
      </c>
      <c r="CK4" s="1437"/>
      <c r="CL4" s="167">
        <f t="shared" ref="CL4:CL14" si="9">IF(AND(CF4=0,CI4&lt;&gt;0),1,IF(AND(CF4=0,CI4=0),0,CI4/CF4-1))</f>
        <v>0</v>
      </c>
      <c r="CM4" s="664"/>
      <c r="CN4" s="1319">
        <v>13</v>
      </c>
      <c r="CO4" s="621">
        <f>IF(CN4&gt;5,5,0)</f>
        <v>5</v>
      </c>
      <c r="CP4" s="1449"/>
      <c r="CQ4" s="621">
        <v>13</v>
      </c>
      <c r="CR4" s="618">
        <f>IF(CQ4&gt;5,5,0)</f>
        <v>5</v>
      </c>
      <c r="CS4" s="1434"/>
      <c r="CT4" s="665">
        <f t="shared" ref="CT4:CT14" si="10">IF(AND(CN4=0,CQ4&lt;&gt;0),1,IF(AND(CN4=0,CQ4=0),0,CQ4/CN4-1))</f>
        <v>0</v>
      </c>
      <c r="CX4" s="602">
        <v>0.5</v>
      </c>
      <c r="CY4" s="602">
        <f t="shared" ref="CY4:CY21" si="11">M4</f>
        <v>5</v>
      </c>
      <c r="CZ4" s="602">
        <v>0.5</v>
      </c>
      <c r="DA4" s="602">
        <f t="shared" ref="DA4:DA21" si="12">M4</f>
        <v>5</v>
      </c>
      <c r="DB4" s="602">
        <v>0</v>
      </c>
      <c r="DC4" s="602"/>
      <c r="DD4" s="603"/>
      <c r="DE4" s="603"/>
      <c r="DF4" s="603"/>
      <c r="DG4" s="603"/>
      <c r="DH4" s="603"/>
      <c r="DI4" s="603"/>
      <c r="DJ4" s="603"/>
      <c r="DK4" s="603"/>
      <c r="DL4" s="603"/>
      <c r="DM4" s="603"/>
    </row>
    <row r="5" spans="1:117" ht="14.25">
      <c r="A5" s="1939" t="s">
        <v>1983</v>
      </c>
      <c r="B5" s="1902" t="s">
        <v>1358</v>
      </c>
      <c r="C5" s="23">
        <v>2</v>
      </c>
      <c r="D5" s="1000" t="s">
        <v>2006</v>
      </c>
      <c r="E5" s="475"/>
      <c r="F5" s="275"/>
      <c r="G5" s="260" t="s">
        <v>478</v>
      </c>
      <c r="H5" s="268" t="s">
        <v>284</v>
      </c>
      <c r="I5" s="622">
        <v>2</v>
      </c>
      <c r="J5" s="588">
        <f>AVERAGE(CN5,CF5,BX5,BP5,BH5,AZ5,AR5,AJ5,AB5,T5)</f>
        <v>9.0238095238095242E-2</v>
      </c>
      <c r="K5" s="1336">
        <f>AVERAGE(CO5,CG5,BY5,BQ5,BI5,BA5,AS5,AK5,AC5,U5)</f>
        <v>1.6</v>
      </c>
      <c r="L5" s="588">
        <f>AVERAGE(CQ5,CI5,CA5,BS5,BK5,BC5,AU5,AM5,AE5,W5)</f>
        <v>8.666666666666667E-2</v>
      </c>
      <c r="M5" s="1344">
        <f>AVERAGE(CR5,CJ5,CB5,BT5,BL5,BD5,AV5,AN5,AF5,X5)</f>
        <v>1.6</v>
      </c>
      <c r="N5" s="604">
        <f t="shared" ref="N5:N53" si="13">M5-K5</f>
        <v>0</v>
      </c>
      <c r="O5" s="585">
        <f t="shared" si="0"/>
        <v>0.39999999999999991</v>
      </c>
      <c r="P5" s="584">
        <f t="shared" ref="P5:P53" si="14">O5*0.4</f>
        <v>0.15999999999999998</v>
      </c>
      <c r="Q5" s="958">
        <f t="shared" ref="Q5:Q58" si="15">P5/9</f>
        <v>1.7777777777777774E-2</v>
      </c>
      <c r="R5" s="959">
        <f t="shared" ref="R5:R58" si="16">Q5/2</f>
        <v>8.8888888888888871E-3</v>
      </c>
      <c r="S5" s="664"/>
      <c r="T5" s="167">
        <f>IF(SUM(T7:T8)=0,"",T6/SUM(T7:T8))</f>
        <v>0</v>
      </c>
      <c r="U5" s="618">
        <f>IF(T5&lt;=0.2,2,0)</f>
        <v>2</v>
      </c>
      <c r="V5" s="1446"/>
      <c r="W5" s="167">
        <f>IF(SUM(W7:W8)=0,"",W6/SUM(W7:W8))</f>
        <v>0.25</v>
      </c>
      <c r="X5" s="983">
        <f>IF(W5&lt;=0.2,2,0)</f>
        <v>0</v>
      </c>
      <c r="Y5" s="983"/>
      <c r="Z5" s="167">
        <f t="shared" si="1"/>
        <v>1</v>
      </c>
      <c r="AA5" s="664"/>
      <c r="AB5" s="167">
        <f>IF(SUM(AB7:AB8)=0,"",AB6/SUM(AB7:AB8))</f>
        <v>0.2857142857142857</v>
      </c>
      <c r="AC5" s="621">
        <f>IF(AB5&lt;=0.2,2,0)</f>
        <v>0</v>
      </c>
      <c r="AD5" s="1449"/>
      <c r="AE5" s="167">
        <f>IF(SUM(AE7:AE8)=0,"",AE6/SUM(AE7:AE8))</f>
        <v>0</v>
      </c>
      <c r="AF5" s="977">
        <f>IF(AE5&lt;=0.2,2,0)</f>
        <v>2</v>
      </c>
      <c r="AG5" s="1434"/>
      <c r="AH5" s="167">
        <f t="shared" si="2"/>
        <v>-1</v>
      </c>
      <c r="AI5" s="664"/>
      <c r="AJ5" s="167">
        <f>IF(SUM(AJ7:AJ8)=0,"",AJ6/SUM(AJ7:AJ8))</f>
        <v>0</v>
      </c>
      <c r="AK5" s="621">
        <f>IF(AJ5&lt;=0.2,2,0)</f>
        <v>2</v>
      </c>
      <c r="AL5" s="1449"/>
      <c r="AM5" s="167">
        <f>IF(SUM(AM7:AM8)=0,"",AM6/SUM(AM7:AM8))</f>
        <v>0</v>
      </c>
      <c r="AN5" s="621">
        <f>IF(AM5&lt;=0.2,2,0)</f>
        <v>2</v>
      </c>
      <c r="AO5" s="1437"/>
      <c r="AP5" s="167">
        <f t="shared" si="3"/>
        <v>0</v>
      </c>
      <c r="AQ5" s="664"/>
      <c r="AR5" s="167">
        <f>IF(SUM(AR7:AR8)=0,"",AR6/SUM(AR7:AR8))</f>
        <v>0</v>
      </c>
      <c r="AS5" s="621">
        <f>IF(AR5&lt;=0.2,2,0)</f>
        <v>2</v>
      </c>
      <c r="AT5" s="1449"/>
      <c r="AU5" s="167">
        <f>IF(SUM(AU7:AU8)=0,"",AU6/SUM(AU7:AU8))</f>
        <v>0</v>
      </c>
      <c r="AV5" s="621">
        <f>IF(AU5&lt;=0.2,2,0)</f>
        <v>2</v>
      </c>
      <c r="AW5" s="1437"/>
      <c r="AX5" s="167">
        <f t="shared" si="4"/>
        <v>0</v>
      </c>
      <c r="AY5" s="664"/>
      <c r="AZ5" s="283">
        <f>IF(SUM(AZ7:AZ8)=0,"",AZ6/SUM(AZ7:AZ8))</f>
        <v>0</v>
      </c>
      <c r="BA5" s="621">
        <f>IF(AZ5&lt;=0.2,2,0)</f>
        <v>2</v>
      </c>
      <c r="BB5" s="1449"/>
      <c r="BC5" s="283">
        <f>IF(SUM(BC7:BC8)=0,"",BC6/SUM(BC7:BC8))</f>
        <v>0</v>
      </c>
      <c r="BD5" s="621">
        <f>IF(BC5&lt;=0.2,2,0)</f>
        <v>2</v>
      </c>
      <c r="BE5" s="1437"/>
      <c r="BF5" s="167">
        <f t="shared" si="5"/>
        <v>0</v>
      </c>
      <c r="BG5" s="664"/>
      <c r="BH5" s="167">
        <f>IF(SUM(BH7:BH8)=0,"",BH6/SUM(BH7:BH8))</f>
        <v>0.16666666666666666</v>
      </c>
      <c r="BI5" s="621">
        <f>IF(BH5&lt;=0.2,2,0)</f>
        <v>2</v>
      </c>
      <c r="BJ5" s="1449"/>
      <c r="BK5" s="167">
        <f>IF(SUM(BK7:BK8)=0,"",BK6/SUM(BK7:BK8))</f>
        <v>0.16666666666666666</v>
      </c>
      <c r="BL5" s="621">
        <f>IF(BK5&lt;=0.2,2,0)</f>
        <v>2</v>
      </c>
      <c r="BM5" s="1437"/>
      <c r="BN5" s="167">
        <f t="shared" si="6"/>
        <v>0</v>
      </c>
      <c r="BO5" s="664"/>
      <c r="BP5" s="167">
        <f>IF(SUM(BP7:BP8)=0,"",BP6/SUM(BP7:BP8))</f>
        <v>0.25</v>
      </c>
      <c r="BQ5" s="621">
        <f>IF(BP5&lt;=0.2,2,0)</f>
        <v>0</v>
      </c>
      <c r="BR5" s="1449"/>
      <c r="BS5" s="167">
        <f>IF(SUM(BS7:BS8)=0,"",BS6/SUM(BS7:BS8))</f>
        <v>0.25</v>
      </c>
      <c r="BT5" s="621">
        <f>IF(BS5&lt;=0.2,2,0)</f>
        <v>0</v>
      </c>
      <c r="BU5" s="1437"/>
      <c r="BV5" s="167">
        <f t="shared" si="7"/>
        <v>0</v>
      </c>
      <c r="BW5" s="664"/>
      <c r="BX5" s="167">
        <f>IF(SUM(BX7:BX8)=0,"",BX6/SUM(BX7:BX8))</f>
        <v>0.2</v>
      </c>
      <c r="BY5" s="621">
        <f>IF(BX5&lt;=0.2,2,0)</f>
        <v>2</v>
      </c>
      <c r="BZ5" s="1449"/>
      <c r="CA5" s="167">
        <f>IF(SUM(CA7:CA8)=0,"",CA6/SUM(CA7:CA8))</f>
        <v>0.2</v>
      </c>
      <c r="CB5" s="621">
        <f>IF(CA5&lt;=0.2,2,0)</f>
        <v>2</v>
      </c>
      <c r="CC5" s="1437"/>
      <c r="CD5" s="167">
        <f t="shared" si="8"/>
        <v>0</v>
      </c>
      <c r="CE5" s="664"/>
      <c r="CF5" s="167">
        <f>IF(SUM(CF7:CF8)=0,"",CF6/SUM(CF7:CF8))</f>
        <v>0</v>
      </c>
      <c r="CG5" s="621">
        <f>IF(CF5&lt;=0.2,2,0)</f>
        <v>2</v>
      </c>
      <c r="CH5" s="1449"/>
      <c r="CI5" s="167">
        <f>IF(SUM(CI7:CI8)=0,"",CI6/SUM(CI7:CI8))</f>
        <v>0</v>
      </c>
      <c r="CJ5" s="621">
        <f>IF(CI5&lt;=0.2,2,0)</f>
        <v>2</v>
      </c>
      <c r="CK5" s="1437"/>
      <c r="CL5" s="167">
        <f t="shared" si="9"/>
        <v>0</v>
      </c>
      <c r="CM5" s="664"/>
      <c r="CN5" s="167">
        <f>IF(SUM(CN7:CN8)=0,"",CN6/SUM(CN7:CN8))</f>
        <v>0</v>
      </c>
      <c r="CO5" s="621">
        <f>IF(CN5&lt;=0.2,2,0)</f>
        <v>2</v>
      </c>
      <c r="CP5" s="1449"/>
      <c r="CQ5" s="167">
        <f>IF(SUM(CQ7:CQ8)=0,"",CQ6/SUM(CQ7:CQ8))</f>
        <v>0</v>
      </c>
      <c r="CR5" s="618">
        <f>IF(CQ5&lt;=0.2,2,0)</f>
        <v>2</v>
      </c>
      <c r="CS5" s="1434"/>
      <c r="CT5" s="665">
        <f t="shared" si="10"/>
        <v>0</v>
      </c>
      <c r="CX5" s="602">
        <v>1</v>
      </c>
      <c r="CY5" s="602">
        <f t="shared" si="11"/>
        <v>1.6</v>
      </c>
      <c r="CZ5" s="602">
        <v>1</v>
      </c>
      <c r="DA5" s="602">
        <f t="shared" si="12"/>
        <v>1.6</v>
      </c>
      <c r="DB5" s="602">
        <v>0</v>
      </c>
      <c r="DC5" s="602"/>
      <c r="DD5" s="603"/>
      <c r="DE5" s="603"/>
      <c r="DF5" s="603"/>
      <c r="DG5" s="603"/>
      <c r="DH5" s="603"/>
      <c r="DI5" s="603"/>
      <c r="DJ5" s="603"/>
      <c r="DK5" s="603"/>
      <c r="DL5" s="603"/>
      <c r="DM5" s="603"/>
    </row>
    <row r="6" spans="1:117" ht="19.5" customHeight="1">
      <c r="A6" s="1923"/>
      <c r="B6" s="1923"/>
      <c r="C6" s="494">
        <v>2.1</v>
      </c>
      <c r="D6" s="625" t="s">
        <v>152</v>
      </c>
      <c r="E6" s="480" t="s">
        <v>256</v>
      </c>
      <c r="F6" s="275"/>
      <c r="G6" s="260"/>
      <c r="H6" s="275"/>
      <c r="I6" s="260"/>
      <c r="J6" s="588">
        <f t="shared" ref="J6:J14" si="17">AVERAGE(CN6,CF6,BX6,BP6,BH6,AZ6,AR6,AJ6,AB6,T6)</f>
        <v>0.5</v>
      </c>
      <c r="K6" s="586"/>
      <c r="L6" s="588">
        <f t="shared" ref="L6:L14" si="18">AVERAGE(CQ6,CI6,CA6,BS6,BK6,BC6,AU6,AM6,AE6,W6)</f>
        <v>0.4</v>
      </c>
      <c r="M6" s="584"/>
      <c r="N6" s="566">
        <f t="shared" si="13"/>
        <v>0</v>
      </c>
      <c r="O6" s="585">
        <f t="shared" si="0"/>
        <v>0</v>
      </c>
      <c r="P6" s="584">
        <f t="shared" si="14"/>
        <v>0</v>
      </c>
      <c r="Q6" s="958">
        <f t="shared" si="15"/>
        <v>0</v>
      </c>
      <c r="R6" s="959">
        <f t="shared" si="16"/>
        <v>0</v>
      </c>
      <c r="S6" s="664"/>
      <c r="T6" s="1319">
        <v>0</v>
      </c>
      <c r="U6" s="62"/>
      <c r="V6" s="62"/>
      <c r="W6" s="621">
        <v>1</v>
      </c>
      <c r="X6" s="621"/>
      <c r="Y6" s="1437"/>
      <c r="Z6" s="167">
        <f t="shared" si="1"/>
        <v>1</v>
      </c>
      <c r="AA6" s="664"/>
      <c r="AB6" s="1319">
        <v>2</v>
      </c>
      <c r="AC6" s="621"/>
      <c r="AD6" s="1449"/>
      <c r="AE6" s="621">
        <v>0</v>
      </c>
      <c r="AF6" s="977"/>
      <c r="AG6" s="1434"/>
      <c r="AH6" s="167">
        <f t="shared" si="2"/>
        <v>-1</v>
      </c>
      <c r="AI6" s="664"/>
      <c r="AJ6" s="1319">
        <v>0</v>
      </c>
      <c r="AK6" s="621"/>
      <c r="AL6" s="1449"/>
      <c r="AM6" s="621">
        <v>0</v>
      </c>
      <c r="AN6" s="621"/>
      <c r="AO6" s="1437"/>
      <c r="AP6" s="167">
        <f t="shared" si="3"/>
        <v>0</v>
      </c>
      <c r="AQ6" s="664"/>
      <c r="AR6" s="1319">
        <v>0</v>
      </c>
      <c r="AS6" s="621"/>
      <c r="AT6" s="1449"/>
      <c r="AU6" s="621">
        <v>0</v>
      </c>
      <c r="AV6" s="621"/>
      <c r="AW6" s="1437"/>
      <c r="AX6" s="167">
        <f t="shared" si="4"/>
        <v>0</v>
      </c>
      <c r="AY6" s="664"/>
      <c r="AZ6" s="1319">
        <v>0</v>
      </c>
      <c r="BA6" s="621"/>
      <c r="BB6" s="1449"/>
      <c r="BC6" s="621">
        <v>0</v>
      </c>
      <c r="BD6" s="621"/>
      <c r="BE6" s="1437"/>
      <c r="BF6" s="167">
        <f t="shared" si="5"/>
        <v>0</v>
      </c>
      <c r="BG6" s="664"/>
      <c r="BH6" s="1319">
        <v>1</v>
      </c>
      <c r="BI6" s="621"/>
      <c r="BJ6" s="1449"/>
      <c r="BK6" s="621">
        <v>1</v>
      </c>
      <c r="BL6" s="621"/>
      <c r="BM6" s="1437"/>
      <c r="BN6" s="167">
        <f t="shared" si="6"/>
        <v>0</v>
      </c>
      <c r="BO6" s="664"/>
      <c r="BP6" s="1319">
        <v>1</v>
      </c>
      <c r="BQ6" s="621"/>
      <c r="BR6" s="1449"/>
      <c r="BS6" s="621">
        <v>1</v>
      </c>
      <c r="BT6" s="621"/>
      <c r="BU6" s="1437"/>
      <c r="BV6" s="167">
        <f t="shared" si="7"/>
        <v>0</v>
      </c>
      <c r="BW6" s="664"/>
      <c r="BX6" s="1319">
        <v>1</v>
      </c>
      <c r="BY6" s="621"/>
      <c r="BZ6" s="1449"/>
      <c r="CA6" s="621">
        <v>1</v>
      </c>
      <c r="CB6" s="621"/>
      <c r="CC6" s="1437"/>
      <c r="CD6" s="167">
        <f t="shared" si="8"/>
        <v>0</v>
      </c>
      <c r="CE6" s="664"/>
      <c r="CF6" s="1319">
        <v>0</v>
      </c>
      <c r="CG6" s="621"/>
      <c r="CH6" s="1449"/>
      <c r="CI6" s="621">
        <v>0</v>
      </c>
      <c r="CJ6" s="621"/>
      <c r="CK6" s="1437"/>
      <c r="CL6" s="167">
        <f t="shared" si="9"/>
        <v>0</v>
      </c>
      <c r="CM6" s="664"/>
      <c r="CN6" s="1319">
        <v>0</v>
      </c>
      <c r="CO6" s="621"/>
      <c r="CP6" s="1449"/>
      <c r="CQ6" s="621">
        <v>0</v>
      </c>
      <c r="CR6" s="62"/>
      <c r="CS6" s="62"/>
      <c r="CT6" s="665">
        <f t="shared" si="10"/>
        <v>0</v>
      </c>
      <c r="CX6" s="602"/>
      <c r="CY6" s="602">
        <f t="shared" si="11"/>
        <v>0</v>
      </c>
      <c r="CZ6" s="602"/>
      <c r="DA6" s="602">
        <f t="shared" si="12"/>
        <v>0</v>
      </c>
      <c r="DB6" s="602">
        <v>0</v>
      </c>
      <c r="DC6" s="602"/>
      <c r="DD6" s="603"/>
      <c r="DE6" s="603"/>
      <c r="DF6" s="603"/>
      <c r="DG6" s="603"/>
      <c r="DH6" s="603"/>
      <c r="DI6" s="603"/>
      <c r="DJ6" s="603"/>
      <c r="DK6" s="603"/>
      <c r="DL6" s="603"/>
      <c r="DM6" s="603"/>
    </row>
    <row r="7" spans="1:117" ht="21" customHeight="1">
      <c r="A7" s="1923"/>
      <c r="B7" s="1923"/>
      <c r="C7" s="494">
        <v>2.2000000000000002</v>
      </c>
      <c r="D7" s="625" t="s">
        <v>153</v>
      </c>
      <c r="E7" s="480" t="s">
        <v>256</v>
      </c>
      <c r="F7" s="275"/>
      <c r="G7" s="260"/>
      <c r="H7" s="275"/>
      <c r="I7" s="260"/>
      <c r="J7" s="588">
        <f t="shared" si="17"/>
        <v>3</v>
      </c>
      <c r="K7" s="586"/>
      <c r="L7" s="588">
        <f t="shared" si="18"/>
        <v>3.4</v>
      </c>
      <c r="M7" s="584"/>
      <c r="N7" s="566">
        <f t="shared" si="13"/>
        <v>0</v>
      </c>
      <c r="O7" s="585">
        <f t="shared" si="0"/>
        <v>0</v>
      </c>
      <c r="P7" s="584">
        <f t="shared" si="14"/>
        <v>0</v>
      </c>
      <c r="Q7" s="958">
        <f t="shared" si="15"/>
        <v>0</v>
      </c>
      <c r="R7" s="959">
        <f t="shared" si="16"/>
        <v>0</v>
      </c>
      <c r="S7" s="664"/>
      <c r="T7" s="1319">
        <v>1</v>
      </c>
      <c r="U7" s="62"/>
      <c r="V7" s="62"/>
      <c r="W7" s="621">
        <v>3</v>
      </c>
      <c r="X7" s="1025"/>
      <c r="Y7" s="1434"/>
      <c r="Z7" s="167">
        <f t="shared" si="1"/>
        <v>2</v>
      </c>
      <c r="AA7" s="664"/>
      <c r="AB7" s="1319">
        <v>3</v>
      </c>
      <c r="AC7" s="621"/>
      <c r="AD7" s="1449"/>
      <c r="AE7" s="621">
        <v>3</v>
      </c>
      <c r="AF7" s="977"/>
      <c r="AG7" s="1434"/>
      <c r="AH7" s="167">
        <f t="shared" si="2"/>
        <v>0</v>
      </c>
      <c r="AI7" s="664"/>
      <c r="AJ7" s="1319">
        <v>5</v>
      </c>
      <c r="AK7" s="621"/>
      <c r="AL7" s="1449"/>
      <c r="AM7" s="621">
        <v>5</v>
      </c>
      <c r="AN7" s="621"/>
      <c r="AO7" s="1437"/>
      <c r="AP7" s="167">
        <f t="shared" si="3"/>
        <v>0</v>
      </c>
      <c r="AQ7" s="664"/>
      <c r="AR7" s="1319">
        <v>2</v>
      </c>
      <c r="AS7" s="621"/>
      <c r="AT7" s="1449"/>
      <c r="AU7" s="621">
        <v>2</v>
      </c>
      <c r="AV7" s="621"/>
      <c r="AW7" s="1437"/>
      <c r="AX7" s="167">
        <f t="shared" si="4"/>
        <v>0</v>
      </c>
      <c r="AY7" s="664"/>
      <c r="AZ7" s="1319">
        <v>4</v>
      </c>
      <c r="BA7" s="621"/>
      <c r="BB7" s="1449"/>
      <c r="BC7" s="621">
        <v>4</v>
      </c>
      <c r="BD7" s="621"/>
      <c r="BE7" s="1437"/>
      <c r="BF7" s="167">
        <f t="shared" si="5"/>
        <v>0</v>
      </c>
      <c r="BG7" s="664"/>
      <c r="BH7" s="1319">
        <v>4</v>
      </c>
      <c r="BI7" s="621"/>
      <c r="BJ7" s="1449"/>
      <c r="BK7" s="621">
        <v>5</v>
      </c>
      <c r="BL7" s="621"/>
      <c r="BM7" s="1437"/>
      <c r="BN7" s="167">
        <f t="shared" si="6"/>
        <v>0.25</v>
      </c>
      <c r="BO7" s="664"/>
      <c r="BP7" s="1319">
        <v>2</v>
      </c>
      <c r="BQ7" s="621"/>
      <c r="BR7" s="1449"/>
      <c r="BS7" s="621">
        <v>2</v>
      </c>
      <c r="BT7" s="621"/>
      <c r="BU7" s="1437"/>
      <c r="BV7" s="167">
        <f t="shared" si="7"/>
        <v>0</v>
      </c>
      <c r="BW7" s="664"/>
      <c r="BX7" s="1319">
        <v>3</v>
      </c>
      <c r="BY7" s="621"/>
      <c r="BZ7" s="1449"/>
      <c r="CA7" s="621">
        <v>4</v>
      </c>
      <c r="CB7" s="621"/>
      <c r="CC7" s="1437"/>
      <c r="CD7" s="167">
        <f t="shared" si="8"/>
        <v>0.33333333333333326</v>
      </c>
      <c r="CE7" s="664"/>
      <c r="CF7" s="1319">
        <v>3</v>
      </c>
      <c r="CG7" s="621"/>
      <c r="CH7" s="1449"/>
      <c r="CI7" s="621">
        <v>3</v>
      </c>
      <c r="CJ7" s="621"/>
      <c r="CK7" s="1437"/>
      <c r="CL7" s="167">
        <f t="shared" si="9"/>
        <v>0</v>
      </c>
      <c r="CM7" s="664"/>
      <c r="CN7" s="1319">
        <v>3</v>
      </c>
      <c r="CO7" s="621"/>
      <c r="CP7" s="1449"/>
      <c r="CQ7" s="621">
        <v>3</v>
      </c>
      <c r="CR7" s="62"/>
      <c r="CS7" s="62"/>
      <c r="CT7" s="665">
        <f t="shared" si="10"/>
        <v>0</v>
      </c>
      <c r="CX7" s="602"/>
      <c r="CY7" s="602">
        <f t="shared" si="11"/>
        <v>0</v>
      </c>
      <c r="CZ7" s="602"/>
      <c r="DA7" s="602">
        <f t="shared" si="12"/>
        <v>0</v>
      </c>
      <c r="DB7" s="602">
        <v>0</v>
      </c>
      <c r="DC7" s="602"/>
      <c r="DD7" s="603"/>
      <c r="DE7" s="603"/>
      <c r="DF7" s="603"/>
      <c r="DG7" s="603"/>
      <c r="DH7" s="603"/>
      <c r="DI7" s="603"/>
      <c r="DJ7" s="603"/>
      <c r="DK7" s="603"/>
      <c r="DL7" s="603"/>
      <c r="DM7" s="603"/>
    </row>
    <row r="8" spans="1:117" ht="18.75" customHeight="1">
      <c r="A8" s="1903"/>
      <c r="B8" s="1903"/>
      <c r="C8" s="494">
        <v>2.2999999999999998</v>
      </c>
      <c r="D8" s="625" t="s">
        <v>154</v>
      </c>
      <c r="E8" s="480" t="s">
        <v>256</v>
      </c>
      <c r="F8" s="275"/>
      <c r="G8" s="260"/>
      <c r="H8" s="275"/>
      <c r="I8" s="260"/>
      <c r="J8" s="588">
        <f t="shared" si="17"/>
        <v>1.3</v>
      </c>
      <c r="K8" s="586"/>
      <c r="L8" s="588">
        <f t="shared" si="18"/>
        <v>0.8</v>
      </c>
      <c r="M8" s="584"/>
      <c r="N8" s="566">
        <f t="shared" si="13"/>
        <v>0</v>
      </c>
      <c r="O8" s="585">
        <f t="shared" si="0"/>
        <v>0</v>
      </c>
      <c r="P8" s="584">
        <f t="shared" si="14"/>
        <v>0</v>
      </c>
      <c r="Q8" s="958">
        <f t="shared" si="15"/>
        <v>0</v>
      </c>
      <c r="R8" s="959">
        <f t="shared" si="16"/>
        <v>0</v>
      </c>
      <c r="S8" s="664"/>
      <c r="T8" s="1319">
        <v>2</v>
      </c>
      <c r="U8" s="62"/>
      <c r="V8" s="62"/>
      <c r="W8" s="621">
        <v>1</v>
      </c>
      <c r="X8" s="1025"/>
      <c r="Y8" s="1434"/>
      <c r="Z8" s="167">
        <f t="shared" si="1"/>
        <v>-0.5</v>
      </c>
      <c r="AA8" s="664"/>
      <c r="AB8" s="1319">
        <v>4</v>
      </c>
      <c r="AC8" s="621"/>
      <c r="AD8" s="1449"/>
      <c r="AE8" s="621">
        <v>1</v>
      </c>
      <c r="AF8" s="977"/>
      <c r="AG8" s="1434"/>
      <c r="AH8" s="167">
        <f t="shared" si="2"/>
        <v>-0.75</v>
      </c>
      <c r="AI8" s="664"/>
      <c r="AJ8" s="1319">
        <v>0</v>
      </c>
      <c r="AK8" s="621"/>
      <c r="AL8" s="1449"/>
      <c r="AM8" s="621">
        <v>0</v>
      </c>
      <c r="AN8" s="621"/>
      <c r="AO8" s="1437"/>
      <c r="AP8" s="167">
        <f t="shared" si="3"/>
        <v>0</v>
      </c>
      <c r="AQ8" s="664"/>
      <c r="AR8" s="1319">
        <v>0</v>
      </c>
      <c r="AS8" s="621"/>
      <c r="AT8" s="1449"/>
      <c r="AU8" s="621">
        <v>0</v>
      </c>
      <c r="AV8" s="621"/>
      <c r="AW8" s="1437"/>
      <c r="AX8" s="167">
        <f t="shared" si="4"/>
        <v>0</v>
      </c>
      <c r="AY8" s="664"/>
      <c r="AZ8" s="1319">
        <v>1</v>
      </c>
      <c r="BA8" s="621"/>
      <c r="BB8" s="1449"/>
      <c r="BC8" s="621">
        <v>1</v>
      </c>
      <c r="BD8" s="621"/>
      <c r="BE8" s="1437"/>
      <c r="BF8" s="167">
        <f t="shared" si="5"/>
        <v>0</v>
      </c>
      <c r="BG8" s="664"/>
      <c r="BH8" s="1319">
        <v>2</v>
      </c>
      <c r="BI8" s="621"/>
      <c r="BJ8" s="1449"/>
      <c r="BK8" s="621">
        <v>1</v>
      </c>
      <c r="BL8" s="621"/>
      <c r="BM8" s="1437"/>
      <c r="BN8" s="167">
        <f t="shared" si="6"/>
        <v>-0.5</v>
      </c>
      <c r="BO8" s="664"/>
      <c r="BP8" s="1319">
        <v>2</v>
      </c>
      <c r="BQ8" s="621"/>
      <c r="BR8" s="1449"/>
      <c r="BS8" s="621">
        <v>2</v>
      </c>
      <c r="BT8" s="621"/>
      <c r="BU8" s="1437"/>
      <c r="BV8" s="167">
        <f t="shared" si="7"/>
        <v>0</v>
      </c>
      <c r="BW8" s="664"/>
      <c r="BX8" s="1319">
        <v>2</v>
      </c>
      <c r="BY8" s="621"/>
      <c r="BZ8" s="1449"/>
      <c r="CA8" s="621">
        <v>1</v>
      </c>
      <c r="CB8" s="621"/>
      <c r="CC8" s="1437"/>
      <c r="CD8" s="167">
        <f t="shared" si="8"/>
        <v>-0.5</v>
      </c>
      <c r="CE8" s="664"/>
      <c r="CF8" s="1319">
        <v>0</v>
      </c>
      <c r="CG8" s="621"/>
      <c r="CH8" s="1449"/>
      <c r="CI8" s="621">
        <v>0</v>
      </c>
      <c r="CJ8" s="621"/>
      <c r="CK8" s="1437"/>
      <c r="CL8" s="167">
        <f t="shared" si="9"/>
        <v>0</v>
      </c>
      <c r="CM8" s="664"/>
      <c r="CN8" s="1319">
        <v>0</v>
      </c>
      <c r="CO8" s="621"/>
      <c r="CP8" s="1449"/>
      <c r="CQ8" s="621">
        <v>1</v>
      </c>
      <c r="CR8" s="62"/>
      <c r="CS8" s="62"/>
      <c r="CT8" s="665">
        <f t="shared" si="10"/>
        <v>1</v>
      </c>
      <c r="CX8" s="602"/>
      <c r="CY8" s="602">
        <f t="shared" si="11"/>
        <v>0</v>
      </c>
      <c r="CZ8" s="602"/>
      <c r="DA8" s="602">
        <f t="shared" si="12"/>
        <v>0</v>
      </c>
      <c r="DB8" s="602">
        <v>0</v>
      </c>
      <c r="DC8" s="602"/>
      <c r="DD8" s="603"/>
      <c r="DE8" s="603"/>
      <c r="DF8" s="603"/>
      <c r="DG8" s="603"/>
      <c r="DH8" s="603"/>
      <c r="DI8" s="603"/>
      <c r="DJ8" s="603"/>
      <c r="DK8" s="603"/>
      <c r="DL8" s="603"/>
      <c r="DM8" s="603"/>
    </row>
    <row r="9" spans="1:117" ht="15.75" customHeight="1">
      <c r="A9" s="1940" t="s">
        <v>2397</v>
      </c>
      <c r="B9" s="1940" t="s">
        <v>1360</v>
      </c>
      <c r="C9" s="284">
        <v>3</v>
      </c>
      <c r="D9" s="999" t="s">
        <v>1359</v>
      </c>
      <c r="E9" s="475"/>
      <c r="F9" s="275"/>
      <c r="G9" s="260" t="s">
        <v>474</v>
      </c>
      <c r="H9" s="275" t="s">
        <v>284</v>
      </c>
      <c r="I9" s="622">
        <v>2</v>
      </c>
      <c r="J9" s="588">
        <f t="shared" si="17"/>
        <v>0.98000000000000009</v>
      </c>
      <c r="K9" s="1336">
        <f>AVERAGE(CO9,CG9,BY9,BQ9,BI9,BA9,AS9,AK9,AC9,U9)</f>
        <v>1.8</v>
      </c>
      <c r="L9" s="588">
        <f t="shared" si="18"/>
        <v>0.95500000000000007</v>
      </c>
      <c r="M9" s="1335">
        <f>AVERAGE(CR9,CJ9,CB9,BT9,BL9,BD9,AV9,AN9,AF9,X9)</f>
        <v>1.6</v>
      </c>
      <c r="N9" s="1018">
        <f t="shared" si="13"/>
        <v>-0.19999999999999996</v>
      </c>
      <c r="O9" s="585">
        <f t="shared" si="0"/>
        <v>0.39999999999999991</v>
      </c>
      <c r="P9" s="584">
        <f t="shared" si="14"/>
        <v>0.15999999999999998</v>
      </c>
      <c r="Q9" s="958">
        <f t="shared" si="15"/>
        <v>1.7777777777777774E-2</v>
      </c>
      <c r="R9" s="959">
        <f t="shared" si="16"/>
        <v>8.8888888888888871E-3</v>
      </c>
      <c r="S9" s="664"/>
      <c r="T9" s="167">
        <f>IF(T11=0,"",T10/T11)</f>
        <v>1</v>
      </c>
      <c r="U9" s="618">
        <f>IF(T9=1,2,0)</f>
        <v>2</v>
      </c>
      <c r="V9" s="1446"/>
      <c r="W9" s="167">
        <f>IF(W11=0,"",W10/W11)</f>
        <v>1</v>
      </c>
      <c r="X9" s="1025">
        <f>IF(W9=1,2,0)</f>
        <v>2</v>
      </c>
      <c r="Y9" s="1442"/>
      <c r="Z9" s="167">
        <f t="shared" si="1"/>
        <v>0</v>
      </c>
      <c r="AA9" s="664"/>
      <c r="AB9" s="167">
        <f>IF(AB11=0,"",AB10/AB11)</f>
        <v>1</v>
      </c>
      <c r="AC9" s="621">
        <f>IF(AB9=1,2,0)</f>
        <v>2</v>
      </c>
      <c r="AD9" s="1449"/>
      <c r="AE9" s="167">
        <f>IF(AE11=0,"",AE10/AE11)</f>
        <v>1</v>
      </c>
      <c r="AF9" s="977">
        <f>IF(AE9=1,2,0)</f>
        <v>2</v>
      </c>
      <c r="AG9" s="1434"/>
      <c r="AH9" s="167">
        <f t="shared" si="2"/>
        <v>0</v>
      </c>
      <c r="AI9" s="664"/>
      <c r="AJ9" s="167">
        <f>IF(AJ11=0,"",AJ10/AJ11)</f>
        <v>0.8</v>
      </c>
      <c r="AK9" s="621">
        <f>IF(AJ9=1,2,0)</f>
        <v>0</v>
      </c>
      <c r="AL9" s="1449"/>
      <c r="AM9" s="167">
        <f>IF(AM11=0,"",AM10/AM11)</f>
        <v>0.8</v>
      </c>
      <c r="AN9" s="621">
        <f>IF(AM9=1,2,0)</f>
        <v>0</v>
      </c>
      <c r="AO9" s="1437"/>
      <c r="AP9" s="167">
        <f t="shared" si="3"/>
        <v>0</v>
      </c>
      <c r="AQ9" s="664"/>
      <c r="AR9" s="167">
        <f>IF(AR11=0,"",AR10/AR11)</f>
        <v>1</v>
      </c>
      <c r="AS9" s="621">
        <f>IF(AR9=1,2,0)</f>
        <v>2</v>
      </c>
      <c r="AT9" s="1449"/>
      <c r="AU9" s="167">
        <f>IF(AU11=0,"",AU10/AU11)</f>
        <v>1</v>
      </c>
      <c r="AV9" s="621">
        <f>IF(AU9=1,2,0)</f>
        <v>2</v>
      </c>
      <c r="AW9" s="1437"/>
      <c r="AX9" s="167">
        <f t="shared" si="4"/>
        <v>0</v>
      </c>
      <c r="AY9" s="664"/>
      <c r="AZ9" s="167">
        <f>IF(AZ11=0,"",AZ10/AZ11)</f>
        <v>1</v>
      </c>
      <c r="BA9" s="621">
        <f>IF(AZ9=1,2,0)</f>
        <v>2</v>
      </c>
      <c r="BB9" s="1449"/>
      <c r="BC9" s="167">
        <f>IF(BC11=0,"",BC10/BC11)</f>
        <v>1</v>
      </c>
      <c r="BD9" s="621">
        <f>IF(BC9=1,2,0)</f>
        <v>2</v>
      </c>
      <c r="BE9" s="1437"/>
      <c r="BF9" s="167">
        <f t="shared" si="5"/>
        <v>0</v>
      </c>
      <c r="BG9" s="664"/>
      <c r="BH9" s="167">
        <f>IF(BH11=0,"",BH10/BH11)</f>
        <v>1</v>
      </c>
      <c r="BI9" s="621">
        <f>IF(BH9=1,2,0)</f>
        <v>2</v>
      </c>
      <c r="BJ9" s="1449"/>
      <c r="BK9" s="167">
        <f>IF(BK11=0,"",BK10/BK11)</f>
        <v>1</v>
      </c>
      <c r="BL9" s="621">
        <f>IF(BK9=1,2,0)</f>
        <v>2</v>
      </c>
      <c r="BM9" s="1437"/>
      <c r="BN9" s="167">
        <f t="shared" si="6"/>
        <v>0</v>
      </c>
      <c r="BO9" s="664"/>
      <c r="BP9" s="167">
        <f>IF(BP11=0,"",BP10/BP11)</f>
        <v>1</v>
      </c>
      <c r="BQ9" s="621">
        <f>IF(BP9=1,2,0)</f>
        <v>2</v>
      </c>
      <c r="BR9" s="1449"/>
      <c r="BS9" s="167">
        <f>IF(BS11=0,"",BS10/BS11)</f>
        <v>1</v>
      </c>
      <c r="BT9" s="621">
        <f>IF(BS9=1,2,0)</f>
        <v>2</v>
      </c>
      <c r="BU9" s="1437"/>
      <c r="BV9" s="167">
        <f t="shared" si="7"/>
        <v>0</v>
      </c>
      <c r="BW9" s="664"/>
      <c r="BX9" s="167">
        <f>IF(BX11=0,"",BX10/BX11)</f>
        <v>1</v>
      </c>
      <c r="BY9" s="621">
        <f>IF(BX9=1,2,0)</f>
        <v>2</v>
      </c>
      <c r="BZ9" s="1449"/>
      <c r="CA9" s="167">
        <f>IF(CA11=0,"",CA10/CA11)</f>
        <v>0.75</v>
      </c>
      <c r="CB9" s="1330">
        <f>IF(CA9=1,2,0)</f>
        <v>0</v>
      </c>
      <c r="CC9" s="1437"/>
      <c r="CD9" s="167">
        <f t="shared" si="8"/>
        <v>-0.25</v>
      </c>
      <c r="CE9" s="664"/>
      <c r="CF9" s="167">
        <f>IF(CF11=0,"",CF10/CF11)</f>
        <v>1</v>
      </c>
      <c r="CG9" s="621">
        <f>IF(CF9=1,2,0)</f>
        <v>2</v>
      </c>
      <c r="CH9" s="1449"/>
      <c r="CI9" s="167">
        <f>IF(CI11=0,"",CI10/CI11)</f>
        <v>1</v>
      </c>
      <c r="CJ9" s="621">
        <f>IF(CI9=1,2,0)</f>
        <v>2</v>
      </c>
      <c r="CK9" s="1437"/>
      <c r="CL9" s="167">
        <f t="shared" si="9"/>
        <v>0</v>
      </c>
      <c r="CM9" s="664"/>
      <c r="CN9" s="167">
        <f>IF(CN11=0,"",CN10/CN11)</f>
        <v>1</v>
      </c>
      <c r="CO9" s="621">
        <f>IF(CN9=1,2,0)</f>
        <v>2</v>
      </c>
      <c r="CP9" s="1449"/>
      <c r="CQ9" s="167">
        <f>IF(CQ11=0,"",CQ10/CQ11)</f>
        <v>1</v>
      </c>
      <c r="CR9" s="618">
        <f>IF(CQ9=1,2,0)</f>
        <v>2</v>
      </c>
      <c r="CS9" s="1434"/>
      <c r="CT9" s="665">
        <f t="shared" si="10"/>
        <v>0</v>
      </c>
      <c r="CX9" s="602">
        <v>1</v>
      </c>
      <c r="CY9" s="602">
        <f t="shared" si="11"/>
        <v>1.6</v>
      </c>
      <c r="CZ9" s="602">
        <v>1</v>
      </c>
      <c r="DA9" s="602">
        <f t="shared" si="12"/>
        <v>1.6</v>
      </c>
      <c r="DB9" s="602">
        <v>0</v>
      </c>
      <c r="DC9" s="602"/>
      <c r="DD9" s="603"/>
      <c r="DE9" s="603"/>
      <c r="DF9" s="603"/>
      <c r="DG9" s="603"/>
      <c r="DH9" s="603"/>
      <c r="DI9" s="603"/>
      <c r="DJ9" s="603"/>
      <c r="DK9" s="603"/>
      <c r="DL9" s="603"/>
      <c r="DM9" s="603"/>
    </row>
    <row r="10" spans="1:117" ht="27.75" customHeight="1">
      <c r="A10" s="1923"/>
      <c r="B10" s="1923"/>
      <c r="C10" s="494">
        <v>3.1</v>
      </c>
      <c r="D10" s="455" t="s">
        <v>1361</v>
      </c>
      <c r="E10" s="480" t="s">
        <v>256</v>
      </c>
      <c r="F10" s="275"/>
      <c r="G10" s="275"/>
      <c r="H10" s="275"/>
      <c r="I10" s="260"/>
      <c r="J10" s="588">
        <f t="shared" si="17"/>
        <v>3.4</v>
      </c>
      <c r="K10" s="586"/>
      <c r="L10" s="588">
        <f t="shared" si="18"/>
        <v>3.6</v>
      </c>
      <c r="M10" s="584"/>
      <c r="N10" s="566">
        <f t="shared" si="13"/>
        <v>0</v>
      </c>
      <c r="O10" s="585">
        <f t="shared" si="0"/>
        <v>0</v>
      </c>
      <c r="P10" s="584">
        <f t="shared" si="14"/>
        <v>0</v>
      </c>
      <c r="Q10" s="958">
        <f t="shared" si="15"/>
        <v>0</v>
      </c>
      <c r="R10" s="959">
        <f t="shared" si="16"/>
        <v>0</v>
      </c>
      <c r="S10" s="664"/>
      <c r="T10" s="1319">
        <v>3</v>
      </c>
      <c r="U10" s="62"/>
      <c r="V10" s="62"/>
      <c r="W10" s="621">
        <v>3</v>
      </c>
      <c r="X10" s="1025"/>
      <c r="Y10" s="1434"/>
      <c r="Z10" s="167">
        <f t="shared" si="1"/>
        <v>0</v>
      </c>
      <c r="AA10" s="664"/>
      <c r="AB10" s="1319">
        <v>4</v>
      </c>
      <c r="AC10" s="621"/>
      <c r="AD10" s="1449"/>
      <c r="AE10" s="621">
        <v>4</v>
      </c>
      <c r="AF10" s="977"/>
      <c r="AG10" s="1434"/>
      <c r="AH10" s="167">
        <f t="shared" si="2"/>
        <v>0</v>
      </c>
      <c r="AI10" s="664"/>
      <c r="AJ10" s="1319">
        <v>4</v>
      </c>
      <c r="AK10" s="621"/>
      <c r="AL10" s="1449"/>
      <c r="AM10" s="621">
        <v>4</v>
      </c>
      <c r="AN10" s="621"/>
      <c r="AO10" s="1437"/>
      <c r="AP10" s="167">
        <f t="shared" si="3"/>
        <v>0</v>
      </c>
      <c r="AQ10" s="664"/>
      <c r="AR10" s="1319">
        <v>2</v>
      </c>
      <c r="AS10" s="621"/>
      <c r="AT10" s="1449"/>
      <c r="AU10" s="621">
        <v>2</v>
      </c>
      <c r="AV10" s="621"/>
      <c r="AW10" s="1437"/>
      <c r="AX10" s="167">
        <f t="shared" si="4"/>
        <v>0</v>
      </c>
      <c r="AY10" s="664"/>
      <c r="AZ10" s="1319">
        <v>5</v>
      </c>
      <c r="BA10" s="621"/>
      <c r="BB10" s="1449"/>
      <c r="BC10" s="621">
        <v>5</v>
      </c>
      <c r="BD10" s="621"/>
      <c r="BE10" s="1437"/>
      <c r="BF10" s="167">
        <f t="shared" si="5"/>
        <v>0</v>
      </c>
      <c r="BG10" s="664"/>
      <c r="BH10" s="1319">
        <v>4</v>
      </c>
      <c r="BI10" s="621"/>
      <c r="BJ10" s="1449"/>
      <c r="BK10" s="621">
        <v>5</v>
      </c>
      <c r="BL10" s="621"/>
      <c r="BM10" s="1437"/>
      <c r="BN10" s="167">
        <f t="shared" si="6"/>
        <v>0.25</v>
      </c>
      <c r="BO10" s="664"/>
      <c r="BP10" s="1319">
        <v>3</v>
      </c>
      <c r="BQ10" s="621"/>
      <c r="BR10" s="1449"/>
      <c r="BS10" s="621">
        <v>3</v>
      </c>
      <c r="BT10" s="621"/>
      <c r="BU10" s="1437"/>
      <c r="BV10" s="167">
        <f t="shared" si="7"/>
        <v>0</v>
      </c>
      <c r="BW10" s="664"/>
      <c r="BX10" s="1319">
        <v>3</v>
      </c>
      <c r="BY10" s="621"/>
      <c r="BZ10" s="1449"/>
      <c r="CA10" s="621">
        <v>3</v>
      </c>
      <c r="CB10" s="621"/>
      <c r="CC10" s="1437"/>
      <c r="CD10" s="167">
        <f t="shared" si="8"/>
        <v>0</v>
      </c>
      <c r="CE10" s="664"/>
      <c r="CF10" s="1319">
        <v>3</v>
      </c>
      <c r="CG10" s="621"/>
      <c r="CH10" s="1449"/>
      <c r="CI10" s="621">
        <v>3</v>
      </c>
      <c r="CJ10" s="621"/>
      <c r="CK10" s="1437"/>
      <c r="CL10" s="167">
        <f t="shared" si="9"/>
        <v>0</v>
      </c>
      <c r="CM10" s="664"/>
      <c r="CN10" s="1319">
        <v>3</v>
      </c>
      <c r="CO10" s="621"/>
      <c r="CP10" s="1449"/>
      <c r="CQ10" s="621">
        <v>4</v>
      </c>
      <c r="CR10" s="62"/>
      <c r="CS10" s="62"/>
      <c r="CT10" s="665">
        <f t="shared" si="10"/>
        <v>0.33333333333333326</v>
      </c>
      <c r="CX10" s="602"/>
      <c r="CY10" s="602">
        <f t="shared" si="11"/>
        <v>0</v>
      </c>
      <c r="CZ10" s="602"/>
      <c r="DA10" s="602">
        <f t="shared" si="12"/>
        <v>0</v>
      </c>
      <c r="DB10" s="602">
        <v>0</v>
      </c>
      <c r="DC10" s="602"/>
      <c r="DD10" s="603"/>
      <c r="DE10" s="603"/>
      <c r="DF10" s="603"/>
      <c r="DG10" s="603"/>
      <c r="DH10" s="603"/>
      <c r="DI10" s="603"/>
      <c r="DJ10" s="603"/>
      <c r="DK10" s="603"/>
      <c r="DL10" s="603"/>
      <c r="DM10" s="603"/>
    </row>
    <row r="11" spans="1:117" ht="18.75" customHeight="1">
      <c r="A11" s="1903"/>
      <c r="B11" s="1903"/>
      <c r="C11" s="494">
        <v>3.2</v>
      </c>
      <c r="D11" s="625" t="s">
        <v>1362</v>
      </c>
      <c r="E11" s="480" t="s">
        <v>256</v>
      </c>
      <c r="F11" s="275"/>
      <c r="G11" s="260"/>
      <c r="H11" s="275"/>
      <c r="I11" s="260"/>
      <c r="J11" s="588">
        <f t="shared" si="17"/>
        <v>3.5</v>
      </c>
      <c r="K11" s="586"/>
      <c r="L11" s="588">
        <f t="shared" si="18"/>
        <v>3.8</v>
      </c>
      <c r="M11" s="584"/>
      <c r="N11" s="566">
        <f t="shared" si="13"/>
        <v>0</v>
      </c>
      <c r="O11" s="585">
        <f t="shared" si="0"/>
        <v>0</v>
      </c>
      <c r="P11" s="584">
        <f t="shared" si="14"/>
        <v>0</v>
      </c>
      <c r="Q11" s="958">
        <f t="shared" si="15"/>
        <v>0</v>
      </c>
      <c r="R11" s="959">
        <f t="shared" si="16"/>
        <v>0</v>
      </c>
      <c r="S11" s="664"/>
      <c r="T11" s="1319">
        <v>3</v>
      </c>
      <c r="U11" s="62"/>
      <c r="V11" s="62"/>
      <c r="W11" s="621">
        <v>3</v>
      </c>
      <c r="X11" s="1025"/>
      <c r="Y11" s="1434"/>
      <c r="Z11" s="167">
        <f t="shared" si="1"/>
        <v>0</v>
      </c>
      <c r="AA11" s="664"/>
      <c r="AB11" s="1319">
        <v>4</v>
      </c>
      <c r="AC11" s="621"/>
      <c r="AD11" s="1449"/>
      <c r="AE11" s="621">
        <v>4</v>
      </c>
      <c r="AF11" s="977"/>
      <c r="AG11" s="1434"/>
      <c r="AH11" s="167">
        <f t="shared" si="2"/>
        <v>0</v>
      </c>
      <c r="AI11" s="664"/>
      <c r="AJ11" s="1319">
        <v>5</v>
      </c>
      <c r="AK11" s="621"/>
      <c r="AL11" s="1449"/>
      <c r="AM11" s="621">
        <v>5</v>
      </c>
      <c r="AN11" s="621"/>
      <c r="AO11" s="1437"/>
      <c r="AP11" s="167">
        <f t="shared" si="3"/>
        <v>0</v>
      </c>
      <c r="AQ11" s="664"/>
      <c r="AR11" s="1319">
        <v>2</v>
      </c>
      <c r="AS11" s="621"/>
      <c r="AT11" s="1449"/>
      <c r="AU11" s="621">
        <v>2</v>
      </c>
      <c r="AV11" s="621"/>
      <c r="AW11" s="1437"/>
      <c r="AX11" s="167">
        <f t="shared" si="4"/>
        <v>0</v>
      </c>
      <c r="AY11" s="664"/>
      <c r="AZ11" s="1319">
        <v>5</v>
      </c>
      <c r="BA11" s="621"/>
      <c r="BB11" s="1449"/>
      <c r="BC11" s="621">
        <v>5</v>
      </c>
      <c r="BD11" s="621"/>
      <c r="BE11" s="1437"/>
      <c r="BF11" s="167">
        <f t="shared" si="5"/>
        <v>0</v>
      </c>
      <c r="BG11" s="664"/>
      <c r="BH11" s="1319">
        <v>4</v>
      </c>
      <c r="BI11" s="621"/>
      <c r="BJ11" s="1449"/>
      <c r="BK11" s="621">
        <v>5</v>
      </c>
      <c r="BL11" s="621"/>
      <c r="BM11" s="1437"/>
      <c r="BN11" s="167">
        <f t="shared" si="6"/>
        <v>0.25</v>
      </c>
      <c r="BO11" s="664"/>
      <c r="BP11" s="1319">
        <v>3</v>
      </c>
      <c r="BQ11" s="621"/>
      <c r="BR11" s="1449"/>
      <c r="BS11" s="621">
        <v>3</v>
      </c>
      <c r="BT11" s="621"/>
      <c r="BU11" s="1437"/>
      <c r="BV11" s="167">
        <f t="shared" si="7"/>
        <v>0</v>
      </c>
      <c r="BW11" s="664"/>
      <c r="BX11" s="1319">
        <v>3</v>
      </c>
      <c r="BY11" s="621"/>
      <c r="BZ11" s="1449"/>
      <c r="CA11" s="1338">
        <v>4</v>
      </c>
      <c r="CB11" s="621"/>
      <c r="CC11" s="1437"/>
      <c r="CD11" s="167">
        <f t="shared" si="8"/>
        <v>0.33333333333333326</v>
      </c>
      <c r="CE11" s="664"/>
      <c r="CF11" s="1319">
        <v>3</v>
      </c>
      <c r="CG11" s="621"/>
      <c r="CH11" s="1449"/>
      <c r="CI11" s="621">
        <v>3</v>
      </c>
      <c r="CJ11" s="621"/>
      <c r="CK11" s="1437"/>
      <c r="CL11" s="167">
        <f t="shared" si="9"/>
        <v>0</v>
      </c>
      <c r="CM11" s="664"/>
      <c r="CN11" s="1319">
        <v>3</v>
      </c>
      <c r="CO11" s="621"/>
      <c r="CP11" s="1449"/>
      <c r="CQ11" s="621">
        <v>4</v>
      </c>
      <c r="CR11" s="62"/>
      <c r="CS11" s="62"/>
      <c r="CT11" s="665">
        <f t="shared" si="10"/>
        <v>0.33333333333333326</v>
      </c>
      <c r="CX11" s="602"/>
      <c r="CY11" s="602">
        <f t="shared" si="11"/>
        <v>0</v>
      </c>
      <c r="CZ11" s="602"/>
      <c r="DA11" s="602">
        <f t="shared" si="12"/>
        <v>0</v>
      </c>
      <c r="DB11" s="602">
        <v>0</v>
      </c>
      <c r="DC11" s="602"/>
      <c r="DD11" s="603"/>
      <c r="DE11" s="603"/>
      <c r="DF11" s="603"/>
      <c r="DG11" s="603"/>
      <c r="DH11" s="603"/>
      <c r="DI11" s="603"/>
      <c r="DJ11" s="603"/>
      <c r="DK11" s="603"/>
      <c r="DL11" s="603"/>
      <c r="DM11" s="603"/>
    </row>
    <row r="12" spans="1:117" ht="21.75" customHeight="1">
      <c r="A12" s="1943" t="s">
        <v>1363</v>
      </c>
      <c r="B12" s="1943" t="s">
        <v>1364</v>
      </c>
      <c r="C12" s="284">
        <v>4</v>
      </c>
      <c r="D12" s="79" t="s">
        <v>53</v>
      </c>
      <c r="E12" s="472"/>
      <c r="F12" s="61"/>
      <c r="G12" s="260" t="s">
        <v>478</v>
      </c>
      <c r="H12" s="61" t="s">
        <v>284</v>
      </c>
      <c r="I12" s="622">
        <v>2</v>
      </c>
      <c r="J12" s="588">
        <f t="shared" si="17"/>
        <v>16.723333333333333</v>
      </c>
      <c r="K12" s="586">
        <f>AVERAGE(CO12,CG12,BY12,BQ12,BI12,BA12,AS12,AK12,AC12,U12)</f>
        <v>2</v>
      </c>
      <c r="L12" s="588">
        <f t="shared" si="18"/>
        <v>17.964999999999996</v>
      </c>
      <c r="M12" s="584">
        <f>AVERAGE(CR12,CJ12,CB12,BT12,BL12,BD12,AV12,AN12,AF12,X12)</f>
        <v>2</v>
      </c>
      <c r="N12" s="566">
        <f t="shared" si="13"/>
        <v>0</v>
      </c>
      <c r="O12" s="585">
        <f t="shared" si="0"/>
        <v>0</v>
      </c>
      <c r="P12" s="584">
        <f t="shared" si="14"/>
        <v>0</v>
      </c>
      <c r="Q12" s="958">
        <f t="shared" si="15"/>
        <v>0</v>
      </c>
      <c r="R12" s="959">
        <f t="shared" si="16"/>
        <v>0</v>
      </c>
      <c r="S12" s="664"/>
      <c r="T12" s="64">
        <f>IF(SUM(T14:T15)=0,"",T13/SUM(T14:T15))</f>
        <v>22</v>
      </c>
      <c r="U12" s="618">
        <f>IF(T12&gt;=2,2,0)</f>
        <v>2</v>
      </c>
      <c r="V12" s="1446"/>
      <c r="W12" s="64">
        <f>IF(SUM(W14:W15)=0,"",W13/SUM(W14:W15))</f>
        <v>25.666666666666668</v>
      </c>
      <c r="X12" s="1025">
        <f>IF(W12&gt;=2,2,0)</f>
        <v>2</v>
      </c>
      <c r="Y12" s="1434"/>
      <c r="Z12" s="167">
        <f t="shared" si="1"/>
        <v>0.16666666666666674</v>
      </c>
      <c r="AA12" s="664"/>
      <c r="AB12" s="64">
        <f>IF(SUM(AB14:AB15)=0,"",AB13/SUM(AB14:AB15))</f>
        <v>12.6</v>
      </c>
      <c r="AC12" s="621">
        <f>IF(AB12&gt;=2,2,0)</f>
        <v>2</v>
      </c>
      <c r="AD12" s="1449"/>
      <c r="AE12" s="64">
        <f>IF(SUM(AE14:AE15)=0,"",AE13/SUM(AE14:AE15))</f>
        <v>19.5</v>
      </c>
      <c r="AF12" s="977">
        <f>IF(AE12&gt;=2,2,0)</f>
        <v>2</v>
      </c>
      <c r="AG12" s="1434"/>
      <c r="AH12" s="167">
        <f t="shared" si="2"/>
        <v>0.54761904761904767</v>
      </c>
      <c r="AI12" s="664"/>
      <c r="AJ12" s="64">
        <f>IF(SUM(AJ14:AJ15)=0,"",AJ13/SUM(AJ14:AJ15))</f>
        <v>13.8</v>
      </c>
      <c r="AK12" s="621">
        <f>IF(AJ12&gt;=2,2,0)</f>
        <v>2</v>
      </c>
      <c r="AL12" s="1449"/>
      <c r="AM12" s="64">
        <f>IF(SUM(AM14:AM15)=0,"",AM13/SUM(AM14:AM15))</f>
        <v>15.6</v>
      </c>
      <c r="AN12" s="621">
        <f>IF(AM12&gt;=2,2,0)</f>
        <v>2</v>
      </c>
      <c r="AO12" s="1437"/>
      <c r="AP12" s="167">
        <f t="shared" si="3"/>
        <v>0.13043478260869557</v>
      </c>
      <c r="AQ12" s="664"/>
      <c r="AR12" s="64">
        <f>IF(SUM(AR14:AR15)=0,"",AR13/SUM(AR14:AR15))</f>
        <v>19</v>
      </c>
      <c r="AS12" s="621">
        <f>IF(AR12&gt;=2,2,0)</f>
        <v>2</v>
      </c>
      <c r="AT12" s="1449"/>
      <c r="AU12" s="64">
        <f>IF(SUM(AU14:AU15)=0,"",AU13/SUM(AU14:AU15))</f>
        <v>24</v>
      </c>
      <c r="AV12" s="621">
        <f>IF(AU12&gt;=2,2,0)</f>
        <v>2</v>
      </c>
      <c r="AW12" s="1437"/>
      <c r="AX12" s="167">
        <f t="shared" si="4"/>
        <v>0.26315789473684204</v>
      </c>
      <c r="AY12" s="664"/>
      <c r="AZ12" s="64">
        <f>IF(SUM(AZ14:AZ15)=0,"",AZ13/SUM(AZ14:AZ15))</f>
        <v>10.6</v>
      </c>
      <c r="BA12" s="621">
        <f>IF(AZ12&gt;=2,2,0)</f>
        <v>2</v>
      </c>
      <c r="BB12" s="1449"/>
      <c r="BC12" s="64">
        <f>IF(SUM(BC14:BC15)=0,"",BC13/SUM(BC14:BC15))</f>
        <v>10.199999999999999</v>
      </c>
      <c r="BD12" s="621">
        <f>IF(BC12&gt;=2,2,0)</f>
        <v>2</v>
      </c>
      <c r="BE12" s="1437"/>
      <c r="BF12" s="167">
        <f t="shared" si="5"/>
        <v>-3.7735849056603765E-2</v>
      </c>
      <c r="BG12" s="664"/>
      <c r="BH12" s="64">
        <f>IF(SUM(BH14:BH15)=0,"",BH13/SUM(BH14:BH15))</f>
        <v>21.4</v>
      </c>
      <c r="BI12" s="621">
        <f>IF(BH12&gt;=2,2,0)</f>
        <v>2</v>
      </c>
      <c r="BJ12" s="1449"/>
      <c r="BK12" s="64">
        <f>IF(SUM(BK14:BK15)=0,"",BK13/SUM(BK14:BK15))</f>
        <v>15.6</v>
      </c>
      <c r="BL12" s="621">
        <f>IF(BK12&gt;=2,2,0)</f>
        <v>2</v>
      </c>
      <c r="BM12" s="1437"/>
      <c r="BN12" s="167">
        <f t="shared" si="6"/>
        <v>-0.27102803738317749</v>
      </c>
      <c r="BO12" s="664"/>
      <c r="BP12" s="64">
        <f>IF(SUM(BP14:BP15)=0,"",BP13/SUM(BP14:BP15))</f>
        <v>15.666666666666666</v>
      </c>
      <c r="BQ12" s="621">
        <f>IF(BP12&gt;=2,2,0)</f>
        <v>2</v>
      </c>
      <c r="BR12" s="1449"/>
      <c r="BS12" s="64">
        <f>IF(SUM(BS14:BS15)=0,"",BS13/SUM(BS14:BS15))</f>
        <v>17.333333333333332</v>
      </c>
      <c r="BT12" s="621">
        <f>IF(BS12&gt;=2,2,0)</f>
        <v>2</v>
      </c>
      <c r="BU12" s="1437"/>
      <c r="BV12" s="167">
        <f t="shared" si="7"/>
        <v>0.1063829787234043</v>
      </c>
      <c r="BW12" s="664"/>
      <c r="BX12" s="64">
        <f>IF(SUM(BX14:BX15)=0,"",BX13/SUM(BX14:BX15))</f>
        <v>13.5</v>
      </c>
      <c r="BY12" s="621">
        <f>IF(BX12&gt;=2,2,0)</f>
        <v>2</v>
      </c>
      <c r="BZ12" s="1449"/>
      <c r="CA12" s="64">
        <f>IF(SUM(CA14:CA15)=0,"",CA13/SUM(CA14:CA15))</f>
        <v>14.75</v>
      </c>
      <c r="CB12" s="621">
        <f>IF(CA12&gt;=2,2,0)</f>
        <v>2</v>
      </c>
      <c r="CC12" s="1437"/>
      <c r="CD12" s="167">
        <f t="shared" si="8"/>
        <v>9.259259259259256E-2</v>
      </c>
      <c r="CE12" s="664"/>
      <c r="CF12" s="64">
        <f>IF(SUM(CF14:CF15)=0,"",CF13/SUM(CF14:CF15))</f>
        <v>22.333333333333332</v>
      </c>
      <c r="CG12" s="621">
        <f>IF(CF12&gt;=2,2,0)</f>
        <v>2</v>
      </c>
      <c r="CH12" s="1449"/>
      <c r="CI12" s="64">
        <f>IF(SUM(CI14:CI15)=0,"",CI13/SUM(CI14:CI15))</f>
        <v>26</v>
      </c>
      <c r="CJ12" s="621">
        <f>IF(CI12&gt;=2,2,0)</f>
        <v>2</v>
      </c>
      <c r="CK12" s="1437"/>
      <c r="CL12" s="167">
        <f t="shared" si="9"/>
        <v>0.16417910447761197</v>
      </c>
      <c r="CM12" s="664"/>
      <c r="CN12" s="64">
        <f>IF(SUM(CN14:CN15)=0,"",CN13/SUM(CN14:CN15))</f>
        <v>16.333333333333332</v>
      </c>
      <c r="CO12" s="621">
        <f>IF(CN12&gt;=2,2,0)</f>
        <v>2</v>
      </c>
      <c r="CP12" s="1449"/>
      <c r="CQ12" s="64">
        <f>IF(SUM(CQ14:CQ15)=0,"",CQ13/SUM(CQ14:CQ15))</f>
        <v>11</v>
      </c>
      <c r="CR12" s="618">
        <f>IF(CQ12&gt;=2,2,0)</f>
        <v>2</v>
      </c>
      <c r="CS12" s="1434"/>
      <c r="CT12" s="665">
        <f t="shared" si="10"/>
        <v>-0.32653061224489788</v>
      </c>
      <c r="CX12" s="602">
        <v>1</v>
      </c>
      <c r="CY12" s="602">
        <f t="shared" si="11"/>
        <v>2</v>
      </c>
      <c r="CZ12" s="602">
        <v>1</v>
      </c>
      <c r="DA12" s="602">
        <f t="shared" si="12"/>
        <v>2</v>
      </c>
      <c r="DB12" s="602">
        <v>0</v>
      </c>
      <c r="DC12" s="602"/>
      <c r="DD12" s="603"/>
      <c r="DE12" s="603"/>
      <c r="DF12" s="603"/>
      <c r="DG12" s="603"/>
      <c r="DH12" s="603"/>
      <c r="DI12" s="603"/>
      <c r="DJ12" s="603"/>
      <c r="DK12" s="603"/>
      <c r="DL12" s="603"/>
      <c r="DM12" s="603"/>
    </row>
    <row r="13" spans="1:117" ht="20.25" customHeight="1">
      <c r="A13" s="1923"/>
      <c r="B13" s="1923"/>
      <c r="C13" s="494">
        <v>4.0999999999999996</v>
      </c>
      <c r="D13" s="625" t="s">
        <v>237</v>
      </c>
      <c r="E13" s="480" t="s">
        <v>256</v>
      </c>
      <c r="F13" s="275"/>
      <c r="G13" s="260"/>
      <c r="H13" s="275"/>
      <c r="I13" s="260"/>
      <c r="J13" s="588">
        <f t="shared" si="17"/>
        <v>61.3</v>
      </c>
      <c r="K13" s="586"/>
      <c r="L13" s="588">
        <f t="shared" si="18"/>
        <v>64.3</v>
      </c>
      <c r="M13" s="584"/>
      <c r="N13" s="566">
        <f t="shared" si="13"/>
        <v>0</v>
      </c>
      <c r="O13" s="585">
        <f t="shared" si="0"/>
        <v>0</v>
      </c>
      <c r="P13" s="584">
        <f t="shared" si="14"/>
        <v>0</v>
      </c>
      <c r="Q13" s="958">
        <f t="shared" si="15"/>
        <v>0</v>
      </c>
      <c r="R13" s="959">
        <f t="shared" si="16"/>
        <v>0</v>
      </c>
      <c r="S13" s="664"/>
      <c r="T13" s="1319">
        <v>66</v>
      </c>
      <c r="U13" s="62"/>
      <c r="V13" s="62"/>
      <c r="W13" s="621">
        <v>77</v>
      </c>
      <c r="X13" s="1025"/>
      <c r="Y13" s="1434"/>
      <c r="Z13" s="167">
        <f t="shared" si="1"/>
        <v>0.16666666666666674</v>
      </c>
      <c r="AA13" s="664"/>
      <c r="AB13" s="1319">
        <v>63</v>
      </c>
      <c r="AC13" s="621"/>
      <c r="AD13" s="1449"/>
      <c r="AE13" s="621">
        <v>78</v>
      </c>
      <c r="AF13" s="977"/>
      <c r="AG13" s="1434"/>
      <c r="AH13" s="167">
        <f t="shared" si="2"/>
        <v>0.23809523809523814</v>
      </c>
      <c r="AI13" s="664"/>
      <c r="AJ13" s="1319">
        <v>69</v>
      </c>
      <c r="AK13" s="621"/>
      <c r="AL13" s="1449"/>
      <c r="AM13" s="621">
        <v>78</v>
      </c>
      <c r="AN13" s="621"/>
      <c r="AO13" s="1437"/>
      <c r="AP13" s="167">
        <f t="shared" si="3"/>
        <v>0.13043478260869557</v>
      </c>
      <c r="AQ13" s="664"/>
      <c r="AR13" s="1319">
        <v>38</v>
      </c>
      <c r="AS13" s="621"/>
      <c r="AT13" s="1449"/>
      <c r="AU13" s="621">
        <v>48</v>
      </c>
      <c r="AV13" s="621"/>
      <c r="AW13" s="1437"/>
      <c r="AX13" s="167">
        <f t="shared" si="4"/>
        <v>0.26315789473684204</v>
      </c>
      <c r="AY13" s="664"/>
      <c r="AZ13" s="1319">
        <v>53</v>
      </c>
      <c r="BA13" s="621"/>
      <c r="BB13" s="1449"/>
      <c r="BC13" s="621">
        <v>51</v>
      </c>
      <c r="BD13" s="621"/>
      <c r="BE13" s="1437"/>
      <c r="BF13" s="167">
        <f t="shared" si="5"/>
        <v>-3.7735849056603765E-2</v>
      </c>
      <c r="BG13" s="664"/>
      <c r="BH13" s="1319">
        <v>107</v>
      </c>
      <c r="BI13" s="621"/>
      <c r="BJ13" s="1449"/>
      <c r="BK13" s="621">
        <v>78</v>
      </c>
      <c r="BL13" s="621"/>
      <c r="BM13" s="1437"/>
      <c r="BN13" s="167">
        <f t="shared" si="6"/>
        <v>-0.2710280373831776</v>
      </c>
      <c r="BO13" s="664"/>
      <c r="BP13" s="1319">
        <v>47</v>
      </c>
      <c r="BQ13" s="621"/>
      <c r="BR13" s="1449"/>
      <c r="BS13" s="621">
        <v>52</v>
      </c>
      <c r="BT13" s="621"/>
      <c r="BU13" s="1437"/>
      <c r="BV13" s="167">
        <f t="shared" si="7"/>
        <v>0.1063829787234043</v>
      </c>
      <c r="BW13" s="664"/>
      <c r="BX13" s="1319">
        <v>54</v>
      </c>
      <c r="BY13" s="621"/>
      <c r="BZ13" s="1449"/>
      <c r="CA13" s="621">
        <v>59</v>
      </c>
      <c r="CB13" s="621"/>
      <c r="CC13" s="1437"/>
      <c r="CD13" s="167">
        <f t="shared" si="8"/>
        <v>9.259259259259256E-2</v>
      </c>
      <c r="CE13" s="664"/>
      <c r="CF13" s="1319">
        <v>67</v>
      </c>
      <c r="CG13" s="621"/>
      <c r="CH13" s="1449"/>
      <c r="CI13" s="621">
        <v>78</v>
      </c>
      <c r="CJ13" s="621"/>
      <c r="CK13" s="1437"/>
      <c r="CL13" s="167">
        <f t="shared" si="9"/>
        <v>0.16417910447761197</v>
      </c>
      <c r="CM13" s="664"/>
      <c r="CN13" s="1319">
        <v>49</v>
      </c>
      <c r="CO13" s="621"/>
      <c r="CP13" s="1449"/>
      <c r="CQ13" s="621">
        <v>44</v>
      </c>
      <c r="CR13" s="62"/>
      <c r="CS13" s="62"/>
      <c r="CT13" s="665">
        <f t="shared" si="10"/>
        <v>-0.10204081632653061</v>
      </c>
      <c r="CX13" s="602"/>
      <c r="CY13" s="602">
        <f t="shared" si="11"/>
        <v>0</v>
      </c>
      <c r="CZ13" s="602"/>
      <c r="DA13" s="602">
        <f t="shared" si="12"/>
        <v>0</v>
      </c>
      <c r="DB13" s="602">
        <v>0</v>
      </c>
      <c r="DC13" s="602"/>
      <c r="DD13" s="603"/>
      <c r="DE13" s="603"/>
      <c r="DF13" s="603"/>
      <c r="DG13" s="603"/>
      <c r="DH13" s="603"/>
      <c r="DI13" s="603"/>
      <c r="DJ13" s="603"/>
      <c r="DK13" s="603"/>
      <c r="DL13" s="603"/>
      <c r="DM13" s="603"/>
    </row>
    <row r="14" spans="1:117" ht="15.75" customHeight="1">
      <c r="A14" s="1903"/>
      <c r="B14" s="1903"/>
      <c r="C14" s="494">
        <v>4.2</v>
      </c>
      <c r="D14" s="625" t="s">
        <v>1365</v>
      </c>
      <c r="E14" s="480" t="s">
        <v>256</v>
      </c>
      <c r="F14" s="275"/>
      <c r="G14" s="260"/>
      <c r="H14" s="275"/>
      <c r="I14" s="260"/>
      <c r="J14" s="588">
        <f t="shared" si="17"/>
        <v>3.8</v>
      </c>
      <c r="K14" s="586"/>
      <c r="L14" s="588">
        <f t="shared" si="18"/>
        <v>3.8</v>
      </c>
      <c r="M14" s="584"/>
      <c r="N14" s="566">
        <f t="shared" si="13"/>
        <v>0</v>
      </c>
      <c r="O14" s="585">
        <f t="shared" si="0"/>
        <v>0</v>
      </c>
      <c r="P14" s="584">
        <f t="shared" si="14"/>
        <v>0</v>
      </c>
      <c r="Q14" s="958">
        <f t="shared" si="15"/>
        <v>0</v>
      </c>
      <c r="R14" s="959">
        <f t="shared" si="16"/>
        <v>0</v>
      </c>
      <c r="S14" s="664"/>
      <c r="T14" s="1319">
        <v>3</v>
      </c>
      <c r="U14" s="62"/>
      <c r="V14" s="62"/>
      <c r="W14" s="621">
        <v>3</v>
      </c>
      <c r="X14" s="1025"/>
      <c r="Y14" s="1434"/>
      <c r="Z14" s="167">
        <f t="shared" si="1"/>
        <v>0</v>
      </c>
      <c r="AA14" s="664"/>
      <c r="AB14" s="1319">
        <v>5</v>
      </c>
      <c r="AC14" s="621"/>
      <c r="AD14" s="1449"/>
      <c r="AE14" s="621">
        <v>4</v>
      </c>
      <c r="AF14" s="977"/>
      <c r="AG14" s="1434"/>
      <c r="AH14" s="167">
        <f t="shared" si="2"/>
        <v>-0.19999999999999996</v>
      </c>
      <c r="AI14" s="664"/>
      <c r="AJ14" s="1319">
        <v>5</v>
      </c>
      <c r="AK14" s="621"/>
      <c r="AL14" s="1449"/>
      <c r="AM14" s="621">
        <v>5</v>
      </c>
      <c r="AN14" s="621"/>
      <c r="AO14" s="1437"/>
      <c r="AP14" s="167">
        <f t="shared" si="3"/>
        <v>0</v>
      </c>
      <c r="AQ14" s="664"/>
      <c r="AR14" s="1319">
        <v>2</v>
      </c>
      <c r="AS14" s="621"/>
      <c r="AT14" s="1449"/>
      <c r="AU14" s="621">
        <v>2</v>
      </c>
      <c r="AV14" s="621"/>
      <c r="AW14" s="1437"/>
      <c r="AX14" s="167">
        <f t="shared" si="4"/>
        <v>0</v>
      </c>
      <c r="AY14" s="664"/>
      <c r="AZ14" s="1319">
        <v>5</v>
      </c>
      <c r="BA14" s="621"/>
      <c r="BB14" s="1449"/>
      <c r="BC14" s="621">
        <v>5</v>
      </c>
      <c r="BD14" s="621"/>
      <c r="BE14" s="1437"/>
      <c r="BF14" s="167">
        <f t="shared" si="5"/>
        <v>0</v>
      </c>
      <c r="BG14" s="664"/>
      <c r="BH14" s="1319">
        <v>5</v>
      </c>
      <c r="BI14" s="621"/>
      <c r="BJ14" s="1449"/>
      <c r="BK14" s="621">
        <v>5</v>
      </c>
      <c r="BL14" s="621"/>
      <c r="BM14" s="1437"/>
      <c r="BN14" s="167">
        <f t="shared" si="6"/>
        <v>0</v>
      </c>
      <c r="BO14" s="664"/>
      <c r="BP14" s="1319">
        <v>3</v>
      </c>
      <c r="BQ14" s="621"/>
      <c r="BR14" s="1449"/>
      <c r="BS14" s="621">
        <v>3</v>
      </c>
      <c r="BT14" s="621"/>
      <c r="BU14" s="1437"/>
      <c r="BV14" s="167">
        <f t="shared" si="7"/>
        <v>0</v>
      </c>
      <c r="BW14" s="664"/>
      <c r="BX14" s="1319">
        <v>4</v>
      </c>
      <c r="BY14" s="621"/>
      <c r="BZ14" s="1449"/>
      <c r="CA14" s="621">
        <v>4</v>
      </c>
      <c r="CB14" s="621"/>
      <c r="CC14" s="1437"/>
      <c r="CD14" s="167">
        <f t="shared" si="8"/>
        <v>0</v>
      </c>
      <c r="CE14" s="664"/>
      <c r="CF14" s="1319">
        <v>3</v>
      </c>
      <c r="CG14" s="621"/>
      <c r="CH14" s="1449"/>
      <c r="CI14" s="621">
        <v>3</v>
      </c>
      <c r="CJ14" s="621"/>
      <c r="CK14" s="1437"/>
      <c r="CL14" s="167">
        <f t="shared" si="9"/>
        <v>0</v>
      </c>
      <c r="CM14" s="664"/>
      <c r="CN14" s="1319">
        <v>3</v>
      </c>
      <c r="CO14" s="621"/>
      <c r="CP14" s="1449"/>
      <c r="CQ14" s="621">
        <v>4</v>
      </c>
      <c r="CR14" s="62"/>
      <c r="CS14" s="62"/>
      <c r="CT14" s="665">
        <f t="shared" si="10"/>
        <v>0.33333333333333326</v>
      </c>
      <c r="CX14" s="602"/>
      <c r="CY14" s="602">
        <f t="shared" si="11"/>
        <v>0</v>
      </c>
      <c r="CZ14" s="602"/>
      <c r="DA14" s="602">
        <f t="shared" si="12"/>
        <v>0</v>
      </c>
      <c r="DB14" s="602">
        <v>0</v>
      </c>
      <c r="DC14" s="602"/>
      <c r="DD14" s="603"/>
      <c r="DE14" s="603"/>
      <c r="DF14" s="603"/>
      <c r="DG14" s="603"/>
      <c r="DH14" s="603"/>
      <c r="DI14" s="603"/>
      <c r="DJ14" s="603"/>
      <c r="DK14" s="603"/>
      <c r="DL14" s="603"/>
      <c r="DM14" s="603"/>
    </row>
    <row r="15" spans="1:117" ht="18.75" customHeight="1">
      <c r="A15" s="41" t="s">
        <v>1367</v>
      </c>
      <c r="B15" s="41" t="s">
        <v>1368</v>
      </c>
      <c r="C15" s="284">
        <v>5</v>
      </c>
      <c r="D15" s="79" t="s">
        <v>1366</v>
      </c>
      <c r="E15" s="480" t="s">
        <v>256</v>
      </c>
      <c r="F15" s="275"/>
      <c r="G15" s="260" t="s">
        <v>474</v>
      </c>
      <c r="H15" s="275" t="s">
        <v>284</v>
      </c>
      <c r="I15" s="622">
        <v>2</v>
      </c>
      <c r="J15" s="625" t="s">
        <v>1369</v>
      </c>
      <c r="K15" s="586">
        <f>AVERAGE(CO15,CG15,BY15,BQ15,BI15,BA15,AS15,AK15,AC15,U15)</f>
        <v>2</v>
      </c>
      <c r="L15" s="625" t="s">
        <v>1369</v>
      </c>
      <c r="M15" s="584">
        <f>AVERAGE(CR15,CJ15,CB15,BT15,BL15,BD15,AV15,AN15,AF15,X15)</f>
        <v>2</v>
      </c>
      <c r="N15" s="566">
        <f t="shared" si="13"/>
        <v>0</v>
      </c>
      <c r="O15" s="585">
        <f t="shared" si="0"/>
        <v>0</v>
      </c>
      <c r="P15" s="584">
        <f t="shared" si="14"/>
        <v>0</v>
      </c>
      <c r="Q15" s="958">
        <f t="shared" si="15"/>
        <v>0</v>
      </c>
      <c r="R15" s="959">
        <f t="shared" si="16"/>
        <v>0</v>
      </c>
      <c r="S15" s="664"/>
      <c r="T15" s="625" t="s">
        <v>1369</v>
      </c>
      <c r="U15" s="618">
        <v>2</v>
      </c>
      <c r="V15" s="1446"/>
      <c r="W15" s="625" t="s">
        <v>1369</v>
      </c>
      <c r="X15" s="1025">
        <v>2</v>
      </c>
      <c r="Y15" s="1434"/>
      <c r="Z15" s="167">
        <f>IF((W15=T15)=TRUE,0,1)</f>
        <v>0</v>
      </c>
      <c r="AA15" s="664"/>
      <c r="AB15" s="625" t="s">
        <v>1369</v>
      </c>
      <c r="AC15" s="621">
        <v>2</v>
      </c>
      <c r="AD15" s="1449"/>
      <c r="AE15" s="625" t="s">
        <v>1369</v>
      </c>
      <c r="AF15" s="977">
        <v>2</v>
      </c>
      <c r="AG15" s="1434"/>
      <c r="AH15" s="167">
        <f>IF((AE15=AB15)=TRUE,0,1)</f>
        <v>0</v>
      </c>
      <c r="AI15" s="664"/>
      <c r="AJ15" s="625" t="s">
        <v>1369</v>
      </c>
      <c r="AK15" s="621">
        <v>2</v>
      </c>
      <c r="AL15" s="1449"/>
      <c r="AM15" s="625" t="s">
        <v>1369</v>
      </c>
      <c r="AN15" s="621">
        <v>2</v>
      </c>
      <c r="AO15" s="1437"/>
      <c r="AP15" s="167">
        <f>IF((AM15=AJ15)=TRUE,0,1)</f>
        <v>0</v>
      </c>
      <c r="AQ15" s="664"/>
      <c r="AR15" s="625" t="s">
        <v>1369</v>
      </c>
      <c r="AS15" s="621">
        <v>2</v>
      </c>
      <c r="AT15" s="1449"/>
      <c r="AU15" s="625" t="s">
        <v>1369</v>
      </c>
      <c r="AV15" s="621">
        <v>2</v>
      </c>
      <c r="AW15" s="1437"/>
      <c r="AX15" s="167">
        <f>IF((AU15=AR15)=TRUE,0,1)</f>
        <v>0</v>
      </c>
      <c r="AY15" s="664"/>
      <c r="AZ15" s="625" t="s">
        <v>1369</v>
      </c>
      <c r="BA15" s="621">
        <v>2</v>
      </c>
      <c r="BB15" s="1449"/>
      <c r="BC15" s="625" t="s">
        <v>1369</v>
      </c>
      <c r="BD15" s="621">
        <v>2</v>
      </c>
      <c r="BE15" s="1437"/>
      <c r="BF15" s="167">
        <f>IF((BC15=AZ15)=TRUE,0,1)</f>
        <v>0</v>
      </c>
      <c r="BG15" s="664"/>
      <c r="BH15" s="625" t="s">
        <v>1369</v>
      </c>
      <c r="BI15" s="621">
        <v>2</v>
      </c>
      <c r="BJ15" s="1449"/>
      <c r="BK15" s="625" t="s">
        <v>1369</v>
      </c>
      <c r="BL15" s="621">
        <v>2</v>
      </c>
      <c r="BM15" s="1437"/>
      <c r="BN15" s="167">
        <f>IF((BK15=BH15)=TRUE,0,1)</f>
        <v>0</v>
      </c>
      <c r="BO15" s="664"/>
      <c r="BP15" s="625" t="s">
        <v>1369</v>
      </c>
      <c r="BQ15" s="621">
        <v>2</v>
      </c>
      <c r="BR15" s="1449"/>
      <c r="BS15" s="625" t="s">
        <v>1369</v>
      </c>
      <c r="BT15" s="621">
        <v>2</v>
      </c>
      <c r="BU15" s="1437"/>
      <c r="BV15" s="167">
        <f>IF((BS15=BP15)=TRUE,0,1)</f>
        <v>0</v>
      </c>
      <c r="BW15" s="664"/>
      <c r="BX15" s="625" t="s">
        <v>1369</v>
      </c>
      <c r="BY15" s="621">
        <v>2</v>
      </c>
      <c r="BZ15" s="1449"/>
      <c r="CA15" s="625" t="s">
        <v>1369</v>
      </c>
      <c r="CB15" s="621">
        <v>2</v>
      </c>
      <c r="CC15" s="1437"/>
      <c r="CD15" s="167">
        <f>IF((CA15=BX15)=TRUE,0,1)</f>
        <v>0</v>
      </c>
      <c r="CE15" s="664"/>
      <c r="CF15" s="625" t="s">
        <v>1369</v>
      </c>
      <c r="CG15" s="621">
        <v>2</v>
      </c>
      <c r="CH15" s="1449"/>
      <c r="CI15" s="625" t="s">
        <v>1369</v>
      </c>
      <c r="CJ15" s="621">
        <v>2</v>
      </c>
      <c r="CK15" s="1437"/>
      <c r="CL15" s="167">
        <f>IF((CI15=CF15)=TRUE,0,1)</f>
        <v>0</v>
      </c>
      <c r="CM15" s="664"/>
      <c r="CN15" s="625" t="s">
        <v>1369</v>
      </c>
      <c r="CO15" s="621">
        <v>2</v>
      </c>
      <c r="CP15" s="1449"/>
      <c r="CQ15" s="625" t="s">
        <v>1369</v>
      </c>
      <c r="CR15" s="618">
        <v>2</v>
      </c>
      <c r="CS15" s="1434"/>
      <c r="CT15" s="665">
        <f>IF((CQ15=CN15)=TRUE,0,1)</f>
        <v>0</v>
      </c>
      <c r="CX15" s="602">
        <v>1</v>
      </c>
      <c r="CY15" s="602">
        <f t="shared" si="11"/>
        <v>2</v>
      </c>
      <c r="CZ15" s="602"/>
      <c r="DA15" s="602">
        <f t="shared" si="12"/>
        <v>2</v>
      </c>
      <c r="DB15" s="602">
        <v>0</v>
      </c>
      <c r="DC15" s="602"/>
      <c r="DD15" s="603"/>
      <c r="DE15" s="603"/>
      <c r="DF15" s="603"/>
      <c r="DG15" s="603"/>
      <c r="DH15" s="603"/>
      <c r="DI15" s="603"/>
      <c r="DJ15" s="603"/>
      <c r="DK15" s="603"/>
      <c r="DL15" s="603"/>
      <c r="DM15" s="603"/>
    </row>
    <row r="16" spans="1:117" ht="14.25">
      <c r="A16" s="44" t="s">
        <v>1370</v>
      </c>
      <c r="B16" s="44" t="s">
        <v>1371</v>
      </c>
      <c r="C16" s="284">
        <v>6</v>
      </c>
      <c r="D16" s="79" t="s">
        <v>156</v>
      </c>
      <c r="E16" s="480" t="s">
        <v>528</v>
      </c>
      <c r="F16" s="275"/>
      <c r="G16" s="260" t="s">
        <v>474</v>
      </c>
      <c r="H16" s="275" t="s">
        <v>284</v>
      </c>
      <c r="I16" s="622">
        <v>2</v>
      </c>
      <c r="J16" s="625" t="s">
        <v>1372</v>
      </c>
      <c r="K16" s="586">
        <f>AVERAGE(CO16,CG16,BY16,BQ16,BI16,BA16,AS16,AK16,AC16,U16)</f>
        <v>2</v>
      </c>
      <c r="L16" s="625" t="s">
        <v>1372</v>
      </c>
      <c r="M16" s="584">
        <f>AVERAGE(CR16,CJ16,CB16,BT16,BL16,BD16,AV16,AN16,AF16,X16)</f>
        <v>2</v>
      </c>
      <c r="N16" s="566">
        <f t="shared" si="13"/>
        <v>0</v>
      </c>
      <c r="O16" s="585">
        <f t="shared" si="0"/>
        <v>0</v>
      </c>
      <c r="P16" s="584">
        <f t="shared" si="14"/>
        <v>0</v>
      </c>
      <c r="Q16" s="958">
        <f t="shared" si="15"/>
        <v>0</v>
      </c>
      <c r="R16" s="959">
        <f t="shared" si="16"/>
        <v>0</v>
      </c>
      <c r="S16" s="664"/>
      <c r="T16" s="625" t="s">
        <v>1372</v>
      </c>
      <c r="U16" s="618">
        <v>2</v>
      </c>
      <c r="V16" s="1446"/>
      <c r="W16" s="625" t="s">
        <v>1372</v>
      </c>
      <c r="X16" s="1025">
        <v>2</v>
      </c>
      <c r="Y16" s="1434"/>
      <c r="Z16" s="167">
        <f>IF((W16=T16)=TRUE,0,1)</f>
        <v>0</v>
      </c>
      <c r="AA16" s="664"/>
      <c r="AB16" s="625" t="s">
        <v>1372</v>
      </c>
      <c r="AC16" s="621">
        <v>2</v>
      </c>
      <c r="AD16" s="1449"/>
      <c r="AE16" s="625" t="s">
        <v>1372</v>
      </c>
      <c r="AF16" s="977">
        <v>2</v>
      </c>
      <c r="AG16" s="1434"/>
      <c r="AH16" s="167">
        <f>IF((AE16=AB16)=TRUE,0,1)</f>
        <v>0</v>
      </c>
      <c r="AI16" s="664"/>
      <c r="AJ16" s="625" t="s">
        <v>1372</v>
      </c>
      <c r="AK16" s="621">
        <v>2</v>
      </c>
      <c r="AL16" s="1449"/>
      <c r="AM16" s="625" t="s">
        <v>1372</v>
      </c>
      <c r="AN16" s="621">
        <v>2</v>
      </c>
      <c r="AO16" s="1437"/>
      <c r="AP16" s="167">
        <f>IF((AM16=AJ16)=TRUE,0,1)</f>
        <v>0</v>
      </c>
      <c r="AQ16" s="664"/>
      <c r="AR16" s="625" t="s">
        <v>1372</v>
      </c>
      <c r="AS16" s="621">
        <v>2</v>
      </c>
      <c r="AT16" s="1449"/>
      <c r="AU16" s="625" t="s">
        <v>1372</v>
      </c>
      <c r="AV16" s="621">
        <v>2</v>
      </c>
      <c r="AW16" s="1437"/>
      <c r="AX16" s="167">
        <f>IF((AU16=AR16)=TRUE,0,1)</f>
        <v>0</v>
      </c>
      <c r="AY16" s="664"/>
      <c r="AZ16" s="625" t="s">
        <v>1372</v>
      </c>
      <c r="BA16" s="621">
        <v>2</v>
      </c>
      <c r="BB16" s="1449"/>
      <c r="BC16" s="625" t="s">
        <v>1372</v>
      </c>
      <c r="BD16" s="621">
        <v>2</v>
      </c>
      <c r="BE16" s="1437"/>
      <c r="BF16" s="167">
        <f>IF((BC16=AZ16)=TRUE,0,1)</f>
        <v>0</v>
      </c>
      <c r="BG16" s="664"/>
      <c r="BH16" s="625" t="s">
        <v>1372</v>
      </c>
      <c r="BI16" s="621">
        <v>2</v>
      </c>
      <c r="BJ16" s="1449"/>
      <c r="BK16" s="625" t="s">
        <v>1372</v>
      </c>
      <c r="BL16" s="621">
        <v>2</v>
      </c>
      <c r="BM16" s="1437"/>
      <c r="BN16" s="167">
        <f>IF((BK16=BH16)=TRUE,0,1)</f>
        <v>0</v>
      </c>
      <c r="BO16" s="664"/>
      <c r="BP16" s="625" t="s">
        <v>1372</v>
      </c>
      <c r="BQ16" s="621">
        <v>2</v>
      </c>
      <c r="BR16" s="1449"/>
      <c r="BS16" s="625" t="s">
        <v>1372</v>
      </c>
      <c r="BT16" s="621">
        <v>2</v>
      </c>
      <c r="BU16" s="1437"/>
      <c r="BV16" s="167">
        <f>IF((BS16=BP16)=TRUE,0,1)</f>
        <v>0</v>
      </c>
      <c r="BW16" s="664"/>
      <c r="BX16" s="625" t="s">
        <v>1372</v>
      </c>
      <c r="BY16" s="621">
        <v>2</v>
      </c>
      <c r="BZ16" s="1449"/>
      <c r="CA16" s="625" t="s">
        <v>1372</v>
      </c>
      <c r="CB16" s="621">
        <v>2</v>
      </c>
      <c r="CC16" s="1437"/>
      <c r="CD16" s="167">
        <f>IF((CA16=BX16)=TRUE,0,1)</f>
        <v>0</v>
      </c>
      <c r="CE16" s="664"/>
      <c r="CF16" s="625" t="s">
        <v>1372</v>
      </c>
      <c r="CG16" s="621">
        <v>2</v>
      </c>
      <c r="CH16" s="1449"/>
      <c r="CI16" s="625" t="s">
        <v>1372</v>
      </c>
      <c r="CJ16" s="621">
        <v>2</v>
      </c>
      <c r="CK16" s="1437"/>
      <c r="CL16" s="167">
        <f>IF((CI16=CF16)=TRUE,0,1)</f>
        <v>0</v>
      </c>
      <c r="CM16" s="664"/>
      <c r="CN16" s="625" t="s">
        <v>1372</v>
      </c>
      <c r="CO16" s="621">
        <v>2</v>
      </c>
      <c r="CP16" s="1449"/>
      <c r="CQ16" s="625" t="s">
        <v>1372</v>
      </c>
      <c r="CR16" s="618">
        <v>2</v>
      </c>
      <c r="CS16" s="1434"/>
      <c r="CT16" s="665">
        <f>IF((CQ16=CN16)=TRUE,0,1)</f>
        <v>0</v>
      </c>
      <c r="CX16" s="602">
        <v>1</v>
      </c>
      <c r="CY16" s="602">
        <f t="shared" si="11"/>
        <v>2</v>
      </c>
      <c r="CZ16" s="602">
        <v>1</v>
      </c>
      <c r="DA16" s="602">
        <f t="shared" si="12"/>
        <v>2</v>
      </c>
      <c r="DB16" s="602">
        <v>0</v>
      </c>
      <c r="DC16" s="602"/>
      <c r="DD16" s="603"/>
      <c r="DE16" s="603"/>
      <c r="DF16" s="603"/>
      <c r="DG16" s="603"/>
      <c r="DH16" s="603"/>
      <c r="DI16" s="603"/>
      <c r="DJ16" s="603"/>
      <c r="DK16" s="603"/>
      <c r="DL16" s="603"/>
      <c r="DM16" s="603"/>
    </row>
    <row r="17" spans="1:118" ht="19.5" customHeight="1">
      <c r="A17" s="1930" t="s">
        <v>1373</v>
      </c>
      <c r="B17" s="1930" t="s">
        <v>1374</v>
      </c>
      <c r="C17" s="284">
        <v>7</v>
      </c>
      <c r="D17" s="79" t="s">
        <v>2169</v>
      </c>
      <c r="E17" s="480" t="s">
        <v>256</v>
      </c>
      <c r="F17" s="275"/>
      <c r="G17" s="260" t="s">
        <v>478</v>
      </c>
      <c r="H17" s="275" t="s">
        <v>284</v>
      </c>
      <c r="I17" s="1925">
        <v>4</v>
      </c>
      <c r="J17" s="586">
        <f>AVERAGE(CN17,CF17,BX17,BP17,BH17,AZ17,AR17,AJ17,AB17,T17)</f>
        <v>0</v>
      </c>
      <c r="K17" s="1941">
        <f>AVERAGE(CO17,CG17,BY17,BQ17,BI17,BA17,AS17,AK17,AC17,U17)</f>
        <v>4</v>
      </c>
      <c r="L17" s="588">
        <f>AVERAGE(CQ17,CI17,CA17,BS17,BK17,BC17,AU17,AM17,AE17,W17)</f>
        <v>0</v>
      </c>
      <c r="M17" s="1941">
        <f>AVERAGE(CR17,CJ17,CB17,BT17,BL17,BD17,AV17,AN17,AF17,X17)</f>
        <v>4</v>
      </c>
      <c r="N17" s="566">
        <f t="shared" si="13"/>
        <v>0</v>
      </c>
      <c r="O17" s="585">
        <f t="shared" si="0"/>
        <v>0</v>
      </c>
      <c r="P17" s="584">
        <f t="shared" si="14"/>
        <v>0</v>
      </c>
      <c r="Q17" s="958">
        <f t="shared" si="15"/>
        <v>0</v>
      </c>
      <c r="R17" s="959">
        <f t="shared" si="16"/>
        <v>0</v>
      </c>
      <c r="S17" s="664"/>
      <c r="T17" s="1319">
        <v>0</v>
      </c>
      <c r="U17" s="1874">
        <f>IF(T18&lt;&gt;0,0,(IF(T17=0,4,(IF(T17&lt;=2,2,0)))))</f>
        <v>4</v>
      </c>
      <c r="V17" s="1446"/>
      <c r="W17" s="621">
        <v>0</v>
      </c>
      <c r="X17" s="1874">
        <f>IF(W18&lt;&gt;0,0,(IF(W17=0,4,(IF(W17&lt;=2,2,0)))))</f>
        <v>4</v>
      </c>
      <c r="Y17" s="1434"/>
      <c r="Z17" s="167">
        <f>IF(AND(T17=0,W17&lt;&gt;0),1,IF(AND(T17=0,W17=0),0,W17/T17-1))</f>
        <v>0</v>
      </c>
      <c r="AA17" s="664"/>
      <c r="AB17" s="1319">
        <v>0</v>
      </c>
      <c r="AC17" s="1922">
        <v>4</v>
      </c>
      <c r="AD17" s="1449"/>
      <c r="AE17" s="621">
        <v>0</v>
      </c>
      <c r="AF17" s="1874">
        <f>IF(AE18&lt;&gt;0,0,(IF(AE17=0,4,(IF(AE17&lt;=2,2,0)))))</f>
        <v>4</v>
      </c>
      <c r="AG17" s="1434"/>
      <c r="AH17" s="167">
        <f>IF(AND(AB17=0,AE17&lt;&gt;0),1,IF(AND(AB17=0,AE17=0),0,AE17/AB17-1))</f>
        <v>0</v>
      </c>
      <c r="AI17" s="664"/>
      <c r="AJ17" s="1319">
        <v>0</v>
      </c>
      <c r="AK17" s="1922">
        <f>IF(AJ18&lt;&gt;0,0,(IF(AJ17=0,4,(IF(AJ17&lt;=2,2,0)))))</f>
        <v>4</v>
      </c>
      <c r="AL17" s="1449"/>
      <c r="AM17" s="621">
        <v>0</v>
      </c>
      <c r="AN17" s="1922">
        <f>IF(AM18&lt;&gt;0,0,(IF(AM17=0,4,(IF(AM17&lt;=2,2,0)))))</f>
        <v>4</v>
      </c>
      <c r="AO17" s="1437"/>
      <c r="AP17" s="167">
        <f>IF(AND(AJ17=0,AM17&lt;&gt;0),1,IF(AND(AJ17=0,AM17=0),0,AM17/AJ17-1))</f>
        <v>0</v>
      </c>
      <c r="AQ17" s="664"/>
      <c r="AR17" s="1319">
        <v>0</v>
      </c>
      <c r="AS17" s="1922">
        <v>4</v>
      </c>
      <c r="AT17" s="1449"/>
      <c r="AU17" s="621">
        <v>0</v>
      </c>
      <c r="AV17" s="1922">
        <f>IF(AU18&lt;&gt;0,0,(IF(AU17=0,4,(IF(AU17&lt;=2,2,0)))))</f>
        <v>4</v>
      </c>
      <c r="AW17" s="1437"/>
      <c r="AX17" s="167">
        <f>IF(AND(AR17=0,AU17&lt;&gt;0),1,IF(AND(AR17=0,AU17=0),0,AU17/AR17-1))</f>
        <v>0</v>
      </c>
      <c r="AY17" s="664"/>
      <c r="AZ17" s="1319">
        <v>0</v>
      </c>
      <c r="BA17" s="1922">
        <v>4</v>
      </c>
      <c r="BB17" s="1449"/>
      <c r="BC17" s="621">
        <v>0</v>
      </c>
      <c r="BD17" s="1922">
        <f>IF(BC18&lt;&gt;0,0,(IF(BC17=0,4,(IF(BC17&lt;=2,2,0)))))</f>
        <v>4</v>
      </c>
      <c r="BE17" s="1437"/>
      <c r="BF17" s="167">
        <f>IF(AND(AZ17=0,BC17&lt;&gt;0),1,IF(AND(AZ17=0,BC17=0),0,BC17/AZ17-1))</f>
        <v>0</v>
      </c>
      <c r="BG17" s="664"/>
      <c r="BH17" s="1319">
        <v>0</v>
      </c>
      <c r="BI17" s="1922">
        <v>4</v>
      </c>
      <c r="BJ17" s="1449"/>
      <c r="BK17" s="621">
        <v>0</v>
      </c>
      <c r="BL17" s="1922">
        <f>IF(BK18&lt;&gt;0,0,(IF(BK17=0,4,(IF(BK17&lt;=2,2,0)))))</f>
        <v>4</v>
      </c>
      <c r="BM17" s="1437"/>
      <c r="BN17" s="167">
        <f>IF(AND(BH17=0,BK17&lt;&gt;0),1,IF(AND(BH17=0,BK17=0),0,BK17/BH17-1))</f>
        <v>0</v>
      </c>
      <c r="BO17" s="664"/>
      <c r="BP17" s="1319">
        <v>0</v>
      </c>
      <c r="BQ17" s="1922">
        <v>4</v>
      </c>
      <c r="BR17" s="1449"/>
      <c r="BS17" s="621">
        <v>0</v>
      </c>
      <c r="BT17" s="1922">
        <f>IF(BS18&lt;&gt;0,0,(IF(BS17=0,4,(IF(BS17&lt;=2,2,0)))))</f>
        <v>4</v>
      </c>
      <c r="BU17" s="1437"/>
      <c r="BV17" s="167">
        <f>IF(AND(BP17=0,BS17&lt;&gt;0),1,IF(AND(BP17=0,BS17=0),0,BS17/BP17-1))</f>
        <v>0</v>
      </c>
      <c r="BW17" s="664"/>
      <c r="BX17" s="1319">
        <v>0</v>
      </c>
      <c r="BY17" s="1922">
        <v>4</v>
      </c>
      <c r="BZ17" s="1449"/>
      <c r="CA17" s="621">
        <v>0</v>
      </c>
      <c r="CB17" s="1922">
        <f>IF(CA18&lt;&gt;0,0,(IF(CA17=0,4,(IF(CA17&lt;=2,2,0)))))</f>
        <v>4</v>
      </c>
      <c r="CC17" s="1437"/>
      <c r="CD17" s="167">
        <f>IF(AND(BX17=0,CA17&lt;&gt;0),1,IF(AND(BX17=0,CA17=0),0,CA17/BX17-1))</f>
        <v>0</v>
      </c>
      <c r="CE17" s="664"/>
      <c r="CF17" s="1319">
        <v>0</v>
      </c>
      <c r="CG17" s="1922">
        <v>4</v>
      </c>
      <c r="CH17" s="1449"/>
      <c r="CI17" s="621">
        <v>0</v>
      </c>
      <c r="CJ17" s="1922">
        <f>IF(CI18&lt;&gt;0,0,(IF(CI17=0,4,(IF(CI17&lt;=2,2,0)))))</f>
        <v>4</v>
      </c>
      <c r="CK17" s="1437"/>
      <c r="CL17" s="167">
        <f>IF(AND(CF17=0,CI17&lt;&gt;0),1,IF(AND(CF17=0,CI17=0),0,CI17/CF17-1))</f>
        <v>0</v>
      </c>
      <c r="CM17" s="664"/>
      <c r="CN17" s="1319">
        <v>0</v>
      </c>
      <c r="CO17" s="1922">
        <v>4</v>
      </c>
      <c r="CP17" s="1449"/>
      <c r="CQ17" s="621">
        <v>0</v>
      </c>
      <c r="CR17" s="1874">
        <f>IF(CQ18&lt;&gt;0,0,(IF(CQ17=0,4,(IF(CQ17&lt;=2,2,0)))))</f>
        <v>4</v>
      </c>
      <c r="CS17" s="1434"/>
      <c r="CT17" s="665">
        <f>IF(AND(CN17=0,CQ17&lt;&gt;0),1,IF(AND(CN17=0,CQ17=0),0,CQ17/CN17-1))</f>
        <v>0</v>
      </c>
      <c r="CX17" s="602"/>
      <c r="CY17" s="602">
        <f t="shared" si="11"/>
        <v>4</v>
      </c>
      <c r="CZ17" s="602">
        <v>1</v>
      </c>
      <c r="DA17" s="602">
        <f t="shared" si="12"/>
        <v>4</v>
      </c>
      <c r="DB17" s="602">
        <v>0</v>
      </c>
      <c r="DC17" s="602"/>
      <c r="DD17" s="603"/>
      <c r="DE17" s="603"/>
      <c r="DF17" s="603"/>
      <c r="DG17" s="603"/>
      <c r="DH17" s="603"/>
      <c r="DI17" s="603"/>
      <c r="DJ17" s="603"/>
      <c r="DK17" s="603"/>
      <c r="DL17" s="603"/>
      <c r="DM17" s="603"/>
    </row>
    <row r="18" spans="1:118" ht="27" customHeight="1">
      <c r="A18" s="1923"/>
      <c r="B18" s="1923"/>
      <c r="C18" s="284">
        <v>8</v>
      </c>
      <c r="D18" s="79" t="s">
        <v>1375</v>
      </c>
      <c r="E18" s="480" t="s">
        <v>256</v>
      </c>
      <c r="F18" s="275"/>
      <c r="G18" s="260" t="s">
        <v>478</v>
      </c>
      <c r="H18" s="275" t="s">
        <v>284</v>
      </c>
      <c r="I18" s="1925"/>
      <c r="J18" s="586">
        <f>AVERAGE(CN18,CF18,BX18,BP18,BH18,AZ18,AR18,AJ18,AB18,T18)</f>
        <v>0</v>
      </c>
      <c r="K18" s="1944"/>
      <c r="L18" s="588">
        <f>AVERAGE(CQ18,CI18,CA18,BS18,BK18,BC18,AU18,AM18,AE18,W18)</f>
        <v>0</v>
      </c>
      <c r="M18" s="1944"/>
      <c r="N18" s="566">
        <f t="shared" si="13"/>
        <v>0</v>
      </c>
      <c r="O18" s="585">
        <f t="shared" si="0"/>
        <v>0</v>
      </c>
      <c r="P18" s="584">
        <f t="shared" si="14"/>
        <v>0</v>
      </c>
      <c r="Q18" s="958">
        <f t="shared" si="15"/>
        <v>0</v>
      </c>
      <c r="R18" s="959">
        <f t="shared" si="16"/>
        <v>0</v>
      </c>
      <c r="S18" s="664"/>
      <c r="T18" s="1319">
        <v>0</v>
      </c>
      <c r="U18" s="1874"/>
      <c r="V18" s="1446"/>
      <c r="W18" s="621">
        <v>0</v>
      </c>
      <c r="X18" s="1874"/>
      <c r="Y18" s="1434"/>
      <c r="Z18" s="167">
        <f>IF(AND(T18=0,W18&lt;&gt;0),1,IF(AND(T18=0,W18=0),0,W18/T18-1))</f>
        <v>0</v>
      </c>
      <c r="AA18" s="664"/>
      <c r="AB18" s="1319">
        <v>0</v>
      </c>
      <c r="AC18" s="1922"/>
      <c r="AD18" s="1449"/>
      <c r="AE18" s="621">
        <v>0</v>
      </c>
      <c r="AF18" s="1874"/>
      <c r="AG18" s="1434"/>
      <c r="AH18" s="167">
        <f>IF(AND(AB18=0,AE18&lt;&gt;0),1,IF(AND(AB18=0,AE18=0),0,AE18/AB18-1))</f>
        <v>0</v>
      </c>
      <c r="AI18" s="664"/>
      <c r="AJ18" s="1319">
        <v>0</v>
      </c>
      <c r="AK18" s="1922"/>
      <c r="AL18" s="1449"/>
      <c r="AM18" s="621">
        <v>0</v>
      </c>
      <c r="AN18" s="1922"/>
      <c r="AO18" s="1437"/>
      <c r="AP18" s="167">
        <f>IF(AND(AJ18=0,AM18&lt;&gt;0),1,IF(AND(AJ18=0,AM18=0),0,AM18/AJ18-1))</f>
        <v>0</v>
      </c>
      <c r="AQ18" s="664"/>
      <c r="AR18" s="1319">
        <v>0</v>
      </c>
      <c r="AS18" s="1922"/>
      <c r="AT18" s="1449"/>
      <c r="AU18" s="621">
        <v>0</v>
      </c>
      <c r="AV18" s="1922"/>
      <c r="AW18" s="1437"/>
      <c r="AX18" s="167">
        <f>IF(AND(AR18=0,AU18&lt;&gt;0),1,IF(AND(AR18=0,AU18=0),0,AU18/AR18-1))</f>
        <v>0</v>
      </c>
      <c r="AY18" s="664"/>
      <c r="AZ18" s="1319">
        <v>0</v>
      </c>
      <c r="BA18" s="1922"/>
      <c r="BB18" s="1449"/>
      <c r="BC18" s="621">
        <v>0</v>
      </c>
      <c r="BD18" s="1922"/>
      <c r="BE18" s="1437"/>
      <c r="BF18" s="167">
        <f>IF(AND(AZ18=0,BC18&lt;&gt;0),1,IF(AND(AZ18=0,BC18=0),0,BC18/AZ18-1))</f>
        <v>0</v>
      </c>
      <c r="BG18" s="664"/>
      <c r="BH18" s="1319">
        <v>0</v>
      </c>
      <c r="BI18" s="1922"/>
      <c r="BJ18" s="1449"/>
      <c r="BK18" s="621">
        <v>0</v>
      </c>
      <c r="BL18" s="1922"/>
      <c r="BM18" s="1437"/>
      <c r="BN18" s="167">
        <f>IF(AND(BH18=0,BK18&lt;&gt;0),1,IF(AND(BH18=0,BK18=0),0,BK18/BH18-1))</f>
        <v>0</v>
      </c>
      <c r="BO18" s="664"/>
      <c r="BP18" s="1319">
        <v>0</v>
      </c>
      <c r="BQ18" s="1922"/>
      <c r="BR18" s="1449"/>
      <c r="BS18" s="621">
        <v>0</v>
      </c>
      <c r="BT18" s="1922"/>
      <c r="BU18" s="1437"/>
      <c r="BV18" s="167">
        <f>IF(AND(BP18=0,BS18&lt;&gt;0),1,IF(AND(BP18=0,BS18=0),0,BS18/BP18-1))</f>
        <v>0</v>
      </c>
      <c r="BW18" s="664"/>
      <c r="BX18" s="1319">
        <v>0</v>
      </c>
      <c r="BY18" s="1922"/>
      <c r="BZ18" s="1449"/>
      <c r="CA18" s="621">
        <v>0</v>
      </c>
      <c r="CB18" s="1922"/>
      <c r="CC18" s="1437"/>
      <c r="CD18" s="167">
        <f>IF(AND(BX18=0,CA18&lt;&gt;0),1,IF(AND(BX18=0,CA18=0),0,CA18/BX18-1))</f>
        <v>0</v>
      </c>
      <c r="CE18" s="664"/>
      <c r="CF18" s="1319">
        <v>0</v>
      </c>
      <c r="CG18" s="1922"/>
      <c r="CH18" s="1449"/>
      <c r="CI18" s="621">
        <v>0</v>
      </c>
      <c r="CJ18" s="1922"/>
      <c r="CK18" s="1437"/>
      <c r="CL18" s="167">
        <f>IF(AND(CF18=0,CI18&lt;&gt;0),1,IF(AND(CF18=0,CI18=0),0,CI18/CF18-1))</f>
        <v>0</v>
      </c>
      <c r="CM18" s="664"/>
      <c r="CN18" s="1319">
        <v>0</v>
      </c>
      <c r="CO18" s="1922"/>
      <c r="CP18" s="1449"/>
      <c r="CQ18" s="621">
        <v>0</v>
      </c>
      <c r="CR18" s="1874"/>
      <c r="CS18" s="1434"/>
      <c r="CT18" s="665">
        <f>IF(AND(CN18=0,CQ18&lt;&gt;0),1,IF(AND(CN18=0,CQ18=0),0,CQ18/CN18-1))</f>
        <v>0</v>
      </c>
      <c r="CX18" s="602"/>
      <c r="CY18" s="602">
        <f t="shared" si="11"/>
        <v>0</v>
      </c>
      <c r="CZ18" s="602">
        <v>1</v>
      </c>
      <c r="DA18" s="602">
        <f t="shared" si="12"/>
        <v>0</v>
      </c>
      <c r="DB18" s="602">
        <v>0</v>
      </c>
      <c r="DC18" s="602"/>
      <c r="DD18" s="603"/>
      <c r="DE18" s="603"/>
      <c r="DF18" s="603"/>
      <c r="DG18" s="603"/>
      <c r="DH18" s="603"/>
      <c r="DI18" s="603"/>
      <c r="DJ18" s="603"/>
      <c r="DK18" s="603"/>
      <c r="DL18" s="603"/>
      <c r="DM18" s="603"/>
    </row>
    <row r="19" spans="1:118" ht="16.5" customHeight="1">
      <c r="A19" s="1903"/>
      <c r="B19" s="1903"/>
      <c r="C19" s="284">
        <v>9</v>
      </c>
      <c r="D19" s="79" t="s">
        <v>1376</v>
      </c>
      <c r="E19" s="480" t="s">
        <v>256</v>
      </c>
      <c r="F19" s="275"/>
      <c r="G19" s="260" t="s">
        <v>478</v>
      </c>
      <c r="H19" s="275" t="s">
        <v>284</v>
      </c>
      <c r="I19" s="1925"/>
      <c r="J19" s="613" t="s">
        <v>1377</v>
      </c>
      <c r="K19" s="1942"/>
      <c r="L19" s="589" t="s">
        <v>1377</v>
      </c>
      <c r="M19" s="1942"/>
      <c r="N19" s="566">
        <f t="shared" si="13"/>
        <v>0</v>
      </c>
      <c r="O19" s="585">
        <f t="shared" si="0"/>
        <v>0</v>
      </c>
      <c r="P19" s="584">
        <f t="shared" si="14"/>
        <v>0</v>
      </c>
      <c r="Q19" s="958">
        <f t="shared" si="15"/>
        <v>0</v>
      </c>
      <c r="R19" s="959">
        <f t="shared" si="16"/>
        <v>0</v>
      </c>
      <c r="S19" s="664"/>
      <c r="T19" s="625" t="s">
        <v>1377</v>
      </c>
      <c r="U19" s="1874"/>
      <c r="V19" s="1446"/>
      <c r="W19" s="625" t="s">
        <v>1377</v>
      </c>
      <c r="X19" s="1874"/>
      <c r="Y19" s="1434"/>
      <c r="Z19" s="167">
        <f>IF((W19=T19)=TRUE,0,1)</f>
        <v>0</v>
      </c>
      <c r="AA19" s="664"/>
      <c r="AB19" s="625" t="s">
        <v>1377</v>
      </c>
      <c r="AC19" s="1922"/>
      <c r="AD19" s="1449"/>
      <c r="AE19" s="625" t="s">
        <v>1377</v>
      </c>
      <c r="AF19" s="1874"/>
      <c r="AG19" s="1434"/>
      <c r="AH19" s="167">
        <f>IF((AE19=AB19)=TRUE,0,1)</f>
        <v>0</v>
      </c>
      <c r="AI19" s="664"/>
      <c r="AJ19" s="625" t="s">
        <v>1377</v>
      </c>
      <c r="AK19" s="1922"/>
      <c r="AL19" s="1449"/>
      <c r="AM19" s="625" t="s">
        <v>1377</v>
      </c>
      <c r="AN19" s="1922"/>
      <c r="AO19" s="1437"/>
      <c r="AP19" s="167">
        <f>IF((AM19=AJ19)=TRUE,0,1)</f>
        <v>0</v>
      </c>
      <c r="AQ19" s="664"/>
      <c r="AR19" s="625" t="s">
        <v>1377</v>
      </c>
      <c r="AS19" s="1922"/>
      <c r="AT19" s="1449"/>
      <c r="AU19" s="625" t="s">
        <v>1377</v>
      </c>
      <c r="AV19" s="1922"/>
      <c r="AW19" s="1437"/>
      <c r="AX19" s="167">
        <f>IF((AU19=AR19)=TRUE,0,1)</f>
        <v>0</v>
      </c>
      <c r="AY19" s="664"/>
      <c r="AZ19" s="625" t="s">
        <v>1733</v>
      </c>
      <c r="BA19" s="1922"/>
      <c r="BB19" s="1449"/>
      <c r="BC19" s="625" t="s">
        <v>1733</v>
      </c>
      <c r="BD19" s="1922"/>
      <c r="BE19" s="1437"/>
      <c r="BF19" s="167">
        <f>IF((BC19=AZ19)=TRUE,0,1)</f>
        <v>0</v>
      </c>
      <c r="BG19" s="664"/>
      <c r="BH19" s="625" t="s">
        <v>1377</v>
      </c>
      <c r="BI19" s="1922"/>
      <c r="BJ19" s="1449"/>
      <c r="BK19" s="625" t="s">
        <v>1377</v>
      </c>
      <c r="BL19" s="1922"/>
      <c r="BM19" s="1437"/>
      <c r="BN19" s="167">
        <f>IF((BK19=BH19)=TRUE,0,1)</f>
        <v>0</v>
      </c>
      <c r="BO19" s="664"/>
      <c r="BP19" s="625" t="s">
        <v>1377</v>
      </c>
      <c r="BQ19" s="1922"/>
      <c r="BR19" s="1449"/>
      <c r="BS19" s="625" t="s">
        <v>1377</v>
      </c>
      <c r="BT19" s="1922"/>
      <c r="BU19" s="1437"/>
      <c r="BV19" s="167">
        <f>IF((BS19=BP19)=TRUE,0,1)</f>
        <v>0</v>
      </c>
      <c r="BW19" s="664"/>
      <c r="BX19" s="625" t="s">
        <v>1377</v>
      </c>
      <c r="BY19" s="1922"/>
      <c r="BZ19" s="1449"/>
      <c r="CA19" s="625" t="s">
        <v>1377</v>
      </c>
      <c r="CB19" s="1922"/>
      <c r="CC19" s="1437"/>
      <c r="CD19" s="167">
        <f>IF((CA19=BX19)=TRUE,0,1)</f>
        <v>0</v>
      </c>
      <c r="CE19" s="664"/>
      <c r="CF19" s="625" t="s">
        <v>1377</v>
      </c>
      <c r="CG19" s="1922"/>
      <c r="CH19" s="1449"/>
      <c r="CI19" s="625" t="s">
        <v>1377</v>
      </c>
      <c r="CJ19" s="1922"/>
      <c r="CK19" s="1437"/>
      <c r="CL19" s="167">
        <f>IF((CI19=CF19)=TRUE,0,1)</f>
        <v>0</v>
      </c>
      <c r="CM19" s="664"/>
      <c r="CN19" s="625" t="s">
        <v>1377</v>
      </c>
      <c r="CO19" s="1922"/>
      <c r="CP19" s="1449"/>
      <c r="CQ19" s="625" t="s">
        <v>1377</v>
      </c>
      <c r="CR19" s="1874"/>
      <c r="CS19" s="1434"/>
      <c r="CT19" s="665">
        <f>IF((CQ19=CN19)=TRUE,0,1)</f>
        <v>0</v>
      </c>
      <c r="CX19" s="602"/>
      <c r="CY19" s="602">
        <f t="shared" si="11"/>
        <v>0</v>
      </c>
      <c r="CZ19" s="602">
        <v>1</v>
      </c>
      <c r="DA19" s="602">
        <f t="shared" si="12"/>
        <v>0</v>
      </c>
      <c r="DB19" s="602">
        <v>0</v>
      </c>
      <c r="DC19" s="602"/>
      <c r="DD19" s="603"/>
      <c r="DE19" s="603"/>
      <c r="DF19" s="603"/>
      <c r="DG19" s="603"/>
      <c r="DH19" s="603"/>
      <c r="DI19" s="603"/>
      <c r="DJ19" s="603"/>
      <c r="DK19" s="603"/>
      <c r="DL19" s="603"/>
      <c r="DM19" s="603"/>
    </row>
    <row r="20" spans="1:118" ht="19.5" customHeight="1">
      <c r="A20" s="1930" t="s">
        <v>1379</v>
      </c>
      <c r="B20" s="1930" t="s">
        <v>1380</v>
      </c>
      <c r="C20" s="284">
        <v>10</v>
      </c>
      <c r="D20" s="79" t="s">
        <v>1378</v>
      </c>
      <c r="E20" s="480" t="s">
        <v>256</v>
      </c>
      <c r="F20" s="275"/>
      <c r="G20" s="260" t="s">
        <v>478</v>
      </c>
      <c r="H20" s="275" t="s">
        <v>284</v>
      </c>
      <c r="I20" s="1925">
        <v>6</v>
      </c>
      <c r="J20" s="586">
        <f>AVERAGE(CN20,CF20,BX20,BP20,BH20,AZ20,AR20,AJ20,AB20,T20)</f>
        <v>0</v>
      </c>
      <c r="K20" s="1941">
        <f>AVERAGE(CO20,CG20,BY20,BQ20,BI20,BA20,AS20,AK20,AC20,U20)</f>
        <v>6</v>
      </c>
      <c r="L20" s="588">
        <f>AVERAGE(CQ20,CI20,CA20,BS20,BK20,BC20,AU20,AM20,AE20,W20)</f>
        <v>0</v>
      </c>
      <c r="M20" s="1941">
        <f>AVERAGE(CR20,CJ20,CB20,BT20,BL20,BD20,AV20,AN20,AF20,X20)</f>
        <v>6</v>
      </c>
      <c r="N20" s="566">
        <f t="shared" si="13"/>
        <v>0</v>
      </c>
      <c r="O20" s="585">
        <f t="shared" si="0"/>
        <v>0</v>
      </c>
      <c r="P20" s="584">
        <f t="shared" si="14"/>
        <v>0</v>
      </c>
      <c r="Q20" s="958">
        <f t="shared" si="15"/>
        <v>0</v>
      </c>
      <c r="R20" s="959">
        <f t="shared" si="16"/>
        <v>0</v>
      </c>
      <c r="S20" s="664"/>
      <c r="T20" s="1319">
        <v>0</v>
      </c>
      <c r="U20" s="1874">
        <f>6-T20*3-T21*0.5</f>
        <v>6</v>
      </c>
      <c r="V20" s="1446"/>
      <c r="W20" s="621">
        <v>0</v>
      </c>
      <c r="X20" s="1874">
        <f>6-W20*3-W21*0.5</f>
        <v>6</v>
      </c>
      <c r="Y20" s="1434"/>
      <c r="Z20" s="167">
        <f>IF(AND(T20=0,W20&lt;&gt;0),1,IF(AND(T20=0,W20=0),0,W20/T20-1))</f>
        <v>0</v>
      </c>
      <c r="AA20" s="664"/>
      <c r="AB20" s="1319">
        <v>0</v>
      </c>
      <c r="AC20" s="1922">
        <f>6-AB20*3-AB21*0.5</f>
        <v>6</v>
      </c>
      <c r="AD20" s="1449"/>
      <c r="AE20" s="621">
        <v>0</v>
      </c>
      <c r="AF20" s="1874">
        <f>6-AE20*3-AE21*0.5</f>
        <v>6</v>
      </c>
      <c r="AG20" s="1434"/>
      <c r="AH20" s="167">
        <f>IF(AND(AB20=0,AE20&lt;&gt;0),1,IF(AND(AB20=0,AE20=0),0,AE20/AB20-1))</f>
        <v>0</v>
      </c>
      <c r="AI20" s="664"/>
      <c r="AJ20" s="1319">
        <v>0</v>
      </c>
      <c r="AK20" s="1922">
        <f>6-AJ20*3-AJ21*0.5</f>
        <v>6</v>
      </c>
      <c r="AL20" s="1449"/>
      <c r="AM20" s="621">
        <v>0</v>
      </c>
      <c r="AN20" s="1922">
        <f>6-AM20*3-AM21*0.5</f>
        <v>6</v>
      </c>
      <c r="AO20" s="1437"/>
      <c r="AP20" s="167">
        <f>IF(AND(AJ20=0,AM20&lt;&gt;0),1,IF(AND(AJ20=0,AM20=0),0,AM20/AJ20-1))</f>
        <v>0</v>
      </c>
      <c r="AQ20" s="664"/>
      <c r="AR20" s="1319">
        <v>0</v>
      </c>
      <c r="AS20" s="1922">
        <f>6-AR20*3-AR21*0.5</f>
        <v>6</v>
      </c>
      <c r="AT20" s="1449"/>
      <c r="AU20" s="621">
        <v>0</v>
      </c>
      <c r="AV20" s="1922">
        <f>6-AU20*3-AU21*0.5</f>
        <v>6</v>
      </c>
      <c r="AW20" s="1437"/>
      <c r="AX20" s="167">
        <f>IF(AND(AR20=0,AU20&lt;&gt;0),1,IF(AND(AR20=0,AU20=0),0,AU20/AR20-1))</f>
        <v>0</v>
      </c>
      <c r="AY20" s="664"/>
      <c r="AZ20" s="1319">
        <v>0</v>
      </c>
      <c r="BA20" s="1922">
        <f>6-AZ20*3-AZ21*0.5</f>
        <v>6</v>
      </c>
      <c r="BB20" s="1449"/>
      <c r="BC20" s="621">
        <v>0</v>
      </c>
      <c r="BD20" s="1922">
        <f>6-BC20*3-BC21*0.5</f>
        <v>6</v>
      </c>
      <c r="BE20" s="1437"/>
      <c r="BF20" s="167">
        <f>IF(AND(AZ20=0,BC20&lt;&gt;0),1,IF(AND(AZ20=0,BC20=0),0,BC20/AZ20-1))</f>
        <v>0</v>
      </c>
      <c r="BG20" s="664"/>
      <c r="BH20" s="1319">
        <v>0</v>
      </c>
      <c r="BI20" s="1922">
        <f>6-BH20*3-BH21*0.5</f>
        <v>6</v>
      </c>
      <c r="BJ20" s="1449"/>
      <c r="BK20" s="621">
        <v>0</v>
      </c>
      <c r="BL20" s="1922">
        <f>6-BK20*3-BK21*0.5</f>
        <v>6</v>
      </c>
      <c r="BM20" s="1437"/>
      <c r="BN20" s="167">
        <f>IF(AND(BH20=0,BK20&lt;&gt;0),1,IF(AND(BH20=0,BK20=0),0,BK20/BH20-1))</f>
        <v>0</v>
      </c>
      <c r="BO20" s="664"/>
      <c r="BP20" s="1319">
        <v>0</v>
      </c>
      <c r="BQ20" s="1922">
        <f>6-BP20*3-BP21*0.5</f>
        <v>6</v>
      </c>
      <c r="BR20" s="1449"/>
      <c r="BS20" s="621">
        <v>0</v>
      </c>
      <c r="BT20" s="1922">
        <f>6-BS20*3-BS21*0.5</f>
        <v>6</v>
      </c>
      <c r="BU20" s="1437"/>
      <c r="BV20" s="167">
        <f>IF(AND(BP20=0,BS20&lt;&gt;0),1,IF(AND(BP20=0,BS20=0),0,BS20/BP20-1))</f>
        <v>0</v>
      </c>
      <c r="BW20" s="664"/>
      <c r="BX20" s="1319">
        <v>0</v>
      </c>
      <c r="BY20" s="1922">
        <f>6-BX20*3-BX21*0.5</f>
        <v>6</v>
      </c>
      <c r="BZ20" s="1449"/>
      <c r="CA20" s="621">
        <v>0</v>
      </c>
      <c r="CB20" s="1922">
        <f>6-CA20*3-CA21*0.5</f>
        <v>6</v>
      </c>
      <c r="CC20" s="1437"/>
      <c r="CD20" s="167">
        <f>IF(AND(BX20=0,CA20&lt;&gt;0),1,IF(AND(BX20=0,CA20=0),0,CA20/BX20-1))</f>
        <v>0</v>
      </c>
      <c r="CE20" s="664"/>
      <c r="CF20" s="1319">
        <v>0</v>
      </c>
      <c r="CG20" s="1922">
        <f>6-CF20*3-CF21*0.5</f>
        <v>6</v>
      </c>
      <c r="CH20" s="1449"/>
      <c r="CI20" s="621">
        <v>0</v>
      </c>
      <c r="CJ20" s="1922">
        <f>6-CI20*3-CI21*0.5</f>
        <v>6</v>
      </c>
      <c r="CK20" s="1437"/>
      <c r="CL20" s="167">
        <f>IF(AND(CF20=0,CI20&lt;&gt;0),1,IF(AND(CF20=0,CI20=0),0,CI20/CF20-1))</f>
        <v>0</v>
      </c>
      <c r="CM20" s="664"/>
      <c r="CN20" s="1319">
        <v>0</v>
      </c>
      <c r="CO20" s="1922">
        <f>6-CN20*3-CN21*0.5</f>
        <v>6</v>
      </c>
      <c r="CP20" s="1449"/>
      <c r="CQ20" s="621">
        <v>0</v>
      </c>
      <c r="CR20" s="1874">
        <f>6-CQ20*3-CQ21*0.5</f>
        <v>6</v>
      </c>
      <c r="CS20" s="1434"/>
      <c r="CT20" s="665">
        <f>IF(AND(CN20=0,CQ20&lt;&gt;0),1,IF(AND(CN20=0,CQ20=0),0,CQ20/CN20-1))</f>
        <v>0</v>
      </c>
      <c r="CX20" s="602"/>
      <c r="CY20" s="602">
        <f t="shared" si="11"/>
        <v>6</v>
      </c>
      <c r="CZ20" s="602">
        <v>1</v>
      </c>
      <c r="DA20" s="602">
        <f t="shared" si="12"/>
        <v>6</v>
      </c>
      <c r="DB20" s="602">
        <v>0</v>
      </c>
      <c r="DC20" s="602"/>
      <c r="DD20" s="603"/>
      <c r="DE20" s="603"/>
      <c r="DF20" s="603"/>
      <c r="DG20" s="603"/>
      <c r="DH20" s="603"/>
      <c r="DI20" s="603"/>
      <c r="DJ20" s="603"/>
      <c r="DK20" s="603"/>
      <c r="DL20" s="603"/>
      <c r="DM20" s="603"/>
    </row>
    <row r="21" spans="1:118" ht="15" customHeight="1">
      <c r="A21" s="1932"/>
      <c r="B21" s="1932"/>
      <c r="C21" s="284">
        <v>11</v>
      </c>
      <c r="D21" s="79" t="s">
        <v>1381</v>
      </c>
      <c r="E21" s="480" t="s">
        <v>256</v>
      </c>
      <c r="F21" s="275"/>
      <c r="G21" s="260" t="s">
        <v>478</v>
      </c>
      <c r="H21" s="275" t="s">
        <v>284</v>
      </c>
      <c r="I21" s="1925"/>
      <c r="J21" s="586">
        <f>AVERAGE(CN21,CF21,BX21,BP21,BH21,AZ21,AR21,AJ21,AB21,T21)</f>
        <v>0</v>
      </c>
      <c r="K21" s="1942"/>
      <c r="L21" s="586">
        <f>AVERAGE(CQ21,CI21,CA21,BS21,BK21,BC21,AU21,AM21,AE21,W21)</f>
        <v>0</v>
      </c>
      <c r="M21" s="1942"/>
      <c r="N21" s="566">
        <f t="shared" si="13"/>
        <v>0</v>
      </c>
      <c r="O21" s="585">
        <f t="shared" si="0"/>
        <v>0</v>
      </c>
      <c r="P21" s="584">
        <f t="shared" si="14"/>
        <v>0</v>
      </c>
      <c r="Q21" s="958">
        <f t="shared" si="15"/>
        <v>0</v>
      </c>
      <c r="R21" s="959">
        <f t="shared" si="16"/>
        <v>0</v>
      </c>
      <c r="S21" s="664"/>
      <c r="T21" s="1319">
        <v>0</v>
      </c>
      <c r="U21" s="1874"/>
      <c r="V21" s="1446"/>
      <c r="W21" s="621">
        <v>0</v>
      </c>
      <c r="X21" s="1874"/>
      <c r="Y21" s="1434"/>
      <c r="Z21" s="167">
        <f>IF(AND(T21=0,W21&lt;&gt;0),1,IF(AND(T21=0,W21=0),0,W21/T21-1))</f>
        <v>0</v>
      </c>
      <c r="AA21" s="664"/>
      <c r="AB21" s="1319">
        <v>0</v>
      </c>
      <c r="AC21" s="1922"/>
      <c r="AD21" s="1449"/>
      <c r="AE21" s="621">
        <v>0</v>
      </c>
      <c r="AF21" s="1874"/>
      <c r="AG21" s="1434"/>
      <c r="AH21" s="167">
        <f>IF(AND(AB21=0,AE21&lt;&gt;0),1,IF(AND(AB21=0,AE21=0),0,AE21/AB21-1))</f>
        <v>0</v>
      </c>
      <c r="AI21" s="664"/>
      <c r="AJ21" s="1319">
        <v>0</v>
      </c>
      <c r="AK21" s="1922"/>
      <c r="AL21" s="1449"/>
      <c r="AM21" s="621">
        <v>0</v>
      </c>
      <c r="AN21" s="1922"/>
      <c r="AO21" s="1437"/>
      <c r="AP21" s="167">
        <f>IF(AND(AJ21=0,AM21&lt;&gt;0),1,IF(AND(AJ21=0,AM21=0),0,AM21/AJ21-1))</f>
        <v>0</v>
      </c>
      <c r="AQ21" s="664"/>
      <c r="AR21" s="1319">
        <v>0</v>
      </c>
      <c r="AS21" s="1922"/>
      <c r="AT21" s="1449"/>
      <c r="AU21" s="621">
        <v>0</v>
      </c>
      <c r="AV21" s="1922"/>
      <c r="AW21" s="1437"/>
      <c r="AX21" s="167">
        <f>IF(AND(AR21=0,AU21&lt;&gt;0),1,IF(AND(AR21=0,AU21=0),0,AU21/AR21-1))</f>
        <v>0</v>
      </c>
      <c r="AY21" s="664"/>
      <c r="AZ21" s="1319">
        <v>0</v>
      </c>
      <c r="BA21" s="1922"/>
      <c r="BB21" s="1449"/>
      <c r="BC21" s="621">
        <v>0</v>
      </c>
      <c r="BD21" s="1922"/>
      <c r="BE21" s="1437"/>
      <c r="BF21" s="167">
        <f>IF(AND(AZ21=0,BC21&lt;&gt;0),1,IF(AND(AZ21=0,BC21=0),0,BC21/AZ21-1))</f>
        <v>0</v>
      </c>
      <c r="BG21" s="664"/>
      <c r="BH21" s="1319">
        <v>0</v>
      </c>
      <c r="BI21" s="1922"/>
      <c r="BJ21" s="1449"/>
      <c r="BK21" s="621">
        <v>0</v>
      </c>
      <c r="BL21" s="1922"/>
      <c r="BM21" s="1437"/>
      <c r="BN21" s="167">
        <f>IF(AND(BH21=0,BK21&lt;&gt;0),1,IF(AND(BH21=0,BK21=0),0,BK21/BH21-1))</f>
        <v>0</v>
      </c>
      <c r="BO21" s="664"/>
      <c r="BP21" s="1319">
        <v>0</v>
      </c>
      <c r="BQ21" s="1922"/>
      <c r="BR21" s="1449"/>
      <c r="BS21" s="621">
        <v>0</v>
      </c>
      <c r="BT21" s="1922"/>
      <c r="BU21" s="1437"/>
      <c r="BV21" s="167">
        <f>IF(AND(BP21=0,BS21&lt;&gt;0),1,IF(AND(BP21=0,BS21=0),0,BS21/BP21-1))</f>
        <v>0</v>
      </c>
      <c r="BW21" s="664"/>
      <c r="BX21" s="1319">
        <v>0</v>
      </c>
      <c r="BY21" s="1922"/>
      <c r="BZ21" s="1449"/>
      <c r="CA21" s="621">
        <v>0</v>
      </c>
      <c r="CB21" s="1922"/>
      <c r="CC21" s="1437"/>
      <c r="CD21" s="167">
        <f>IF(AND(BX21=0,CA21&lt;&gt;0),1,IF(AND(BX21=0,CA21=0),0,CA21/BX21-1))</f>
        <v>0</v>
      </c>
      <c r="CE21" s="664"/>
      <c r="CF21" s="1319">
        <v>0</v>
      </c>
      <c r="CG21" s="1922"/>
      <c r="CH21" s="1449"/>
      <c r="CI21" s="621">
        <v>0</v>
      </c>
      <c r="CJ21" s="1922"/>
      <c r="CK21" s="1437"/>
      <c r="CL21" s="167">
        <f>IF(AND(CF21=0,CI21&lt;&gt;0),1,IF(AND(CF21=0,CI21=0),0,CI21/CF21-1))</f>
        <v>0</v>
      </c>
      <c r="CM21" s="664"/>
      <c r="CN21" s="1319">
        <v>0</v>
      </c>
      <c r="CO21" s="1922"/>
      <c r="CP21" s="1449"/>
      <c r="CQ21" s="621">
        <v>0</v>
      </c>
      <c r="CR21" s="1874"/>
      <c r="CS21" s="1434"/>
      <c r="CT21" s="665">
        <f>IF(AND(CN21=0,CQ21&lt;&gt;0),1,IF(AND(CN21=0,CQ21=0),0,CQ21/CN21-1))</f>
        <v>0</v>
      </c>
      <c r="CX21" s="602"/>
      <c r="CY21" s="602">
        <f t="shared" si="11"/>
        <v>0</v>
      </c>
      <c r="CZ21" s="602">
        <v>1</v>
      </c>
      <c r="DA21" s="602">
        <f t="shared" si="12"/>
        <v>0</v>
      </c>
      <c r="DB21" s="602">
        <v>0</v>
      </c>
      <c r="DC21" s="602"/>
      <c r="DD21" s="603"/>
      <c r="DE21" s="603"/>
      <c r="DF21" s="603"/>
      <c r="DG21" s="603"/>
      <c r="DH21" s="603"/>
      <c r="DI21" s="603"/>
      <c r="DJ21" s="603"/>
      <c r="DK21" s="603"/>
      <c r="DL21" s="603"/>
      <c r="DM21" s="603"/>
    </row>
    <row r="22" spans="1:118" ht="24.75" customHeight="1">
      <c r="A22" s="62" t="s">
        <v>1382</v>
      </c>
      <c r="B22" s="53" t="s">
        <v>1383</v>
      </c>
      <c r="C22" s="284">
        <v>12</v>
      </c>
      <c r="D22" s="999" t="s">
        <v>2007</v>
      </c>
      <c r="E22" s="480" t="s">
        <v>256</v>
      </c>
      <c r="F22" s="275"/>
      <c r="G22" s="260" t="s">
        <v>474</v>
      </c>
      <c r="H22" s="275" t="s">
        <v>284</v>
      </c>
      <c r="I22" s="622">
        <v>1</v>
      </c>
      <c r="J22" s="625" t="s">
        <v>1384</v>
      </c>
      <c r="K22" s="1336">
        <f>AVERAGE(CO22,CG22,BY22,BQ22,BI22,BA22,AS22,AK22,AC22,U22)</f>
        <v>0.9</v>
      </c>
      <c r="L22" s="588" t="s">
        <v>1384</v>
      </c>
      <c r="M22" s="1335">
        <f>AVERAGE(CR22,CJ22,CB22,BT22,BL22,BD22,AV22,AN22,AF22,X22)</f>
        <v>0.9</v>
      </c>
      <c r="N22" s="604">
        <f t="shared" si="13"/>
        <v>0</v>
      </c>
      <c r="O22" s="585">
        <f t="shared" si="0"/>
        <v>9.9999999999999978E-2</v>
      </c>
      <c r="P22" s="584">
        <f t="shared" si="14"/>
        <v>3.9999999999999994E-2</v>
      </c>
      <c r="Q22" s="958">
        <f t="shared" si="15"/>
        <v>4.4444444444444436E-3</v>
      </c>
      <c r="R22" s="959">
        <f t="shared" si="16"/>
        <v>2.2222222222222218E-3</v>
      </c>
      <c r="S22" s="664"/>
      <c r="T22" s="625" t="s">
        <v>1384</v>
      </c>
      <c r="U22" s="618">
        <f>IF(LEFT(T22,1)="1",1,0)</f>
        <v>1</v>
      </c>
      <c r="V22" s="1446"/>
      <c r="W22" s="625" t="s">
        <v>1384</v>
      </c>
      <c r="X22" s="1025">
        <f>IF(LEFT(W22)="1",1,0)</f>
        <v>1</v>
      </c>
      <c r="Y22" s="1434"/>
      <c r="Z22" s="167">
        <f>IF((W22=T22)=TRUE,0,1)</f>
        <v>0</v>
      </c>
      <c r="AA22" s="664"/>
      <c r="AB22" s="625" t="s">
        <v>1384</v>
      </c>
      <c r="AC22" s="621">
        <f>IF(LEFT(AB22,1)="1",1,0)</f>
        <v>1</v>
      </c>
      <c r="AD22" s="1449"/>
      <c r="AE22" s="625" t="s">
        <v>1384</v>
      </c>
      <c r="AF22" s="977">
        <f>IF(LEFT(AE22)="1",1,0)</f>
        <v>1</v>
      </c>
      <c r="AG22" s="1434"/>
      <c r="AH22" s="167">
        <f>IF((AE22=AB22)=TRUE,0,1)</f>
        <v>0</v>
      </c>
      <c r="AI22" s="664"/>
      <c r="AJ22" s="625" t="s">
        <v>1384</v>
      </c>
      <c r="AK22" s="621">
        <f>IF(LEFT(AJ22,1)="1",1,0)</f>
        <v>1</v>
      </c>
      <c r="AL22" s="1449"/>
      <c r="AM22" s="625" t="s">
        <v>1384</v>
      </c>
      <c r="AN22" s="621">
        <f>IF(LEFT(AM22)="1",1,0)</f>
        <v>1</v>
      </c>
      <c r="AO22" s="1437"/>
      <c r="AP22" s="167">
        <f>IF((AM22=AJ22)=TRUE,0,1)</f>
        <v>0</v>
      </c>
      <c r="AQ22" s="664"/>
      <c r="AR22" s="625" t="s">
        <v>1384</v>
      </c>
      <c r="AS22" s="621">
        <f>IF(LEFT(AR22,1)="1",1,0)</f>
        <v>1</v>
      </c>
      <c r="AT22" s="1449"/>
      <c r="AU22" s="625" t="s">
        <v>1384</v>
      </c>
      <c r="AV22" s="621">
        <f>IF(LEFT(AU22)="1",1,0)</f>
        <v>1</v>
      </c>
      <c r="AW22" s="1437"/>
      <c r="AX22" s="167">
        <f>IF((AU22=AR22)=TRUE,0,1)</f>
        <v>0</v>
      </c>
      <c r="AY22" s="664"/>
      <c r="AZ22" s="625" t="s">
        <v>1385</v>
      </c>
      <c r="BA22" s="621">
        <f>IF(LEFT(AZ22,1)="1",1,0)</f>
        <v>0</v>
      </c>
      <c r="BB22" s="1449"/>
      <c r="BC22" s="625" t="s">
        <v>1385</v>
      </c>
      <c r="BD22" s="621">
        <f>IF(LEFT(BC22)="1",1,0)</f>
        <v>0</v>
      </c>
      <c r="BE22" s="1437"/>
      <c r="BF22" s="167">
        <f>IF((BC22=AZ22)=TRUE,0,1)</f>
        <v>0</v>
      </c>
      <c r="BG22" s="664"/>
      <c r="BH22" s="625" t="s">
        <v>1384</v>
      </c>
      <c r="BI22" s="621">
        <f>IF(LEFT(BH22,1)="1",1,0)</f>
        <v>1</v>
      </c>
      <c r="BJ22" s="1449"/>
      <c r="BK22" s="625" t="s">
        <v>1384</v>
      </c>
      <c r="BL22" s="621">
        <f>IF(LEFT(BK22)="1",1,0)</f>
        <v>1</v>
      </c>
      <c r="BM22" s="1437"/>
      <c r="BN22" s="167">
        <f>IF((BK22=BH22)=TRUE,0,1)</f>
        <v>0</v>
      </c>
      <c r="BO22" s="664"/>
      <c r="BP22" s="625" t="s">
        <v>1384</v>
      </c>
      <c r="BQ22" s="621">
        <f>IF(LEFT(BP22,1)="1",1,0)</f>
        <v>1</v>
      </c>
      <c r="BR22" s="1449"/>
      <c r="BS22" s="625" t="s">
        <v>1384</v>
      </c>
      <c r="BT22" s="621">
        <f>IF(LEFT(BS22)="1",1,0)</f>
        <v>1</v>
      </c>
      <c r="BU22" s="1437"/>
      <c r="BV22" s="167">
        <f>IF((BS22=BP22)=TRUE,0,1)</f>
        <v>0</v>
      </c>
      <c r="BW22" s="664"/>
      <c r="BX22" s="625" t="s">
        <v>1384</v>
      </c>
      <c r="BY22" s="621">
        <f>IF(LEFT(BX22,1)="1",1,0)</f>
        <v>1</v>
      </c>
      <c r="BZ22" s="1449"/>
      <c r="CA22" s="625" t="s">
        <v>1384</v>
      </c>
      <c r="CB22" s="621">
        <f>IF(LEFT(CA22)="1",1,0)</f>
        <v>1</v>
      </c>
      <c r="CC22" s="1437"/>
      <c r="CD22" s="167">
        <f>IF((CA22=BX22)=TRUE,0,1)</f>
        <v>0</v>
      </c>
      <c r="CE22" s="664"/>
      <c r="CF22" s="625" t="s">
        <v>1384</v>
      </c>
      <c r="CG22" s="621">
        <f>IF(LEFT(CF22,1)="1",1,0)</f>
        <v>1</v>
      </c>
      <c r="CH22" s="1449"/>
      <c r="CI22" s="625" t="s">
        <v>1384</v>
      </c>
      <c r="CJ22" s="621">
        <f>IF(LEFT(CI22)="1",1,0)</f>
        <v>1</v>
      </c>
      <c r="CK22" s="1437"/>
      <c r="CL22" s="167">
        <f>IF((CI22=CF22)=TRUE,0,1)</f>
        <v>0</v>
      </c>
      <c r="CM22" s="664"/>
      <c r="CN22" s="625" t="s">
        <v>1384</v>
      </c>
      <c r="CO22" s="621">
        <f>IF(LEFT(CN22,1)="1",1,0)</f>
        <v>1</v>
      </c>
      <c r="CP22" s="1449"/>
      <c r="CQ22" s="625" t="s">
        <v>1384</v>
      </c>
      <c r="CR22" s="618">
        <f>IF(LEFT(CQ22)="1",1,0)</f>
        <v>1</v>
      </c>
      <c r="CS22" s="1434"/>
      <c r="CT22" s="665">
        <f>IF((CQ22=CN22)=TRUE,0,1)</f>
        <v>0</v>
      </c>
      <c r="CX22" s="602">
        <v>1</v>
      </c>
      <c r="CY22" s="602">
        <v>1</v>
      </c>
      <c r="CZ22" s="602"/>
      <c r="DA22" s="602"/>
      <c r="DB22" s="602">
        <v>0</v>
      </c>
      <c r="DC22" s="604">
        <f>CU22</f>
        <v>0</v>
      </c>
      <c r="DD22" s="602">
        <v>1</v>
      </c>
      <c r="DE22" s="602">
        <v>1</v>
      </c>
      <c r="DF22" s="603">
        <v>1</v>
      </c>
      <c r="DG22" s="604">
        <f>$M22</f>
        <v>0.9</v>
      </c>
      <c r="DH22" s="602">
        <v>1</v>
      </c>
      <c r="DI22" s="602">
        <v>1</v>
      </c>
      <c r="DJ22" s="602">
        <v>1</v>
      </c>
      <c r="DK22" s="602">
        <v>1</v>
      </c>
      <c r="DL22" s="602">
        <v>1</v>
      </c>
      <c r="DM22" s="602">
        <v>1</v>
      </c>
      <c r="DN22" s="574"/>
    </row>
    <row r="23" spans="1:118" ht="14.25">
      <c r="A23" s="1940" t="s">
        <v>1387</v>
      </c>
      <c r="B23" s="1940" t="s">
        <v>1388</v>
      </c>
      <c r="C23" s="284">
        <v>13</v>
      </c>
      <c r="D23" s="79" t="s">
        <v>1386</v>
      </c>
      <c r="E23" s="475"/>
      <c r="F23" s="275"/>
      <c r="G23" s="260" t="s">
        <v>483</v>
      </c>
      <c r="H23" s="275" t="s">
        <v>284</v>
      </c>
      <c r="I23" s="622">
        <v>3</v>
      </c>
      <c r="J23" s="588">
        <f t="shared" ref="J23:J36" si="19">AVERAGE(CN23,CF23,BX23,BP23,BH23,AZ23,AR23,AJ23,AB23,T23)</f>
        <v>1</v>
      </c>
      <c r="K23" s="586">
        <f>AVERAGE(CO23,CG23,BY23,BQ23,BI23,BA23,AS23,AK23,AC23,U23)</f>
        <v>3</v>
      </c>
      <c r="L23" s="588">
        <f t="shared" ref="L23:L36" si="20">AVERAGE(CQ23,CI23,CA23,BS23,BK23,BC23,AU23,AM23,AE23,W23)</f>
        <v>1</v>
      </c>
      <c r="M23" s="584">
        <f>AVERAGE(CR23,CJ23,CB23,BT23,BL23,BD23,AV23,AN23,AF23,X23)</f>
        <v>3</v>
      </c>
      <c r="N23" s="566">
        <f t="shared" si="13"/>
        <v>0</v>
      </c>
      <c r="O23" s="585">
        <f t="shared" si="0"/>
        <v>0</v>
      </c>
      <c r="P23" s="584">
        <f t="shared" si="14"/>
        <v>0</v>
      </c>
      <c r="Q23" s="958">
        <f t="shared" si="15"/>
        <v>0</v>
      </c>
      <c r="R23" s="959">
        <f t="shared" si="16"/>
        <v>0</v>
      </c>
      <c r="S23" s="664"/>
      <c r="T23" s="167">
        <f>IF(SUM(T25:T27)=0,"",T24/SUM(T25:T27))</f>
        <v>1</v>
      </c>
      <c r="U23" s="618">
        <f>IF(T23&gt;=0.95,3,IF(T23&gt;=0.9,1,0))</f>
        <v>3</v>
      </c>
      <c r="V23" s="1446"/>
      <c r="W23" s="167">
        <f>IF(SUM(W25:W27)=0,"",W24/SUM(W25:W27))</f>
        <v>1</v>
      </c>
      <c r="X23" s="1025">
        <f>IF(W23&gt;=0.95,3,IF(W23&gt;=0.9,1,0))</f>
        <v>3</v>
      </c>
      <c r="Y23" s="1434"/>
      <c r="Z23" s="167">
        <f t="shared" ref="Z23:Z36" si="21">IF(AND(T23=0,W23&lt;&gt;0),1,IF(AND(T23=0,W23=0),0,W23/T23-1))</f>
        <v>0</v>
      </c>
      <c r="AA23" s="664"/>
      <c r="AB23" s="167">
        <f>IF(SUM(AB25:AB27)=0,"",AB24/SUM(AB25:AB27))</f>
        <v>1</v>
      </c>
      <c r="AC23" s="621">
        <f>IF(AB23&gt;=0.95,3,IF(AB23&gt;=0.9,1,0))</f>
        <v>3</v>
      </c>
      <c r="AD23" s="1449"/>
      <c r="AE23" s="167">
        <f>IF(SUM(AE25:AE27)=0,"",AE24/SUM(AE25:AE27))</f>
        <v>1</v>
      </c>
      <c r="AF23" s="977">
        <f>IF(AE23&gt;=0.95,3,IF(AE23&gt;=0.9,1,0))</f>
        <v>3</v>
      </c>
      <c r="AG23" s="1434"/>
      <c r="AH23" s="167">
        <f t="shared" ref="AH23:AH36" si="22">IF(AND(AB23=0,AE23&lt;&gt;0),1,IF(AND(AB23=0,AE23=0),0,AE23/AB23-1))</f>
        <v>0</v>
      </c>
      <c r="AI23" s="664"/>
      <c r="AJ23" s="167">
        <f>IF(SUM(AJ25:AJ27)=0,"",AJ24/SUM(AJ25:AJ27))</f>
        <v>1</v>
      </c>
      <c r="AK23" s="621">
        <f>IF(AJ23&gt;=0.95,3,IF(AJ23&gt;=0.9,1,0))</f>
        <v>3</v>
      </c>
      <c r="AL23" s="1449"/>
      <c r="AM23" s="167">
        <f>IF(SUM(AM25:AM27)=0,"",AM24/SUM(AM25:AM27))</f>
        <v>1</v>
      </c>
      <c r="AN23" s="621">
        <f>IF(AM23&gt;=0.95,3,IF(AM23&gt;=0.9,1,0))</f>
        <v>3</v>
      </c>
      <c r="AO23" s="1437"/>
      <c r="AP23" s="167">
        <f t="shared" ref="AP23:AP36" si="23">IF(AND(AJ23=0,AM23&lt;&gt;0),1,IF(AND(AJ23=0,AM23=0),0,AM23/AJ23-1))</f>
        <v>0</v>
      </c>
      <c r="AQ23" s="664"/>
      <c r="AR23" s="167">
        <f>IF(SUM(AR25:AR27)=0,"",AR24/SUM(AR25:AR27))</f>
        <v>1</v>
      </c>
      <c r="AS23" s="621">
        <f>IF(AR23&gt;=0.95,3,IF(AR23&gt;=0.9,1,0))</f>
        <v>3</v>
      </c>
      <c r="AT23" s="1449"/>
      <c r="AU23" s="167">
        <f>IF(SUM(AU25:AU27)=0,"",AU24/SUM(AU25:AU27))</f>
        <v>1</v>
      </c>
      <c r="AV23" s="621">
        <f>IF(AU23&gt;=0.95,3,IF(AU23&gt;=0.9,1,0))</f>
        <v>3</v>
      </c>
      <c r="AW23" s="1437"/>
      <c r="AX23" s="167">
        <f t="shared" ref="AX23:AX36" si="24">IF(AND(AR23=0,AU23&lt;&gt;0),1,IF(AND(AR23=0,AU23=0),0,AU23/AR23-1))</f>
        <v>0</v>
      </c>
      <c r="AY23" s="664"/>
      <c r="AZ23" s="167">
        <f>IF(SUM(AZ25:AZ27)=0,"",AZ24/SUM(AZ25:AZ27))</f>
        <v>1</v>
      </c>
      <c r="BA23" s="621">
        <f>IF(AZ23&gt;=0.95,3,IF(AZ23&gt;=0.9,1,0))</f>
        <v>3</v>
      </c>
      <c r="BB23" s="1449"/>
      <c r="BC23" s="167">
        <f>IF(SUM(BC25:BC27)=0,"",BC24/SUM(BC25:BC27))</f>
        <v>1</v>
      </c>
      <c r="BD23" s="621">
        <f>IF(BC23&gt;=0.95,3,IF(BC23&gt;=0.9,1,0))</f>
        <v>3</v>
      </c>
      <c r="BE23" s="1437"/>
      <c r="BF23" s="167">
        <f t="shared" ref="BF23:BF36" si="25">IF(AND(AZ23=0,BC23&lt;&gt;0),1,IF(AND(AZ23=0,BC23=0),0,BC23/AZ23-1))</f>
        <v>0</v>
      </c>
      <c r="BG23" s="664"/>
      <c r="BH23" s="167">
        <f>IF(SUM(BH25:BH27)=0,"",BH24/SUM(BH25:BH27))</f>
        <v>1</v>
      </c>
      <c r="BI23" s="621">
        <f>IF(BH23&gt;=0.95,3,IF(BH23&gt;=0.9,1,0))</f>
        <v>3</v>
      </c>
      <c r="BJ23" s="1449"/>
      <c r="BK23" s="167">
        <f>IF(SUM(BK25:BK27)=0,"",BK24/SUM(BK25:BK27))</f>
        <v>1</v>
      </c>
      <c r="BL23" s="621">
        <f>IF(BK23&gt;=0.95,3,IF(BK23&gt;=0.9,1,0))</f>
        <v>3</v>
      </c>
      <c r="BM23" s="1437"/>
      <c r="BN23" s="167">
        <f t="shared" ref="BN23:BN36" si="26">IF(AND(BH23=0,BK23&lt;&gt;0),1,IF(AND(BH23=0,BK23=0),0,BK23/BH23-1))</f>
        <v>0</v>
      </c>
      <c r="BO23" s="664"/>
      <c r="BP23" s="167">
        <f>IF(SUM(BP25:BP27)=0,"",BP24/SUM(BP25:BP27))</f>
        <v>1</v>
      </c>
      <c r="BQ23" s="621">
        <f>IF(BP23&gt;=0.95,3,IF(BP23&gt;=0.9,1,0))</f>
        <v>3</v>
      </c>
      <c r="BR23" s="1449"/>
      <c r="BS23" s="167">
        <f>IF(SUM(BS25:BS27)=0,"",BS24/SUM(BS25:BS27))</f>
        <v>1</v>
      </c>
      <c r="BT23" s="621">
        <f>IF(BS23&gt;=0.95,3,IF(BS23&gt;=0.9,1,0))</f>
        <v>3</v>
      </c>
      <c r="BU23" s="1437"/>
      <c r="BV23" s="167">
        <f t="shared" ref="BV23:BV36" si="27">IF(AND(BP23=0,BS23&lt;&gt;0),1,IF(AND(BP23=0,BS23=0),0,BS23/BP23-1))</f>
        <v>0</v>
      </c>
      <c r="BW23" s="664"/>
      <c r="BX23" s="167">
        <f>IF(SUM(BX25:BX27)=0,"",BX24/SUM(BX25:BX27))</f>
        <v>1</v>
      </c>
      <c r="BY23" s="621">
        <f>IF(BX23&gt;=0.95,3,IF(BX23&gt;=0.9,1,0))</f>
        <v>3</v>
      </c>
      <c r="BZ23" s="1449"/>
      <c r="CA23" s="167">
        <f>IF(SUM(CA25:CA27)=0,"",CA24/SUM(CA25:CA27))</f>
        <v>1</v>
      </c>
      <c r="CB23" s="621">
        <f>IF(CA23&gt;=0.95,3,IF(CA23&gt;=0.9,1,0))</f>
        <v>3</v>
      </c>
      <c r="CC23" s="1437"/>
      <c r="CD23" s="167">
        <f t="shared" ref="CD23:CD36" si="28">IF(AND(BX23=0,CA23&lt;&gt;0),1,IF(AND(BX23=0,CA23=0),0,CA23/BX23-1))</f>
        <v>0</v>
      </c>
      <c r="CE23" s="664"/>
      <c r="CF23" s="167">
        <f>IF(SUM(CF25:CF27)=0,"",CF24/SUM(CF25:CF27))</f>
        <v>1</v>
      </c>
      <c r="CG23" s="621">
        <f>IF(CF23&gt;=0.95,3,IF(CF23&gt;=0.9,1,0))</f>
        <v>3</v>
      </c>
      <c r="CH23" s="1449"/>
      <c r="CI23" s="167">
        <f>IF(SUM(CI25:CI27)=0,"",CI24/SUM(CI25:CI27))</f>
        <v>1</v>
      </c>
      <c r="CJ23" s="621">
        <f>IF(CI23&gt;=0.95,3,IF(CI23&gt;=0.9,1,0))</f>
        <v>3</v>
      </c>
      <c r="CK23" s="1437"/>
      <c r="CL23" s="167">
        <f t="shared" ref="CL23:CL36" si="29">IF(AND(CF23=0,CI23&lt;&gt;0),1,IF(AND(CF23=0,CI23=0),0,CI23/CF23-1))</f>
        <v>0</v>
      </c>
      <c r="CM23" s="664"/>
      <c r="CN23" s="167">
        <f>IF(SUM(CN25:CN27)=0,"",CN24/SUM(CN25:CN27))</f>
        <v>1</v>
      </c>
      <c r="CO23" s="621">
        <f>IF(CN23&gt;=0.95,3,IF(CN23&gt;=0.9,1,0))</f>
        <v>3</v>
      </c>
      <c r="CP23" s="1449"/>
      <c r="CQ23" s="167">
        <f>IF(SUM(CQ25:CQ27)=0,"",CQ24/SUM(CQ25:CQ27))</f>
        <v>1</v>
      </c>
      <c r="CR23" s="618">
        <f>IF(CQ23&gt;=0.95,3,IF(CQ23&gt;=0.9,1,0))</f>
        <v>3</v>
      </c>
      <c r="CS23" s="1434"/>
      <c r="CT23" s="665">
        <f t="shared" ref="CT23:CT36" si="30">IF(AND(CN23=0,CQ23&lt;&gt;0),1,IF(AND(CN23=0,CQ23=0),0,CQ23/CN23-1))</f>
        <v>0</v>
      </c>
      <c r="CX23" s="602"/>
      <c r="CY23" s="602">
        <f t="shared" ref="CY23:CY37" si="31">M23</f>
        <v>3</v>
      </c>
      <c r="CZ23" s="602">
        <v>1</v>
      </c>
      <c r="DA23" s="602">
        <f>$M23</f>
        <v>3</v>
      </c>
      <c r="DB23" s="602">
        <v>0</v>
      </c>
      <c r="DC23" s="602"/>
      <c r="DD23" s="602">
        <v>1</v>
      </c>
      <c r="DE23" s="602">
        <f>$M23</f>
        <v>3</v>
      </c>
      <c r="DF23" s="602">
        <v>1</v>
      </c>
      <c r="DG23" s="602">
        <f>$M23</f>
        <v>3</v>
      </c>
      <c r="DH23" s="602">
        <v>1</v>
      </c>
      <c r="DI23" s="602">
        <f>$M23</f>
        <v>3</v>
      </c>
      <c r="DJ23" s="602">
        <v>1</v>
      </c>
      <c r="DK23" s="602">
        <f>$M23</f>
        <v>3</v>
      </c>
      <c r="DL23" s="602">
        <v>1</v>
      </c>
      <c r="DM23" s="602">
        <f>$M23</f>
        <v>3</v>
      </c>
    </row>
    <row r="24" spans="1:118" ht="14.25">
      <c r="A24" s="1923"/>
      <c r="B24" s="1923"/>
      <c r="C24" s="285">
        <v>13.1</v>
      </c>
      <c r="D24" s="625" t="s">
        <v>1389</v>
      </c>
      <c r="E24" s="480" t="s">
        <v>256</v>
      </c>
      <c r="F24" s="275"/>
      <c r="G24" s="260"/>
      <c r="H24" s="275"/>
      <c r="I24" s="282"/>
      <c r="J24" s="588">
        <f t="shared" si="19"/>
        <v>76803535.708000004</v>
      </c>
      <c r="K24" s="586"/>
      <c r="L24" s="588">
        <f t="shared" si="20"/>
        <v>64571785.594000004</v>
      </c>
      <c r="M24" s="584"/>
      <c r="N24" s="566">
        <f t="shared" si="13"/>
        <v>0</v>
      </c>
      <c r="O24" s="585">
        <f t="shared" si="0"/>
        <v>0</v>
      </c>
      <c r="P24" s="584">
        <f t="shared" si="14"/>
        <v>0</v>
      </c>
      <c r="Q24" s="958">
        <f t="shared" si="15"/>
        <v>0</v>
      </c>
      <c r="R24" s="959">
        <f t="shared" si="16"/>
        <v>0</v>
      </c>
      <c r="S24" s="664"/>
      <c r="T24" s="127">
        <v>36193047.849999994</v>
      </c>
      <c r="U24" s="432"/>
      <c r="V24" s="432"/>
      <c r="W24" s="127">
        <v>36582269.840000004</v>
      </c>
      <c r="X24" s="432"/>
      <c r="Y24" s="432"/>
      <c r="Z24" s="167">
        <f t="shared" si="21"/>
        <v>1.0754053972274358E-2</v>
      </c>
      <c r="AA24" s="664"/>
      <c r="AB24" s="127">
        <v>206981693.20999998</v>
      </c>
      <c r="AC24" s="381"/>
      <c r="AD24" s="381"/>
      <c r="AE24" s="127">
        <v>162654839.29000002</v>
      </c>
      <c r="AF24" s="432"/>
      <c r="AG24" s="432"/>
      <c r="AH24" s="167">
        <f t="shared" si="22"/>
        <v>-0.21415833078061985</v>
      </c>
      <c r="AI24" s="664"/>
      <c r="AJ24" s="127">
        <v>112834817.74999999</v>
      </c>
      <c r="AK24" s="381"/>
      <c r="AL24" s="381"/>
      <c r="AM24" s="127">
        <v>96830142.079999998</v>
      </c>
      <c r="AN24" s="381"/>
      <c r="AO24" s="381"/>
      <c r="AP24" s="167">
        <f t="shared" si="23"/>
        <v>-0.14184164063135551</v>
      </c>
      <c r="AQ24" s="664"/>
      <c r="AR24" s="127">
        <v>58245500.719999999</v>
      </c>
      <c r="AS24" s="381"/>
      <c r="AT24" s="381"/>
      <c r="AU24" s="127">
        <v>33412888.859999999</v>
      </c>
      <c r="AV24" s="381"/>
      <c r="AW24" s="381"/>
      <c r="AX24" s="167">
        <f t="shared" si="24"/>
        <v>-0.42634386438492966</v>
      </c>
      <c r="AY24" s="664"/>
      <c r="AZ24" s="127">
        <v>107261299.93999998</v>
      </c>
      <c r="BA24" s="381"/>
      <c r="BB24" s="381"/>
      <c r="BC24" s="127">
        <v>109852518.04999998</v>
      </c>
      <c r="BD24" s="381"/>
      <c r="BE24" s="381"/>
      <c r="BF24" s="167">
        <f t="shared" si="25"/>
        <v>2.4157996513649138E-2</v>
      </c>
      <c r="BG24" s="664"/>
      <c r="BH24" s="127">
        <v>103955434.53999996</v>
      </c>
      <c r="BI24" s="381"/>
      <c r="BJ24" s="381"/>
      <c r="BK24" s="127">
        <v>87504668.849999994</v>
      </c>
      <c r="BL24" s="381"/>
      <c r="BM24" s="381"/>
      <c r="BN24" s="167">
        <f t="shared" si="26"/>
        <v>-0.15824825092400574</v>
      </c>
      <c r="BO24" s="664"/>
      <c r="BP24" s="127">
        <v>19559698.670000002</v>
      </c>
      <c r="BQ24" s="381"/>
      <c r="BR24" s="381"/>
      <c r="BS24" s="127">
        <v>16147788.740000002</v>
      </c>
      <c r="BT24" s="381"/>
      <c r="BU24" s="381"/>
      <c r="BV24" s="167">
        <f t="shared" si="27"/>
        <v>-0.17443571026137894</v>
      </c>
      <c r="BW24" s="664"/>
      <c r="BX24" s="127">
        <v>76427428.810000002</v>
      </c>
      <c r="BY24" s="381"/>
      <c r="BZ24" s="381"/>
      <c r="CA24" s="127">
        <v>66569457.710000001</v>
      </c>
      <c r="CB24" s="381"/>
      <c r="CC24" s="381"/>
      <c r="CD24" s="167">
        <f t="shared" si="28"/>
        <v>-0.12898472778022008</v>
      </c>
      <c r="CE24" s="664"/>
      <c r="CF24" s="127">
        <v>17964825.649999999</v>
      </c>
      <c r="CG24" s="381"/>
      <c r="CH24" s="381"/>
      <c r="CI24" s="127">
        <v>13939076.319999997</v>
      </c>
      <c r="CJ24" s="381"/>
      <c r="CK24" s="381"/>
      <c r="CL24" s="167">
        <f t="shared" si="29"/>
        <v>-0.22409064292811565</v>
      </c>
      <c r="CM24" s="664"/>
      <c r="CN24" s="127">
        <v>28611609.940000001</v>
      </c>
      <c r="CO24" s="381"/>
      <c r="CP24" s="381"/>
      <c r="CQ24" s="127">
        <v>22224206.200000003</v>
      </c>
      <c r="CR24" s="432"/>
      <c r="CS24" s="432"/>
      <c r="CT24" s="665">
        <f t="shared" si="30"/>
        <v>-0.22324517052324944</v>
      </c>
      <c r="CU24" s="575"/>
      <c r="CX24" s="602"/>
      <c r="CY24" s="602">
        <f t="shared" si="31"/>
        <v>0</v>
      </c>
      <c r="CZ24" s="602"/>
      <c r="DA24" s="602">
        <f>M24</f>
        <v>0</v>
      </c>
      <c r="DB24" s="602">
        <v>0</v>
      </c>
      <c r="DC24" s="602"/>
      <c r="DD24" s="603"/>
      <c r="DE24" s="603"/>
      <c r="DF24" s="603"/>
      <c r="DG24" s="603"/>
      <c r="DH24" s="603"/>
      <c r="DI24" s="603"/>
      <c r="DJ24" s="603"/>
      <c r="DK24" s="603"/>
      <c r="DL24" s="603"/>
      <c r="DM24" s="603"/>
    </row>
    <row r="25" spans="1:118" ht="14.25">
      <c r="A25" s="1923"/>
      <c r="B25" s="1923"/>
      <c r="C25" s="285">
        <v>13.2</v>
      </c>
      <c r="D25" s="625" t="s">
        <v>1390</v>
      </c>
      <c r="E25" s="480" t="s">
        <v>256</v>
      </c>
      <c r="F25" s="275"/>
      <c r="G25" s="260"/>
      <c r="H25" s="275"/>
      <c r="I25" s="282"/>
      <c r="J25" s="588">
        <f t="shared" si="19"/>
        <v>73160422.11499998</v>
      </c>
      <c r="K25" s="586"/>
      <c r="L25" s="588">
        <f t="shared" si="20"/>
        <v>58883988.84300001</v>
      </c>
      <c r="M25" s="584"/>
      <c r="N25" s="566">
        <f t="shared" si="13"/>
        <v>0</v>
      </c>
      <c r="O25" s="585">
        <f t="shared" si="0"/>
        <v>0</v>
      </c>
      <c r="P25" s="584">
        <f t="shared" si="14"/>
        <v>0</v>
      </c>
      <c r="Q25" s="958">
        <f t="shared" si="15"/>
        <v>0</v>
      </c>
      <c r="R25" s="959">
        <f t="shared" si="16"/>
        <v>0</v>
      </c>
      <c r="S25" s="664"/>
      <c r="T25" s="127">
        <v>34752547.849999994</v>
      </c>
      <c r="U25" s="432"/>
      <c r="V25" s="432"/>
      <c r="W25" s="127">
        <v>35413069.840000004</v>
      </c>
      <c r="X25" s="432"/>
      <c r="Y25" s="432"/>
      <c r="Z25" s="167">
        <f t="shared" si="21"/>
        <v>1.9006433509594078E-2</v>
      </c>
      <c r="AA25" s="664"/>
      <c r="AB25" s="127">
        <v>196697493.28</v>
      </c>
      <c r="AC25" s="381"/>
      <c r="AD25" s="381"/>
      <c r="AE25" s="127">
        <v>154175172.03</v>
      </c>
      <c r="AF25" s="432"/>
      <c r="AG25" s="432"/>
      <c r="AH25" s="167">
        <f t="shared" si="22"/>
        <v>-0.21618130735133079</v>
      </c>
      <c r="AI25" s="664"/>
      <c r="AJ25" s="127">
        <v>105927976.04999998</v>
      </c>
      <c r="AK25" s="381"/>
      <c r="AL25" s="381"/>
      <c r="AM25" s="127">
        <v>89467125.179999992</v>
      </c>
      <c r="AN25" s="381"/>
      <c r="AO25" s="381"/>
      <c r="AP25" s="167">
        <f t="shared" si="23"/>
        <v>-0.1553966334845307</v>
      </c>
      <c r="AQ25" s="664"/>
      <c r="AR25" s="127">
        <v>58242500.719999999</v>
      </c>
      <c r="AS25" s="381"/>
      <c r="AT25" s="381"/>
      <c r="AU25" s="127">
        <v>33407888.859999999</v>
      </c>
      <c r="AV25" s="381"/>
      <c r="AW25" s="381"/>
      <c r="AX25" s="167">
        <f t="shared" si="24"/>
        <v>-0.42640016402097924</v>
      </c>
      <c r="AY25" s="664"/>
      <c r="AZ25" s="127">
        <v>97311438.439999983</v>
      </c>
      <c r="BA25" s="381"/>
      <c r="BB25" s="381"/>
      <c r="BC25" s="127">
        <v>76845273.999999985</v>
      </c>
      <c r="BD25" s="381"/>
      <c r="BE25" s="381"/>
      <c r="BF25" s="167">
        <f t="shared" si="25"/>
        <v>-0.21031612283296963</v>
      </c>
      <c r="BG25" s="664"/>
      <c r="BH25" s="127">
        <v>100046068.73999996</v>
      </c>
      <c r="BI25" s="381"/>
      <c r="BJ25" s="381"/>
      <c r="BK25" s="127">
        <v>83704409.149999991</v>
      </c>
      <c r="BL25" s="381"/>
      <c r="BM25" s="381"/>
      <c r="BN25" s="167">
        <f t="shared" si="26"/>
        <v>-0.16334134659972233</v>
      </c>
      <c r="BO25" s="664"/>
      <c r="BP25" s="127">
        <v>17667498.670000002</v>
      </c>
      <c r="BQ25" s="381"/>
      <c r="BR25" s="381"/>
      <c r="BS25" s="127">
        <v>14694188.740000002</v>
      </c>
      <c r="BT25" s="381"/>
      <c r="BU25" s="381"/>
      <c r="BV25" s="167">
        <f t="shared" si="27"/>
        <v>-0.16829263641314307</v>
      </c>
      <c r="BW25" s="664"/>
      <c r="BX25" s="127">
        <v>75946656.310000002</v>
      </c>
      <c r="BY25" s="381"/>
      <c r="BZ25" s="381"/>
      <c r="CA25" s="127">
        <v>66087842.310000002</v>
      </c>
      <c r="CB25" s="381"/>
      <c r="CC25" s="381"/>
      <c r="CD25" s="167">
        <f t="shared" si="28"/>
        <v>-0.1298123509184943</v>
      </c>
      <c r="CE25" s="664"/>
      <c r="CF25" s="127">
        <v>17812931.149999999</v>
      </c>
      <c r="CG25" s="381"/>
      <c r="CH25" s="381"/>
      <c r="CI25" s="127">
        <v>13884412.119999997</v>
      </c>
      <c r="CJ25" s="381"/>
      <c r="CK25" s="381"/>
      <c r="CL25" s="167">
        <f t="shared" si="29"/>
        <v>-0.22054309854557552</v>
      </c>
      <c r="CM25" s="664"/>
      <c r="CN25" s="127">
        <v>27199109.940000001</v>
      </c>
      <c r="CO25" s="381"/>
      <c r="CP25" s="381"/>
      <c r="CQ25" s="127">
        <v>21160506.200000003</v>
      </c>
      <c r="CR25" s="432"/>
      <c r="CS25" s="432"/>
      <c r="CT25" s="665">
        <f t="shared" si="30"/>
        <v>-0.22201475538430793</v>
      </c>
      <c r="CU25" s="575"/>
      <c r="CX25" s="602"/>
      <c r="CY25" s="602">
        <f t="shared" si="31"/>
        <v>0</v>
      </c>
      <c r="CZ25" s="602"/>
      <c r="DA25" s="602">
        <f>M25</f>
        <v>0</v>
      </c>
      <c r="DB25" s="602">
        <v>0</v>
      </c>
      <c r="DC25" s="602"/>
      <c r="DD25" s="603"/>
      <c r="DE25" s="603"/>
      <c r="DF25" s="603"/>
      <c r="DG25" s="603"/>
      <c r="DH25" s="603"/>
      <c r="DI25" s="603"/>
      <c r="DJ25" s="603"/>
      <c r="DK25" s="603"/>
      <c r="DL25" s="603"/>
      <c r="DM25" s="603"/>
    </row>
    <row r="26" spans="1:118" ht="14.25">
      <c r="A26" s="1923"/>
      <c r="B26" s="1923"/>
      <c r="C26" s="285">
        <v>13.3</v>
      </c>
      <c r="D26" s="625" t="s">
        <v>1391</v>
      </c>
      <c r="E26" s="480" t="s">
        <v>256</v>
      </c>
      <c r="F26" s="275"/>
      <c r="G26" s="260"/>
      <c r="H26" s="275"/>
      <c r="I26" s="282"/>
      <c r="J26" s="588">
        <f t="shared" si="19"/>
        <v>3591835.1230000006</v>
      </c>
      <c r="K26" s="586"/>
      <c r="L26" s="588">
        <f t="shared" si="20"/>
        <v>5621714.5410000002</v>
      </c>
      <c r="M26" s="584"/>
      <c r="N26" s="566">
        <f t="shared" si="13"/>
        <v>0</v>
      </c>
      <c r="O26" s="585">
        <f t="shared" si="0"/>
        <v>0</v>
      </c>
      <c r="P26" s="584">
        <f t="shared" si="14"/>
        <v>0</v>
      </c>
      <c r="Q26" s="958">
        <f t="shared" si="15"/>
        <v>0</v>
      </c>
      <c r="R26" s="959">
        <f t="shared" si="16"/>
        <v>0</v>
      </c>
      <c r="S26" s="664"/>
      <c r="T26" s="127">
        <v>1440500</v>
      </c>
      <c r="U26" s="432"/>
      <c r="V26" s="432">
        <v>1440500</v>
      </c>
      <c r="W26" s="127">
        <v>1169200</v>
      </c>
      <c r="X26" s="432"/>
      <c r="Y26" s="432"/>
      <c r="Z26" s="167">
        <f t="shared" si="21"/>
        <v>-0.18833738285317603</v>
      </c>
      <c r="AA26" s="664"/>
      <c r="AB26" s="127">
        <v>10130775.23</v>
      </c>
      <c r="AC26" s="381"/>
      <c r="AD26" s="381">
        <v>10130775.23</v>
      </c>
      <c r="AE26" s="127">
        <v>8430136.9600000009</v>
      </c>
      <c r="AF26" s="432"/>
      <c r="AG26" s="432"/>
      <c r="AH26" s="167">
        <f t="shared" si="22"/>
        <v>-0.16786852253556506</v>
      </c>
      <c r="AI26" s="664"/>
      <c r="AJ26" s="127">
        <v>6830900</v>
      </c>
      <c r="AK26" s="381"/>
      <c r="AL26" s="381">
        <v>6830900</v>
      </c>
      <c r="AM26" s="127">
        <v>7003800</v>
      </c>
      <c r="AN26" s="381"/>
      <c r="AO26" s="381"/>
      <c r="AP26" s="167">
        <f t="shared" si="23"/>
        <v>2.5311452370844201E-2</v>
      </c>
      <c r="AQ26" s="664"/>
      <c r="AR26" s="127">
        <v>3000</v>
      </c>
      <c r="AS26" s="381"/>
      <c r="AT26" s="381">
        <v>3000</v>
      </c>
      <c r="AU26" s="127">
        <v>5000</v>
      </c>
      <c r="AV26" s="381"/>
      <c r="AW26" s="381"/>
      <c r="AX26" s="167">
        <f t="shared" si="24"/>
        <v>0.66666666666666674</v>
      </c>
      <c r="AY26" s="664"/>
      <c r="AZ26" s="127">
        <v>9911676</v>
      </c>
      <c r="BA26" s="381"/>
      <c r="BB26" s="381">
        <v>9911676</v>
      </c>
      <c r="BC26" s="127">
        <v>32940908.449999999</v>
      </c>
      <c r="BD26" s="381"/>
      <c r="BE26" s="381"/>
      <c r="BF26" s="167">
        <f t="shared" si="25"/>
        <v>2.3234448391977298</v>
      </c>
      <c r="BG26" s="664"/>
      <c r="BH26" s="127">
        <v>3857100</v>
      </c>
      <c r="BI26" s="381"/>
      <c r="BJ26" s="381">
        <v>3857100</v>
      </c>
      <c r="BK26" s="127">
        <v>3735300</v>
      </c>
      <c r="BL26" s="381"/>
      <c r="BM26" s="381"/>
      <c r="BN26" s="167">
        <f t="shared" si="26"/>
        <v>-3.1578128645873837E-2</v>
      </c>
      <c r="BO26" s="664"/>
      <c r="BP26" s="127">
        <v>1892200</v>
      </c>
      <c r="BQ26" s="381"/>
      <c r="BR26" s="381">
        <v>1892200</v>
      </c>
      <c r="BS26" s="127">
        <v>1453600</v>
      </c>
      <c r="BT26" s="381"/>
      <c r="BU26" s="381"/>
      <c r="BV26" s="167">
        <f t="shared" si="27"/>
        <v>-0.23179367931508299</v>
      </c>
      <c r="BW26" s="664"/>
      <c r="BX26" s="127">
        <v>416200</v>
      </c>
      <c r="BY26" s="381"/>
      <c r="BZ26" s="381">
        <v>416200</v>
      </c>
      <c r="CA26" s="127">
        <v>403000</v>
      </c>
      <c r="CB26" s="381"/>
      <c r="CC26" s="381"/>
      <c r="CD26" s="167">
        <f t="shared" si="28"/>
        <v>-3.1715521383950063E-2</v>
      </c>
      <c r="CE26" s="664"/>
      <c r="CF26" s="127">
        <v>23500</v>
      </c>
      <c r="CG26" s="381"/>
      <c r="CH26" s="381">
        <v>23500</v>
      </c>
      <c r="CI26" s="127">
        <v>12500</v>
      </c>
      <c r="CJ26" s="381"/>
      <c r="CK26" s="381"/>
      <c r="CL26" s="167">
        <f t="shared" si="29"/>
        <v>-0.46808510638297873</v>
      </c>
      <c r="CM26" s="664"/>
      <c r="CN26" s="127">
        <v>1412500</v>
      </c>
      <c r="CO26" s="381"/>
      <c r="CP26" s="381">
        <v>1412500</v>
      </c>
      <c r="CQ26" s="127">
        <v>1063700</v>
      </c>
      <c r="CR26" s="432"/>
      <c r="CS26" s="432"/>
      <c r="CT26" s="665">
        <f t="shared" si="30"/>
        <v>-0.24693805309734518</v>
      </c>
      <c r="CU26" s="575"/>
      <c r="CX26" s="602"/>
      <c r="CY26" s="602">
        <f t="shared" si="31"/>
        <v>0</v>
      </c>
      <c r="CZ26" s="602"/>
      <c r="DA26" s="602">
        <f>M26</f>
        <v>0</v>
      </c>
      <c r="DB26" s="602">
        <v>0</v>
      </c>
      <c r="DC26" s="602"/>
      <c r="DD26" s="603"/>
      <c r="DE26" s="603"/>
      <c r="DF26" s="603"/>
      <c r="DG26" s="603"/>
      <c r="DH26" s="603"/>
      <c r="DI26" s="603"/>
      <c r="DJ26" s="603"/>
      <c r="DK26" s="603"/>
      <c r="DL26" s="603"/>
      <c r="DM26" s="603"/>
    </row>
    <row r="27" spans="1:118" ht="14.25">
      <c r="A27" s="1903"/>
      <c r="B27" s="1903"/>
      <c r="C27" s="285">
        <v>13.4</v>
      </c>
      <c r="D27" s="625" t="s">
        <v>1392</v>
      </c>
      <c r="E27" s="480" t="s">
        <v>256</v>
      </c>
      <c r="F27" s="275"/>
      <c r="G27" s="260"/>
      <c r="H27" s="275"/>
      <c r="I27" s="282"/>
      <c r="J27" s="588">
        <f t="shared" si="19"/>
        <v>51278.47</v>
      </c>
      <c r="K27" s="586"/>
      <c r="L27" s="588">
        <f t="shared" si="20"/>
        <v>66082.210000000006</v>
      </c>
      <c r="M27" s="584"/>
      <c r="N27" s="566">
        <f t="shared" si="13"/>
        <v>0</v>
      </c>
      <c r="O27" s="585">
        <f t="shared" si="0"/>
        <v>0</v>
      </c>
      <c r="P27" s="584">
        <f t="shared" si="14"/>
        <v>0</v>
      </c>
      <c r="Q27" s="958">
        <f t="shared" si="15"/>
        <v>0</v>
      </c>
      <c r="R27" s="959">
        <f t="shared" si="16"/>
        <v>0</v>
      </c>
      <c r="S27" s="664"/>
      <c r="T27" s="127">
        <v>0</v>
      </c>
      <c r="U27" s="432"/>
      <c r="V27" s="127">
        <v>0</v>
      </c>
      <c r="W27" s="127">
        <v>0</v>
      </c>
      <c r="X27" s="432"/>
      <c r="Y27" s="432"/>
      <c r="Z27" s="167">
        <f t="shared" si="21"/>
        <v>0</v>
      </c>
      <c r="AA27" s="664"/>
      <c r="AB27" s="127">
        <v>153424.70000000001</v>
      </c>
      <c r="AC27" s="381"/>
      <c r="AD27" s="127">
        <v>153424.70000000001</v>
      </c>
      <c r="AE27" s="127">
        <v>49530.3</v>
      </c>
      <c r="AF27" s="432"/>
      <c r="AG27" s="432"/>
      <c r="AH27" s="167">
        <f t="shared" si="22"/>
        <v>-0.67716866971224321</v>
      </c>
      <c r="AI27" s="664"/>
      <c r="AJ27" s="127">
        <v>75941.700000000012</v>
      </c>
      <c r="AK27" s="381"/>
      <c r="AL27" s="381">
        <v>75941.7</v>
      </c>
      <c r="AM27" s="127">
        <v>359216.9</v>
      </c>
      <c r="AN27" s="381"/>
      <c r="AO27" s="381"/>
      <c r="AP27" s="167">
        <f t="shared" si="23"/>
        <v>3.730166693661058</v>
      </c>
      <c r="AQ27" s="664"/>
      <c r="AR27" s="127">
        <v>0</v>
      </c>
      <c r="AS27" s="381"/>
      <c r="AT27" s="1700">
        <v>0</v>
      </c>
      <c r="AU27" s="127">
        <v>0</v>
      </c>
      <c r="AV27" s="381"/>
      <c r="AW27" s="381"/>
      <c r="AX27" s="167">
        <f t="shared" si="24"/>
        <v>0</v>
      </c>
      <c r="AY27" s="664"/>
      <c r="AZ27" s="127">
        <v>38185.5</v>
      </c>
      <c r="BA27" s="381"/>
      <c r="BB27" s="381">
        <v>38185.5</v>
      </c>
      <c r="BC27" s="127">
        <v>66335.600000000006</v>
      </c>
      <c r="BD27" s="381"/>
      <c r="BE27" s="381"/>
      <c r="BF27" s="167">
        <f t="shared" si="25"/>
        <v>0.7371934372994986</v>
      </c>
      <c r="BG27" s="664"/>
      <c r="BH27" s="127">
        <v>52265.799999999996</v>
      </c>
      <c r="BI27" s="381"/>
      <c r="BJ27" s="381">
        <v>52265.8</v>
      </c>
      <c r="BK27" s="127">
        <v>64959.700000000004</v>
      </c>
      <c r="BL27" s="381"/>
      <c r="BM27" s="381"/>
      <c r="BN27" s="167">
        <f t="shared" si="26"/>
        <v>0.24287201190836094</v>
      </c>
      <c r="BO27" s="664"/>
      <c r="BP27" s="127">
        <v>0</v>
      </c>
      <c r="BQ27" s="381"/>
      <c r="BR27" s="381">
        <v>0</v>
      </c>
      <c r="BS27" s="127">
        <v>0</v>
      </c>
      <c r="BT27" s="381"/>
      <c r="BU27" s="381"/>
      <c r="BV27" s="167">
        <f t="shared" si="27"/>
        <v>0</v>
      </c>
      <c r="BW27" s="664"/>
      <c r="BX27" s="127">
        <v>64572.5</v>
      </c>
      <c r="BY27" s="381"/>
      <c r="BZ27" s="381">
        <v>64572.5</v>
      </c>
      <c r="CA27" s="127">
        <v>78615.400000000009</v>
      </c>
      <c r="CB27" s="381"/>
      <c r="CC27" s="381"/>
      <c r="CD27" s="167">
        <f t="shared" si="28"/>
        <v>0.21747493127879536</v>
      </c>
      <c r="CE27" s="664"/>
      <c r="CF27" s="127">
        <v>128394.5</v>
      </c>
      <c r="CG27" s="381"/>
      <c r="CH27" s="381">
        <v>128394.5</v>
      </c>
      <c r="CI27" s="127">
        <v>42164.2</v>
      </c>
      <c r="CJ27" s="381"/>
      <c r="CK27" s="381"/>
      <c r="CL27" s="167">
        <f t="shared" si="29"/>
        <v>-0.6716043132688706</v>
      </c>
      <c r="CM27" s="664"/>
      <c r="CN27" s="127">
        <v>0</v>
      </c>
      <c r="CO27" s="381"/>
      <c r="CP27" s="381">
        <v>0</v>
      </c>
      <c r="CQ27" s="127">
        <v>0</v>
      </c>
      <c r="CR27" s="432"/>
      <c r="CS27" s="432"/>
      <c r="CT27" s="665">
        <f t="shared" si="30"/>
        <v>0</v>
      </c>
      <c r="CU27" s="575"/>
      <c r="CX27" s="602"/>
      <c r="CY27" s="602">
        <f t="shared" si="31"/>
        <v>0</v>
      </c>
      <c r="CZ27" s="602"/>
      <c r="DA27" s="602">
        <f>M27</f>
        <v>0</v>
      </c>
      <c r="DB27" s="602">
        <v>0</v>
      </c>
      <c r="DC27" s="602"/>
      <c r="DD27" s="603"/>
      <c r="DE27" s="603"/>
      <c r="DF27" s="603"/>
      <c r="DG27" s="603"/>
      <c r="DH27" s="603"/>
      <c r="DI27" s="603"/>
      <c r="DJ27" s="603"/>
      <c r="DK27" s="603"/>
      <c r="DL27" s="603"/>
      <c r="DM27" s="603"/>
    </row>
    <row r="28" spans="1:118" ht="14.25">
      <c r="A28" s="1940" t="s">
        <v>1394</v>
      </c>
      <c r="B28" s="1940" t="s">
        <v>1395</v>
      </c>
      <c r="C28" s="284">
        <v>14</v>
      </c>
      <c r="D28" s="79" t="s">
        <v>1393</v>
      </c>
      <c r="E28" s="475"/>
      <c r="F28" s="275"/>
      <c r="G28" s="260" t="s">
        <v>483</v>
      </c>
      <c r="H28" s="275" t="s">
        <v>284</v>
      </c>
      <c r="I28" s="622">
        <v>3</v>
      </c>
      <c r="J28" s="588">
        <f t="shared" si="19"/>
        <v>1</v>
      </c>
      <c r="K28" s="586">
        <f>AVERAGE(CO28,CG28,BY28,BQ28,BI28,BA28,AS28,AK28,AC28,U28)</f>
        <v>3</v>
      </c>
      <c r="L28" s="588">
        <f t="shared" si="20"/>
        <v>1</v>
      </c>
      <c r="M28" s="584">
        <f>AVERAGE(CR28,CJ28,CB28,BT28,BL28,BD28,AV28,AN28,AF28,X28)</f>
        <v>3</v>
      </c>
      <c r="N28" s="566">
        <f t="shared" si="13"/>
        <v>0</v>
      </c>
      <c r="O28" s="585">
        <f t="shared" si="0"/>
        <v>0</v>
      </c>
      <c r="P28" s="584">
        <f t="shared" si="14"/>
        <v>0</v>
      </c>
      <c r="Q28" s="958">
        <f t="shared" si="15"/>
        <v>0</v>
      </c>
      <c r="R28" s="959">
        <f t="shared" si="16"/>
        <v>0</v>
      </c>
      <c r="S28" s="664"/>
      <c r="T28" s="167">
        <f>IF(SUM(T30:T31)=0,"",T29/SUM(T30:T31))</f>
        <v>1</v>
      </c>
      <c r="U28" s="618">
        <f>IF(T28&gt;=0.95,3,IF(T28&gt;=0.9,1,0))</f>
        <v>3</v>
      </c>
      <c r="V28" s="1446"/>
      <c r="W28" s="167">
        <f>IF(SUM(W30:W31)=0,"",W29/SUM(W30:W31))</f>
        <v>1</v>
      </c>
      <c r="X28" s="1025">
        <f>IF(W28&gt;=0.95,3,IF(W28&gt;=0.9,1,0))</f>
        <v>3</v>
      </c>
      <c r="Y28" s="1434"/>
      <c r="Z28" s="167">
        <f t="shared" si="21"/>
        <v>0</v>
      </c>
      <c r="AA28" s="664"/>
      <c r="AB28" s="167">
        <f>IF(SUM(AB30:AB31)=0,"",AB29/SUM(AB30:AB31))</f>
        <v>1</v>
      </c>
      <c r="AC28" s="621">
        <f>IF(AB28&gt;=0.95,3,IF(AB28&gt;=0.9,1,0))</f>
        <v>3</v>
      </c>
      <c r="AD28" s="1449"/>
      <c r="AE28" s="167">
        <f>IF(SUM(AE30:AE31)=0,"",AE29/SUM(AE30:AE31))</f>
        <v>1</v>
      </c>
      <c r="AF28" s="977">
        <f>IF(AE28&gt;=0.95,3,IF(AE28&gt;=0.9,1,0))</f>
        <v>3</v>
      </c>
      <c r="AG28" s="1434"/>
      <c r="AH28" s="167">
        <f t="shared" si="22"/>
        <v>0</v>
      </c>
      <c r="AI28" s="664"/>
      <c r="AJ28" s="167">
        <f>IF(SUM(AJ30:AJ31)=0,"",AJ29/SUM(AJ30:AJ31))</f>
        <v>1</v>
      </c>
      <c r="AK28" s="621">
        <f>IF(AJ28&gt;=0.95,3,IF(AJ28&gt;=0.9,1,0))</f>
        <v>3</v>
      </c>
      <c r="AL28" s="1449"/>
      <c r="AM28" s="167">
        <f>IF(SUM(AM30:AM31)=0,"",AM29/SUM(AM30:AM31))</f>
        <v>1</v>
      </c>
      <c r="AN28" s="621">
        <f>IF(AM28&gt;=0.95,3,IF(AM28&gt;=0.9,1,0))</f>
        <v>3</v>
      </c>
      <c r="AO28" s="1437"/>
      <c r="AP28" s="167">
        <f t="shared" si="23"/>
        <v>0</v>
      </c>
      <c r="AQ28" s="664"/>
      <c r="AR28" s="167">
        <f>IF(SUM(AR30:AR31)=0,"",AR29/SUM(AR30:AR31))</f>
        <v>1</v>
      </c>
      <c r="AS28" s="621">
        <f>IF(AR28&gt;=0.95,3,IF(AR28&gt;=0.9,1,0))</f>
        <v>3</v>
      </c>
      <c r="AT28" s="1449"/>
      <c r="AU28" s="167">
        <f>IF(SUM(AU30:AU31)=0,"",AU29/SUM(AU30:AU31))</f>
        <v>1</v>
      </c>
      <c r="AV28" s="621">
        <f>IF(AU28&gt;=0.95,3,IF(AU28&gt;=0.9,1,0))</f>
        <v>3</v>
      </c>
      <c r="AW28" s="1437"/>
      <c r="AX28" s="167">
        <f t="shared" si="24"/>
        <v>0</v>
      </c>
      <c r="AY28" s="664"/>
      <c r="AZ28" s="167">
        <f>IF(SUM(AZ30:AZ31)=0,"",AZ29/SUM(AZ30:AZ31))</f>
        <v>1</v>
      </c>
      <c r="BA28" s="621">
        <f>IF(AZ28&gt;=0.95,3,IF(AZ28&gt;=0.9,1,0))</f>
        <v>3</v>
      </c>
      <c r="BB28" s="1449"/>
      <c r="BC28" s="167">
        <f>IF(SUM(BC30:BC31)=0,"",BC29/SUM(BC30:BC31))</f>
        <v>1</v>
      </c>
      <c r="BD28" s="621">
        <f>IF(BC28&gt;=0.95,3,IF(BC28&gt;=0.9,1,0))</f>
        <v>3</v>
      </c>
      <c r="BE28" s="1437"/>
      <c r="BF28" s="167">
        <f t="shared" si="25"/>
        <v>0</v>
      </c>
      <c r="BG28" s="664"/>
      <c r="BH28" s="167">
        <f>IF(SUM(BH30:BH31)=0,"",BH29/SUM(BH30:BH31))</f>
        <v>1</v>
      </c>
      <c r="BI28" s="621">
        <f>IF(BH28&gt;=0.95,3,IF(BH28&gt;=0.9,1,0))</f>
        <v>3</v>
      </c>
      <c r="BJ28" s="1449"/>
      <c r="BK28" s="167">
        <f>IF(SUM(BK30:BK31)=0,"",BK29/SUM(BK30:BK31))</f>
        <v>1</v>
      </c>
      <c r="BL28" s="621">
        <f>IF(BK28&gt;=0.95,3,IF(BK28&gt;=0.9,1,0))</f>
        <v>3</v>
      </c>
      <c r="BM28" s="1437"/>
      <c r="BN28" s="167">
        <f t="shared" si="26"/>
        <v>0</v>
      </c>
      <c r="BO28" s="664"/>
      <c r="BP28" s="167">
        <f>IF(SUM(BP30:BP31)=0,"",BP29/SUM(BP30:BP31))</f>
        <v>1</v>
      </c>
      <c r="BQ28" s="621">
        <f>IF(BP28&gt;=0.95,3,IF(BP28&gt;=0.9,1,0))</f>
        <v>3</v>
      </c>
      <c r="BR28" s="1449"/>
      <c r="BS28" s="167">
        <f>IF(SUM(BS30:BS31)=0,"",BS29/SUM(BS30:BS31))</f>
        <v>1</v>
      </c>
      <c r="BT28" s="621">
        <f>IF(BS28&gt;=0.95,3,IF(BS28&gt;=0.9,1,0))</f>
        <v>3</v>
      </c>
      <c r="BU28" s="1437"/>
      <c r="BV28" s="167">
        <f t="shared" si="27"/>
        <v>0</v>
      </c>
      <c r="BW28" s="664"/>
      <c r="BX28" s="167">
        <f>IF(SUM(BX30:BX31)=0,"",BX29/SUM(BX30:BX31))</f>
        <v>1</v>
      </c>
      <c r="BY28" s="621">
        <f>IF(BX28&gt;=0.95,3,IF(BX28&gt;=0.9,1,0))</f>
        <v>3</v>
      </c>
      <c r="BZ28" s="1449"/>
      <c r="CA28" s="167">
        <f>IF(SUM(CA30:CA31)=0,"",CA29/SUM(CA30:CA31))</f>
        <v>1</v>
      </c>
      <c r="CB28" s="621">
        <f>IF(CA28&gt;=0.95,3,IF(CA28&gt;=0.9,1,0))</f>
        <v>3</v>
      </c>
      <c r="CC28" s="1437"/>
      <c r="CD28" s="167">
        <f t="shared" si="28"/>
        <v>0</v>
      </c>
      <c r="CE28" s="664"/>
      <c r="CF28" s="167">
        <f>IF(SUM(CF30:CF31)=0,"",CF29/SUM(CF30:CF31))</f>
        <v>1</v>
      </c>
      <c r="CG28" s="621">
        <f>IF(CF28&gt;=0.95,3,IF(CF28&gt;=0.9,1,0))</f>
        <v>3</v>
      </c>
      <c r="CH28" s="1449"/>
      <c r="CI28" s="167">
        <f>IF(SUM(CI30:CI31)=0,"",CI29/SUM(CI30:CI31))</f>
        <v>1</v>
      </c>
      <c r="CJ28" s="621">
        <f>IF(CI28&gt;=0.95,3,IF(CI28&gt;=0.9,1,0))</f>
        <v>3</v>
      </c>
      <c r="CK28" s="1437"/>
      <c r="CL28" s="167">
        <f t="shared" si="29"/>
        <v>0</v>
      </c>
      <c r="CM28" s="664"/>
      <c r="CN28" s="167">
        <f>IF(SUM(CN30:CN31)=0,"",CN29/SUM(CN30:CN31))</f>
        <v>1</v>
      </c>
      <c r="CO28" s="621">
        <f>IF(CN28&gt;=0.95,3,IF(CN28&gt;=0.9,1,0))</f>
        <v>3</v>
      </c>
      <c r="CP28" s="1449"/>
      <c r="CQ28" s="167">
        <f>IF(SUM(CQ30:CQ31)=0,"",CQ29/SUM(CQ30:CQ31))</f>
        <v>1</v>
      </c>
      <c r="CR28" s="618">
        <f>IF(CQ28&gt;=0.95,3,IF(CQ28&gt;=0.9,1,0))</f>
        <v>3</v>
      </c>
      <c r="CS28" s="1434"/>
      <c r="CT28" s="665">
        <f t="shared" si="30"/>
        <v>0</v>
      </c>
      <c r="CU28" s="575"/>
      <c r="CX28" s="602"/>
      <c r="CY28" s="602">
        <f t="shared" si="31"/>
        <v>3</v>
      </c>
      <c r="CZ28" s="602">
        <v>1</v>
      </c>
      <c r="DA28" s="602">
        <f>$M28</f>
        <v>3</v>
      </c>
      <c r="DB28" s="602">
        <v>0</v>
      </c>
      <c r="DC28" s="602"/>
      <c r="DD28" s="602">
        <v>1</v>
      </c>
      <c r="DE28" s="602">
        <f>$M28</f>
        <v>3</v>
      </c>
      <c r="DF28" s="602">
        <v>1</v>
      </c>
      <c r="DG28" s="602">
        <f>$M28</f>
        <v>3</v>
      </c>
      <c r="DH28" s="602">
        <v>1</v>
      </c>
      <c r="DI28" s="602">
        <f>$M28</f>
        <v>3</v>
      </c>
      <c r="DJ28" s="602">
        <v>1</v>
      </c>
      <c r="DK28" s="602">
        <f>$M28</f>
        <v>3</v>
      </c>
      <c r="DL28" s="602">
        <v>1</v>
      </c>
      <c r="DM28" s="602">
        <f>$M28</f>
        <v>3</v>
      </c>
    </row>
    <row r="29" spans="1:118" ht="14.25">
      <c r="A29" s="1923"/>
      <c r="B29" s="1923"/>
      <c r="C29" s="285">
        <v>14.1</v>
      </c>
      <c r="D29" s="625" t="s">
        <v>1396</v>
      </c>
      <c r="E29" s="480" t="s">
        <v>256</v>
      </c>
      <c r="F29" s="275"/>
      <c r="G29" s="260"/>
      <c r="H29" s="275"/>
      <c r="I29" s="282"/>
      <c r="J29" s="588">
        <f t="shared" si="19"/>
        <v>30551717.104000013</v>
      </c>
      <c r="K29" s="586"/>
      <c r="L29" s="588">
        <f t="shared" si="20"/>
        <v>32167034.159999996</v>
      </c>
      <c r="M29" s="584"/>
      <c r="N29" s="566">
        <f t="shared" si="13"/>
        <v>0</v>
      </c>
      <c r="O29" s="585">
        <f t="shared" si="0"/>
        <v>0</v>
      </c>
      <c r="P29" s="584">
        <f t="shared" si="14"/>
        <v>0</v>
      </c>
      <c r="Q29" s="958">
        <f t="shared" si="15"/>
        <v>0</v>
      </c>
      <c r="R29" s="959">
        <f t="shared" si="16"/>
        <v>0</v>
      </c>
      <c r="S29" s="664"/>
      <c r="T29" s="127">
        <v>37299795.909999996</v>
      </c>
      <c r="U29" s="62"/>
      <c r="V29" s="62"/>
      <c r="W29" s="127">
        <v>32754447.699999996</v>
      </c>
      <c r="X29" s="1025"/>
      <c r="Y29" s="1434"/>
      <c r="Z29" s="167">
        <f t="shared" si="21"/>
        <v>-0.12185986810671534</v>
      </c>
      <c r="AA29" s="664"/>
      <c r="AB29" s="127">
        <v>64579270.810000032</v>
      </c>
      <c r="AC29" s="621"/>
      <c r="AD29" s="1449"/>
      <c r="AE29" s="127">
        <v>49786263.530000001</v>
      </c>
      <c r="AF29" s="977"/>
      <c r="AG29" s="1434"/>
      <c r="AH29" s="167">
        <f t="shared" si="22"/>
        <v>-0.229067425111114</v>
      </c>
      <c r="AI29" s="664"/>
      <c r="AJ29" s="127">
        <v>35386059.630000003</v>
      </c>
      <c r="AK29" s="621"/>
      <c r="AL29" s="1449"/>
      <c r="AM29" s="127">
        <v>56044646.539999999</v>
      </c>
      <c r="AN29" s="621"/>
      <c r="AO29" s="1437"/>
      <c r="AP29" s="167">
        <f t="shared" si="23"/>
        <v>0.58380580166337093</v>
      </c>
      <c r="AQ29" s="664"/>
      <c r="AR29" s="127">
        <v>33897177.19000002</v>
      </c>
      <c r="AS29" s="621"/>
      <c r="AT29" s="1449"/>
      <c r="AU29" s="127">
        <v>23572547.719999999</v>
      </c>
      <c r="AV29" s="621"/>
      <c r="AW29" s="1437"/>
      <c r="AX29" s="167">
        <f t="shared" si="24"/>
        <v>-0.30458670384641595</v>
      </c>
      <c r="AY29" s="664"/>
      <c r="AZ29" s="127">
        <v>42906379.93000003</v>
      </c>
      <c r="BA29" s="621"/>
      <c r="BB29" s="1449"/>
      <c r="BC29" s="127">
        <v>70865842.060000002</v>
      </c>
      <c r="BD29" s="621"/>
      <c r="BE29" s="1437"/>
      <c r="BF29" s="167">
        <f t="shared" si="25"/>
        <v>0.65163880466295843</v>
      </c>
      <c r="BG29" s="664"/>
      <c r="BH29" s="127">
        <v>37715224.250000045</v>
      </c>
      <c r="BI29" s="621"/>
      <c r="BJ29" s="1449"/>
      <c r="BK29" s="127">
        <v>40623343.510000005</v>
      </c>
      <c r="BL29" s="621"/>
      <c r="BM29" s="1437"/>
      <c r="BN29" s="167">
        <f t="shared" si="26"/>
        <v>7.7107303955642248E-2</v>
      </c>
      <c r="BO29" s="664"/>
      <c r="BP29" s="127">
        <v>13197153.280000001</v>
      </c>
      <c r="BQ29" s="621"/>
      <c r="BR29" s="1449"/>
      <c r="BS29" s="127">
        <v>11015223.270000001</v>
      </c>
      <c r="BT29" s="621"/>
      <c r="BU29" s="1437"/>
      <c r="BV29" s="167">
        <f t="shared" si="27"/>
        <v>-0.16533338392808294</v>
      </c>
      <c r="BW29" s="664"/>
      <c r="BX29" s="127">
        <v>22111523.72000001</v>
      </c>
      <c r="BY29" s="621"/>
      <c r="BZ29" s="1449"/>
      <c r="CA29" s="127">
        <v>22940646.710000001</v>
      </c>
      <c r="CB29" s="621"/>
      <c r="CC29" s="1437"/>
      <c r="CD29" s="167">
        <f t="shared" si="28"/>
        <v>3.7497324946902832E-2</v>
      </c>
      <c r="CE29" s="664"/>
      <c r="CF29" s="127">
        <v>9389421.6900000032</v>
      </c>
      <c r="CG29" s="621"/>
      <c r="CH29" s="1449"/>
      <c r="CI29" s="127">
        <v>6102810.1700000009</v>
      </c>
      <c r="CJ29" s="621"/>
      <c r="CK29" s="1437"/>
      <c r="CL29" s="167">
        <f t="shared" si="29"/>
        <v>-0.35003343427426803</v>
      </c>
      <c r="CM29" s="664"/>
      <c r="CN29" s="127">
        <v>9035164.6300000139</v>
      </c>
      <c r="CO29" s="621"/>
      <c r="CP29" s="1449"/>
      <c r="CQ29" s="127">
        <v>7964570.3899999997</v>
      </c>
      <c r="CR29" s="62"/>
      <c r="CS29" s="62"/>
      <c r="CT29" s="665">
        <f t="shared" si="30"/>
        <v>-0.11849194606208435</v>
      </c>
      <c r="CU29" s="575"/>
      <c r="CX29" s="602"/>
      <c r="CY29" s="602">
        <f t="shared" si="31"/>
        <v>0</v>
      </c>
      <c r="CZ29" s="602"/>
      <c r="DA29" s="602">
        <f t="shared" ref="DA29:DA37" si="32">M29</f>
        <v>0</v>
      </c>
      <c r="DB29" s="602">
        <v>0</v>
      </c>
      <c r="DC29" s="602"/>
      <c r="DD29" s="603"/>
      <c r="DE29" s="603"/>
      <c r="DF29" s="603"/>
      <c r="DG29" s="603"/>
      <c r="DH29" s="603"/>
      <c r="DI29" s="603"/>
      <c r="DJ29" s="603"/>
      <c r="DK29" s="603"/>
      <c r="DL29" s="603"/>
      <c r="DM29" s="603"/>
    </row>
    <row r="30" spans="1:118" ht="14.25">
      <c r="A30" s="1923"/>
      <c r="B30" s="1923"/>
      <c r="C30" s="285">
        <v>14.2</v>
      </c>
      <c r="D30" s="625" t="s">
        <v>1397</v>
      </c>
      <c r="E30" s="480" t="s">
        <v>256</v>
      </c>
      <c r="F30" s="275"/>
      <c r="G30" s="260"/>
      <c r="H30" s="275"/>
      <c r="I30" s="282"/>
      <c r="J30" s="588">
        <f t="shared" si="19"/>
        <v>22000360.355000012</v>
      </c>
      <c r="K30" s="586"/>
      <c r="L30" s="588">
        <f t="shared" si="20"/>
        <v>24744434.501999997</v>
      </c>
      <c r="M30" s="584"/>
      <c r="N30" s="566">
        <f t="shared" si="13"/>
        <v>0</v>
      </c>
      <c r="O30" s="585">
        <f t="shared" si="0"/>
        <v>0</v>
      </c>
      <c r="P30" s="584">
        <f t="shared" si="14"/>
        <v>0</v>
      </c>
      <c r="Q30" s="958">
        <f t="shared" si="15"/>
        <v>0</v>
      </c>
      <c r="R30" s="959">
        <f t="shared" si="16"/>
        <v>0</v>
      </c>
      <c r="S30" s="664"/>
      <c r="T30" s="127">
        <v>34451306.139999993</v>
      </c>
      <c r="U30" s="62"/>
      <c r="V30" s="62"/>
      <c r="W30" s="127">
        <v>28638088.799999997</v>
      </c>
      <c r="X30" s="1025"/>
      <c r="Y30" s="1434">
        <v>21351675.07</v>
      </c>
      <c r="Z30" s="167">
        <f t="shared" si="21"/>
        <v>-0.16873721177295242</v>
      </c>
      <c r="AA30" s="664"/>
      <c r="AB30" s="127">
        <v>48036825.700000033</v>
      </c>
      <c r="AC30" s="621"/>
      <c r="AD30" s="1449"/>
      <c r="AE30" s="127">
        <v>39640065.549999997</v>
      </c>
      <c r="AF30" s="977"/>
      <c r="AG30" s="1434">
        <v>30623713.09</v>
      </c>
      <c r="AH30" s="167">
        <f t="shared" si="22"/>
        <v>-0.17479839743032877</v>
      </c>
      <c r="AI30" s="664"/>
      <c r="AJ30" s="127">
        <v>21888981.920000006</v>
      </c>
      <c r="AK30" s="621"/>
      <c r="AL30" s="1449"/>
      <c r="AM30" s="127">
        <v>39441479.509999998</v>
      </c>
      <c r="AN30" s="621"/>
      <c r="AO30" s="1437">
        <v>30344987.079999998</v>
      </c>
      <c r="AP30" s="167">
        <f t="shared" si="23"/>
        <v>0.80188734469930933</v>
      </c>
      <c r="AQ30" s="664"/>
      <c r="AR30" s="127">
        <v>26530156.900000021</v>
      </c>
      <c r="AS30" s="621"/>
      <c r="AT30" s="1449"/>
      <c r="AU30" s="127">
        <v>18774549.73</v>
      </c>
      <c r="AV30" s="621"/>
      <c r="AW30" s="1437">
        <v>15872295.720000001</v>
      </c>
      <c r="AX30" s="167">
        <f t="shared" si="24"/>
        <v>-0.29233174908211768</v>
      </c>
      <c r="AY30" s="664"/>
      <c r="AZ30" s="127">
        <v>29581649.130000032</v>
      </c>
      <c r="BA30" s="621"/>
      <c r="BB30" s="1449"/>
      <c r="BC30" s="127">
        <v>60980472.380000003</v>
      </c>
      <c r="BD30" s="621"/>
      <c r="BE30" s="1437">
        <v>47507898.030000001</v>
      </c>
      <c r="BF30" s="167">
        <f t="shared" si="25"/>
        <v>1.0614291012652526</v>
      </c>
      <c r="BG30" s="664"/>
      <c r="BH30" s="127">
        <v>25817204.230000038</v>
      </c>
      <c r="BI30" s="621"/>
      <c r="BJ30" s="1449"/>
      <c r="BK30" s="127">
        <v>30099740.550000004</v>
      </c>
      <c r="BL30" s="621"/>
      <c r="BM30" s="1437">
        <v>23320426.629999999</v>
      </c>
      <c r="BN30" s="167">
        <f t="shared" si="26"/>
        <v>0.16587916653746682</v>
      </c>
      <c r="BO30" s="664"/>
      <c r="BP30" s="127">
        <v>9147484.5500000007</v>
      </c>
      <c r="BQ30" s="621"/>
      <c r="BR30" s="1449"/>
      <c r="BS30" s="127">
        <v>8469821.9900000021</v>
      </c>
      <c r="BT30" s="621"/>
      <c r="BU30" s="1437">
        <v>6935900.2599999998</v>
      </c>
      <c r="BV30" s="167">
        <f t="shared" si="27"/>
        <v>-7.4081847998311079E-2</v>
      </c>
      <c r="BW30" s="664"/>
      <c r="BX30" s="127">
        <v>11071625.980000008</v>
      </c>
      <c r="BY30" s="621"/>
      <c r="BZ30" s="1449"/>
      <c r="CA30" s="127">
        <v>10556352.870000001</v>
      </c>
      <c r="CB30" s="621"/>
      <c r="CC30" s="1437">
        <v>9004757</v>
      </c>
      <c r="CD30" s="167">
        <f t="shared" si="28"/>
        <v>-4.653996720362541E-2</v>
      </c>
      <c r="CE30" s="664"/>
      <c r="CF30" s="127">
        <v>6789622.9900000039</v>
      </c>
      <c r="CG30" s="621"/>
      <c r="CH30" s="1449"/>
      <c r="CI30" s="127">
        <v>4510127.040000001</v>
      </c>
      <c r="CJ30" s="621"/>
      <c r="CK30" s="1437">
        <v>3379903.26</v>
      </c>
      <c r="CL30" s="167">
        <f t="shared" si="29"/>
        <v>-0.33573233055168528</v>
      </c>
      <c r="CM30" s="664"/>
      <c r="CN30" s="127">
        <v>6688746.0100000137</v>
      </c>
      <c r="CO30" s="621"/>
      <c r="CP30" s="1449"/>
      <c r="CQ30" s="127">
        <v>6333646.5999999996</v>
      </c>
      <c r="CR30" s="62"/>
      <c r="CS30" s="62">
        <v>5387273.3799999999</v>
      </c>
      <c r="CT30" s="665">
        <f t="shared" si="30"/>
        <v>-5.3089085677513026E-2</v>
      </c>
      <c r="CU30" s="575"/>
      <c r="CX30" s="602"/>
      <c r="CY30" s="602">
        <f t="shared" si="31"/>
        <v>0</v>
      </c>
      <c r="CZ30" s="602"/>
      <c r="DA30" s="602">
        <f t="shared" si="32"/>
        <v>0</v>
      </c>
      <c r="DB30" s="602">
        <v>0</v>
      </c>
      <c r="DC30" s="602"/>
      <c r="DD30" s="603"/>
      <c r="DE30" s="603"/>
      <c r="DF30" s="603"/>
      <c r="DG30" s="603"/>
      <c r="DH30" s="603"/>
      <c r="DI30" s="603"/>
      <c r="DJ30" s="603"/>
      <c r="DK30" s="603"/>
      <c r="DL30" s="603"/>
      <c r="DM30" s="603"/>
    </row>
    <row r="31" spans="1:118" ht="14.25">
      <c r="A31" s="1903"/>
      <c r="B31" s="1903"/>
      <c r="C31" s="285">
        <v>14.3</v>
      </c>
      <c r="D31" s="625" t="s">
        <v>1398</v>
      </c>
      <c r="E31" s="480" t="s">
        <v>256</v>
      </c>
      <c r="F31" s="275"/>
      <c r="G31" s="260"/>
      <c r="H31" s="275"/>
      <c r="I31" s="282"/>
      <c r="J31" s="588">
        <f t="shared" si="19"/>
        <v>8551356.7489999998</v>
      </c>
      <c r="K31" s="586"/>
      <c r="L31" s="588">
        <f t="shared" si="20"/>
        <v>7422599.6580000017</v>
      </c>
      <c r="M31" s="584"/>
      <c r="N31" s="566">
        <f t="shared" si="13"/>
        <v>0</v>
      </c>
      <c r="O31" s="585">
        <f t="shared" si="0"/>
        <v>0</v>
      </c>
      <c r="P31" s="584">
        <f t="shared" si="14"/>
        <v>0</v>
      </c>
      <c r="Q31" s="958">
        <f t="shared" si="15"/>
        <v>0</v>
      </c>
      <c r="R31" s="959">
        <f t="shared" si="16"/>
        <v>0</v>
      </c>
      <c r="S31" s="664"/>
      <c r="T31" s="127">
        <v>2848489.7699999996</v>
      </c>
      <c r="U31" s="62"/>
      <c r="V31" s="62"/>
      <c r="W31" s="127">
        <v>4116358.9</v>
      </c>
      <c r="X31" s="1025"/>
      <c r="Y31" s="1434">
        <v>407646</v>
      </c>
      <c r="Z31" s="167">
        <f t="shared" si="21"/>
        <v>0.44510222341433958</v>
      </c>
      <c r="AA31" s="664"/>
      <c r="AB31" s="127">
        <v>16542445.109999998</v>
      </c>
      <c r="AC31" s="621"/>
      <c r="AD31" s="1449"/>
      <c r="AE31" s="127">
        <v>10146197.98</v>
      </c>
      <c r="AF31" s="977"/>
      <c r="AG31" s="1434">
        <v>2179565.9</v>
      </c>
      <c r="AH31" s="167">
        <f t="shared" si="22"/>
        <v>-0.386656693582343</v>
      </c>
      <c r="AI31" s="664"/>
      <c r="AJ31" s="127">
        <v>13497077.709999995</v>
      </c>
      <c r="AK31" s="621"/>
      <c r="AL31" s="1449"/>
      <c r="AM31" s="127">
        <v>16603167.030000001</v>
      </c>
      <c r="AN31" s="621"/>
      <c r="AO31" s="1437">
        <v>3655266.63</v>
      </c>
      <c r="AP31" s="167">
        <f t="shared" si="23"/>
        <v>0.23013050578338912</v>
      </c>
      <c r="AQ31" s="664"/>
      <c r="AR31" s="127">
        <v>7367020.290000001</v>
      </c>
      <c r="AS31" s="621"/>
      <c r="AT31" s="1449"/>
      <c r="AU31" s="127">
        <v>4797997.99</v>
      </c>
      <c r="AV31" s="621"/>
      <c r="AW31" s="1437">
        <v>1742806.56</v>
      </c>
      <c r="AX31" s="167">
        <f t="shared" si="24"/>
        <v>-0.34871931919166743</v>
      </c>
      <c r="AY31" s="664"/>
      <c r="AZ31" s="127">
        <v>13324730.799999999</v>
      </c>
      <c r="BA31" s="621"/>
      <c r="BB31" s="1449"/>
      <c r="BC31" s="127">
        <v>9885369.6799999997</v>
      </c>
      <c r="BD31" s="621"/>
      <c r="BE31" s="1437">
        <v>2719301.33</v>
      </c>
      <c r="BF31" s="167">
        <f t="shared" si="25"/>
        <v>-0.25811861955214876</v>
      </c>
      <c r="BG31" s="664"/>
      <c r="BH31" s="127">
        <v>11898020.020000003</v>
      </c>
      <c r="BI31" s="621"/>
      <c r="BJ31" s="1449"/>
      <c r="BK31" s="127">
        <v>10523602.959999999</v>
      </c>
      <c r="BL31" s="621"/>
      <c r="BM31" s="1437">
        <v>3360979.07</v>
      </c>
      <c r="BN31" s="167">
        <f t="shared" si="26"/>
        <v>-0.11551645212309902</v>
      </c>
      <c r="BO31" s="664">
        <v>33609.790699999998</v>
      </c>
      <c r="BP31" s="127">
        <v>4049668.7299999995</v>
      </c>
      <c r="BQ31" s="621"/>
      <c r="BR31" s="1449"/>
      <c r="BS31" s="127">
        <v>2545401.2799999998</v>
      </c>
      <c r="BT31" s="621"/>
      <c r="BU31" s="1437">
        <v>136232.76</v>
      </c>
      <c r="BV31" s="167">
        <f t="shared" si="27"/>
        <v>-0.37145444486764223</v>
      </c>
      <c r="BW31" s="664"/>
      <c r="BX31" s="127">
        <v>11039897.740000002</v>
      </c>
      <c r="BY31" s="621"/>
      <c r="BZ31" s="1449"/>
      <c r="CA31" s="127">
        <v>12384293.840000002</v>
      </c>
      <c r="CB31" s="621"/>
      <c r="CC31" s="1437">
        <v>3886865.49</v>
      </c>
      <c r="CD31" s="167">
        <f t="shared" si="28"/>
        <v>0.12177613703150114</v>
      </c>
      <c r="CE31" s="664"/>
      <c r="CF31" s="127">
        <v>2599798.6999999997</v>
      </c>
      <c r="CG31" s="621"/>
      <c r="CH31" s="1449"/>
      <c r="CI31" s="127">
        <v>1592683.1300000001</v>
      </c>
      <c r="CJ31" s="621"/>
      <c r="CK31" s="1437">
        <v>342152.33</v>
      </c>
      <c r="CL31" s="167">
        <f t="shared" si="29"/>
        <v>-0.38738213462449989</v>
      </c>
      <c r="CM31" s="664"/>
      <c r="CN31" s="127">
        <v>2346418.62</v>
      </c>
      <c r="CO31" s="621"/>
      <c r="CP31" s="1449"/>
      <c r="CQ31" s="127">
        <v>1630923.79</v>
      </c>
      <c r="CR31" s="62"/>
      <c r="CS31" s="62">
        <v>413496.86</v>
      </c>
      <c r="CT31" s="665">
        <f t="shared" si="30"/>
        <v>-0.3049305967406617</v>
      </c>
      <c r="CU31" s="575"/>
      <c r="CX31" s="602"/>
      <c r="CY31" s="602">
        <f t="shared" si="31"/>
        <v>0</v>
      </c>
      <c r="CZ31" s="602"/>
      <c r="DA31" s="602">
        <f t="shared" si="32"/>
        <v>0</v>
      </c>
      <c r="DB31" s="602">
        <v>0</v>
      </c>
      <c r="DC31" s="602"/>
      <c r="DD31" s="603"/>
      <c r="DE31" s="603"/>
      <c r="DF31" s="603"/>
      <c r="DG31" s="603"/>
      <c r="DH31" s="603"/>
      <c r="DI31" s="603"/>
      <c r="DJ31" s="603"/>
      <c r="DK31" s="603"/>
      <c r="DL31" s="603"/>
      <c r="DM31" s="603"/>
    </row>
    <row r="32" spans="1:118" ht="14.25" customHeight="1">
      <c r="A32" s="1930" t="s">
        <v>1400</v>
      </c>
      <c r="B32" s="1930" t="s">
        <v>1401</v>
      </c>
      <c r="C32" s="284">
        <v>15</v>
      </c>
      <c r="D32" s="999" t="s">
        <v>1399</v>
      </c>
      <c r="E32" s="475"/>
      <c r="F32" s="275"/>
      <c r="G32" s="260" t="s">
        <v>474</v>
      </c>
      <c r="H32" s="275" t="s">
        <v>284</v>
      </c>
      <c r="I32" s="622">
        <v>3</v>
      </c>
      <c r="J32" s="1011">
        <f t="shared" si="19"/>
        <v>6.6289496282082735E-2</v>
      </c>
      <c r="K32" s="1336">
        <f>AVERAGE(CO32,CG32,BY32,BQ32,BI32,BA32,AS32,AK32,AC32,U32)</f>
        <v>2.7</v>
      </c>
      <c r="L32" s="1011">
        <f t="shared" si="20"/>
        <v>7.5211261932151413E-2</v>
      </c>
      <c r="M32" s="1335">
        <f>AVERAGE(CR32,CJ32,CB32,BT32,BL32,BD32,AV32,AN32,AF32,X32)</f>
        <v>2.4</v>
      </c>
      <c r="N32" s="566">
        <f t="shared" si="13"/>
        <v>-0.30000000000000027</v>
      </c>
      <c r="O32" s="585">
        <f t="shared" si="0"/>
        <v>0.60000000000000009</v>
      </c>
      <c r="P32" s="584">
        <f t="shared" si="14"/>
        <v>0.24000000000000005</v>
      </c>
      <c r="Q32" s="958">
        <f t="shared" si="15"/>
        <v>2.6666666666666672E-2</v>
      </c>
      <c r="R32" s="959">
        <f t="shared" si="16"/>
        <v>1.3333333333333336E-2</v>
      </c>
      <c r="S32" s="664"/>
      <c r="T32" s="283">
        <f>IF(T34=0,"&lt;不适用&gt;",T33/T34)</f>
        <v>0.46402647397457913</v>
      </c>
      <c r="U32" s="618">
        <f>IF(T32&lt;=0.03,3,IF(T32&lt;=0.05,1,0))</f>
        <v>0</v>
      </c>
      <c r="V32" s="1446"/>
      <c r="W32" s="283">
        <f>IF(W34=0,"&lt;不适用&gt;",W33/W34)</f>
        <v>0.20855206632373929</v>
      </c>
      <c r="X32" s="1025">
        <f>IF(W32&lt;=0.03,3,IF(W32&lt;=0.05,1,0))</f>
        <v>0</v>
      </c>
      <c r="Y32" s="1434"/>
      <c r="Z32" s="167">
        <f t="shared" si="21"/>
        <v>-0.55055998306000864</v>
      </c>
      <c r="AA32" s="664"/>
      <c r="AB32" s="283">
        <f>IF(AB34=0,"&lt;不适用&gt;",AB33/AB34)</f>
        <v>0</v>
      </c>
      <c r="AC32" s="621">
        <f>IF(AB32&lt;=0.03,3,IF(AB32&lt;=0.05,1,0))</f>
        <v>3</v>
      </c>
      <c r="AD32" s="1449"/>
      <c r="AE32" s="283">
        <f>IF(AE34=0,"&lt;不适用&gt;",AE33/AE34)</f>
        <v>0</v>
      </c>
      <c r="AF32" s="977">
        <f>IF(AE32&lt;=0.03,3,IF(AE32&lt;=0.05,1,0))</f>
        <v>3</v>
      </c>
      <c r="AG32" s="1434"/>
      <c r="AH32" s="167">
        <f t="shared" si="22"/>
        <v>0</v>
      </c>
      <c r="AI32" s="664"/>
      <c r="AJ32" s="283" t="str">
        <f>IF(AJ34=0,"&lt;不适用&gt;",AJ33/AJ34)</f>
        <v>&lt;不适用&gt;</v>
      </c>
      <c r="AK32" s="621">
        <v>3</v>
      </c>
      <c r="AL32" s="1449"/>
      <c r="AM32" s="283">
        <f>IF(AM34=0,"&lt;不适用&gt;",AM33/AM34)</f>
        <v>0</v>
      </c>
      <c r="AN32" s="1352">
        <v>3</v>
      </c>
      <c r="AO32" s="1437"/>
      <c r="AP32" s="167" t="e">
        <f t="shared" si="23"/>
        <v>#VALUE!</v>
      </c>
      <c r="AQ32" s="664"/>
      <c r="AR32" s="283">
        <f>IF(AR34=0,"&lt;不适用&gt;",AR33/AR34)</f>
        <v>0</v>
      </c>
      <c r="AS32" s="621">
        <f>IF(AR32&lt;=0.03,3,IF(AR32&lt;=0.05,1,0))</f>
        <v>3</v>
      </c>
      <c r="AT32" s="1449"/>
      <c r="AU32" s="283">
        <f>IF(AU34=0,"&lt;不适用&gt;",AU33/AU34)</f>
        <v>0</v>
      </c>
      <c r="AV32" s="621">
        <f>IF(AU32&lt;=0.03,3,IF(AU32&lt;=0.05,1,0))</f>
        <v>3</v>
      </c>
      <c r="AW32" s="1437"/>
      <c r="AX32" s="167">
        <f t="shared" si="24"/>
        <v>0</v>
      </c>
      <c r="AY32" s="664"/>
      <c r="AZ32" s="283">
        <f>IF(AZ34=0,"&lt;不适用&gt;",AZ33/AZ34)</f>
        <v>0</v>
      </c>
      <c r="BA32" s="621">
        <f>IF(AZ32&lt;=0.03,3,IF(AZ32&lt;=0.05,1,0))</f>
        <v>3</v>
      </c>
      <c r="BB32" s="1449"/>
      <c r="BC32" s="283">
        <f>IF(BC34=0,"&lt;不适用&gt;",BC33/BC34)</f>
        <v>0</v>
      </c>
      <c r="BD32" s="621">
        <f>IF(BC32&lt;=0.03,3,IF(BC32&lt;=0.05,1,0))</f>
        <v>3</v>
      </c>
      <c r="BE32" s="1437"/>
      <c r="BF32" s="167">
        <f t="shared" si="25"/>
        <v>0</v>
      </c>
      <c r="BG32" s="664"/>
      <c r="BH32" s="283">
        <f>IF(BH34=0,"&lt;不适用&gt;",BH33/BH34)</f>
        <v>0</v>
      </c>
      <c r="BI32" s="621">
        <f>IF(BH32&lt;=0.03,3,IF(BH32&lt;=0.05,1,0))</f>
        <v>3</v>
      </c>
      <c r="BJ32" s="1449"/>
      <c r="BK32" s="283">
        <f>IF(BK34=0,"&lt;不适用&gt;",BK33/BK34)</f>
        <v>0</v>
      </c>
      <c r="BL32" s="621">
        <f>IF(BK32&lt;=0.03,3,IF(BK32&lt;=0.05,1,0))</f>
        <v>3</v>
      </c>
      <c r="BM32" s="1437"/>
      <c r="BN32" s="167">
        <f t="shared" si="26"/>
        <v>0</v>
      </c>
      <c r="BO32" s="664"/>
      <c r="BP32" s="283">
        <f>IF(BP34=0,"&lt;不适用&gt;",BP33/BP34)</f>
        <v>0</v>
      </c>
      <c r="BQ32" s="621">
        <f>IF(BP32&lt;=0.03,3,IF(BP32&lt;=0.05,1,0))</f>
        <v>3</v>
      </c>
      <c r="BR32" s="1449"/>
      <c r="BS32" s="283">
        <f>IF(BS34=0,"&lt;不适用&gt;",BS33/BS34)</f>
        <v>0</v>
      </c>
      <c r="BT32" s="621">
        <f>IF(BS32&lt;=0.03,3,IF(BS32&lt;=0.05,1,0))</f>
        <v>3</v>
      </c>
      <c r="BU32" s="1437"/>
      <c r="BV32" s="167">
        <f t="shared" si="27"/>
        <v>0</v>
      </c>
      <c r="BW32" s="664"/>
      <c r="BX32" s="283" t="str">
        <f>IF(BX34=0,"&lt;不适用&gt;",BX33/BX34)</f>
        <v>&lt;不适用&gt;</v>
      </c>
      <c r="BY32" s="1352">
        <v>3</v>
      </c>
      <c r="BZ32" s="1449"/>
      <c r="CA32" s="283" t="str">
        <f>IF(CA34=0,"&lt;不适用&gt;",CA33/CA34)</f>
        <v>&lt;不适用&gt;</v>
      </c>
      <c r="CB32" s="621">
        <v>3</v>
      </c>
      <c r="CC32" s="1437"/>
      <c r="CD32" s="167" t="e">
        <f t="shared" si="28"/>
        <v>#VALUE!</v>
      </c>
      <c r="CE32" s="664"/>
      <c r="CF32" s="283" t="str">
        <f>IF(CF34=0,"&lt;不适用&gt;",CF33/CF34)</f>
        <v>&lt;不适用&gt;</v>
      </c>
      <c r="CG32" s="621">
        <v>3</v>
      </c>
      <c r="CH32" s="1449"/>
      <c r="CI32" s="283">
        <f>IF(CI34=0,"&lt;不适用&gt;",CI33/CI34)</f>
        <v>0</v>
      </c>
      <c r="CJ32" s="621">
        <v>3</v>
      </c>
      <c r="CK32" s="1437"/>
      <c r="CL32" s="167" t="e">
        <f t="shared" si="29"/>
        <v>#VALUE!</v>
      </c>
      <c r="CM32" s="664"/>
      <c r="CN32" s="283">
        <f>IF(CN34=0,"&lt;不适用&gt;",CN33/CN34)</f>
        <v>0</v>
      </c>
      <c r="CO32" s="621">
        <f>IF(CN32&lt;=0.03,3,IF(CN32&lt;=0.05,1,0))</f>
        <v>3</v>
      </c>
      <c r="CP32" s="1449"/>
      <c r="CQ32" s="283">
        <f>IF(CQ34=0,"&lt;不适用&gt;",CQ33/CQ34)</f>
        <v>0.4683492910656234</v>
      </c>
      <c r="CR32" s="618">
        <f>IF(CQ32&lt;=0.03,3,IF(CQ32&lt;=0.05,1,0))</f>
        <v>0</v>
      </c>
      <c r="CS32" s="1434"/>
      <c r="CT32" s="665">
        <f t="shared" si="30"/>
        <v>1</v>
      </c>
      <c r="CX32" s="602"/>
      <c r="CY32" s="602">
        <f t="shared" si="31"/>
        <v>2.4</v>
      </c>
      <c r="CZ32" s="602">
        <v>0.5</v>
      </c>
      <c r="DA32" s="602">
        <f t="shared" si="32"/>
        <v>2.4</v>
      </c>
      <c r="DB32" s="602">
        <v>0</v>
      </c>
      <c r="DC32" s="602"/>
      <c r="DD32" s="603"/>
      <c r="DE32" s="603"/>
      <c r="DF32" s="603">
        <v>1</v>
      </c>
      <c r="DG32" s="604">
        <f>$M32</f>
        <v>2.4</v>
      </c>
      <c r="DH32" s="603"/>
      <c r="DI32" s="603"/>
      <c r="DJ32" s="603"/>
      <c r="DK32" s="603"/>
      <c r="DL32" s="603"/>
      <c r="DM32" s="603"/>
    </row>
    <row r="33" spans="1:119" ht="16.5" customHeight="1">
      <c r="A33" s="1923"/>
      <c r="B33" s="1923"/>
      <c r="C33" s="285">
        <v>15.1</v>
      </c>
      <c r="D33" s="625" t="s">
        <v>1402</v>
      </c>
      <c r="E33" s="480" t="s">
        <v>256</v>
      </c>
      <c r="F33" s="275"/>
      <c r="G33" s="260"/>
      <c r="H33" s="275"/>
      <c r="I33" s="282"/>
      <c r="J33" s="588">
        <f t="shared" si="19"/>
        <v>54139.255000000005</v>
      </c>
      <c r="K33" s="586"/>
      <c r="L33" s="588">
        <f t="shared" si="20"/>
        <v>23704.855</v>
      </c>
      <c r="M33" s="584"/>
      <c r="N33" s="566">
        <f t="shared" si="13"/>
        <v>0</v>
      </c>
      <c r="O33" s="585">
        <f t="shared" si="0"/>
        <v>0</v>
      </c>
      <c r="P33" s="584">
        <f t="shared" si="14"/>
        <v>0</v>
      </c>
      <c r="Q33" s="958">
        <f t="shared" si="15"/>
        <v>0</v>
      </c>
      <c r="R33" s="959">
        <f t="shared" si="16"/>
        <v>0</v>
      </c>
      <c r="S33" s="664"/>
      <c r="T33" s="433">
        <v>541392.55000000005</v>
      </c>
      <c r="U33" s="583"/>
      <c r="V33" s="583"/>
      <c r="W33" s="433">
        <v>185184.8</v>
      </c>
      <c r="X33" s="984"/>
      <c r="Y33" s="984"/>
      <c r="Z33" s="167">
        <f t="shared" si="21"/>
        <v>-0.65794726949973736</v>
      </c>
      <c r="AA33" s="664"/>
      <c r="AB33" s="127">
        <v>0</v>
      </c>
      <c r="AC33" s="127"/>
      <c r="AD33" s="127"/>
      <c r="AE33" s="127">
        <v>0</v>
      </c>
      <c r="AF33" s="985"/>
      <c r="AG33" s="985"/>
      <c r="AH33" s="167">
        <f t="shared" si="22"/>
        <v>0</v>
      </c>
      <c r="AI33" s="664"/>
      <c r="AJ33" s="433">
        <v>0</v>
      </c>
      <c r="AK33" s="433"/>
      <c r="AL33" s="433"/>
      <c r="AM33" s="433">
        <v>0</v>
      </c>
      <c r="AN33" s="433"/>
      <c r="AO33" s="433"/>
      <c r="AP33" s="167">
        <f t="shared" si="23"/>
        <v>0</v>
      </c>
      <c r="AQ33" s="664"/>
      <c r="AR33" s="127">
        <v>0</v>
      </c>
      <c r="AS33" s="127"/>
      <c r="AT33" s="127"/>
      <c r="AU33" s="127">
        <v>0</v>
      </c>
      <c r="AV33" s="127"/>
      <c r="AW33" s="127"/>
      <c r="AX33" s="167">
        <f t="shared" si="24"/>
        <v>0</v>
      </c>
      <c r="AY33" s="664"/>
      <c r="AZ33" s="433">
        <v>0</v>
      </c>
      <c r="BA33" s="433"/>
      <c r="BB33" s="433"/>
      <c r="BC33" s="433">
        <v>0</v>
      </c>
      <c r="BD33" s="433"/>
      <c r="BE33" s="433"/>
      <c r="BF33" s="167">
        <f t="shared" si="25"/>
        <v>0</v>
      </c>
      <c r="BG33" s="664"/>
      <c r="BH33" s="127">
        <v>0</v>
      </c>
      <c r="BI33" s="127"/>
      <c r="BJ33" s="127"/>
      <c r="BK33" s="127">
        <v>0</v>
      </c>
      <c r="BL33" s="127"/>
      <c r="BM33" s="127"/>
      <c r="BN33" s="167">
        <f t="shared" si="26"/>
        <v>0</v>
      </c>
      <c r="BO33" s="664"/>
      <c r="BP33" s="433">
        <v>0</v>
      </c>
      <c r="BQ33" s="433"/>
      <c r="BR33" s="433"/>
      <c r="BS33" s="433">
        <v>0</v>
      </c>
      <c r="BT33" s="433"/>
      <c r="BU33" s="433"/>
      <c r="BV33" s="167">
        <f t="shared" si="27"/>
        <v>0</v>
      </c>
      <c r="BW33" s="664"/>
      <c r="BX33" s="127">
        <v>0</v>
      </c>
      <c r="BY33" s="127"/>
      <c r="BZ33" s="127"/>
      <c r="CA33" s="127">
        <v>0</v>
      </c>
      <c r="CB33" s="127"/>
      <c r="CC33" s="127"/>
      <c r="CD33" s="167">
        <f t="shared" si="28"/>
        <v>0</v>
      </c>
      <c r="CE33" s="664"/>
      <c r="CF33" s="433">
        <v>0</v>
      </c>
      <c r="CG33" s="433"/>
      <c r="CH33" s="433"/>
      <c r="CI33" s="433">
        <v>0</v>
      </c>
      <c r="CJ33" s="433"/>
      <c r="CK33" s="433"/>
      <c r="CL33" s="167">
        <f t="shared" si="29"/>
        <v>0</v>
      </c>
      <c r="CM33" s="664"/>
      <c r="CN33" s="127">
        <v>0</v>
      </c>
      <c r="CO33" s="127"/>
      <c r="CP33" s="127"/>
      <c r="CQ33" s="127">
        <v>51863.75</v>
      </c>
      <c r="CR33" s="576"/>
      <c r="CS33" s="576"/>
      <c r="CT33" s="665">
        <f t="shared" si="30"/>
        <v>1</v>
      </c>
      <c r="CX33" s="602"/>
      <c r="CY33" s="602">
        <f t="shared" si="31"/>
        <v>0</v>
      </c>
      <c r="CZ33" s="602"/>
      <c r="DA33" s="602">
        <f t="shared" si="32"/>
        <v>0</v>
      </c>
      <c r="DB33" s="602">
        <v>0</v>
      </c>
      <c r="DC33" s="602"/>
      <c r="DD33" s="603"/>
      <c r="DE33" s="603"/>
      <c r="DF33" s="603"/>
      <c r="DG33" s="603"/>
      <c r="DH33" s="603"/>
      <c r="DI33" s="603"/>
      <c r="DJ33" s="603"/>
      <c r="DK33" s="603"/>
      <c r="DL33" s="603"/>
      <c r="DM33" s="603"/>
    </row>
    <row r="34" spans="1:119" ht="15" customHeight="1">
      <c r="A34" s="1903"/>
      <c r="B34" s="1903"/>
      <c r="C34" s="285">
        <v>15.2</v>
      </c>
      <c r="D34" s="625" t="s">
        <v>2009</v>
      </c>
      <c r="E34" s="480" t="s">
        <v>256</v>
      </c>
      <c r="F34" s="275"/>
      <c r="G34" s="260"/>
      <c r="H34" s="275"/>
      <c r="I34" s="282"/>
      <c r="J34" s="588">
        <f t="shared" si="19"/>
        <v>205294.72899999999</v>
      </c>
      <c r="K34" s="586"/>
      <c r="L34" s="588">
        <f t="shared" si="20"/>
        <v>180542.70099999997</v>
      </c>
      <c r="M34" s="584"/>
      <c r="N34" s="566">
        <f t="shared" si="13"/>
        <v>0</v>
      </c>
      <c r="O34" s="585">
        <f t="shared" si="0"/>
        <v>0</v>
      </c>
      <c r="P34" s="584">
        <f t="shared" si="14"/>
        <v>0</v>
      </c>
      <c r="Q34" s="958">
        <f t="shared" si="15"/>
        <v>0</v>
      </c>
      <c r="R34" s="959">
        <f t="shared" si="16"/>
        <v>0</v>
      </c>
      <c r="S34" s="664"/>
      <c r="T34" s="433">
        <v>1166727.72</v>
      </c>
      <c r="U34" s="583"/>
      <c r="V34" s="583"/>
      <c r="W34" s="433">
        <v>887954.75999999989</v>
      </c>
      <c r="X34" s="984"/>
      <c r="Y34" s="984"/>
      <c r="Z34" s="167">
        <f t="shared" si="21"/>
        <v>-0.23893574757956393</v>
      </c>
      <c r="AA34" s="664"/>
      <c r="AB34" s="127">
        <v>340422.33999999997</v>
      </c>
      <c r="AC34" s="127"/>
      <c r="AD34" s="127"/>
      <c r="AE34" s="127">
        <v>543179.08999999985</v>
      </c>
      <c r="AF34" s="985"/>
      <c r="AG34" s="985"/>
      <c r="AH34" s="167">
        <f t="shared" si="22"/>
        <v>0.5956035376526696</v>
      </c>
      <c r="AI34" s="664"/>
      <c r="AJ34" s="433">
        <v>0</v>
      </c>
      <c r="AK34" s="433"/>
      <c r="AL34" s="433"/>
      <c r="AM34" s="433">
        <v>6337.36</v>
      </c>
      <c r="AN34" s="433"/>
      <c r="AO34" s="433"/>
      <c r="AP34" s="167">
        <f t="shared" si="23"/>
        <v>1</v>
      </c>
      <c r="AQ34" s="664"/>
      <c r="AR34" s="127">
        <v>622.20000000000005</v>
      </c>
      <c r="AS34" s="127"/>
      <c r="AT34" s="127"/>
      <c r="AU34" s="127">
        <v>622.20000000000005</v>
      </c>
      <c r="AV34" s="127"/>
      <c r="AW34" s="127"/>
      <c r="AX34" s="167">
        <f t="shared" si="24"/>
        <v>0</v>
      </c>
      <c r="AY34" s="664"/>
      <c r="AZ34" s="433">
        <v>38701.03</v>
      </c>
      <c r="BA34" s="433"/>
      <c r="BB34" s="433"/>
      <c r="BC34" s="433">
        <v>37640.100000000006</v>
      </c>
      <c r="BD34" s="433"/>
      <c r="BE34" s="433"/>
      <c r="BF34" s="167">
        <f t="shared" si="25"/>
        <v>-2.7413482276828161E-2</v>
      </c>
      <c r="BG34" s="664"/>
      <c r="BH34" s="701">
        <v>120024.62</v>
      </c>
      <c r="BI34" s="127"/>
      <c r="BJ34" s="127"/>
      <c r="BK34" s="701">
        <v>60799.669999999991</v>
      </c>
      <c r="BL34" s="127"/>
      <c r="BM34" s="127"/>
      <c r="BN34" s="167">
        <f t="shared" si="26"/>
        <v>-0.49344001255742365</v>
      </c>
      <c r="BO34" s="664"/>
      <c r="BP34" s="433">
        <v>239465.51</v>
      </c>
      <c r="BQ34" s="433"/>
      <c r="BR34" s="433"/>
      <c r="BS34" s="433">
        <v>155899.86000000002</v>
      </c>
      <c r="BT34" s="433"/>
      <c r="BU34" s="433"/>
      <c r="BV34" s="167">
        <f t="shared" si="27"/>
        <v>-0.34896737321378757</v>
      </c>
      <c r="BW34" s="664"/>
      <c r="BX34" s="127">
        <v>0</v>
      </c>
      <c r="BY34" s="127"/>
      <c r="BZ34" s="127"/>
      <c r="CA34" s="127">
        <v>0</v>
      </c>
      <c r="CB34" s="127"/>
      <c r="CC34" s="127"/>
      <c r="CD34" s="167">
        <f t="shared" si="28"/>
        <v>0</v>
      </c>
      <c r="CE34" s="664"/>
      <c r="CF34" s="433">
        <v>0</v>
      </c>
      <c r="CG34" s="433"/>
      <c r="CH34" s="433"/>
      <c r="CI34" s="433">
        <v>2256.64</v>
      </c>
      <c r="CJ34" s="433"/>
      <c r="CK34" s="433"/>
      <c r="CL34" s="167">
        <f t="shared" si="29"/>
        <v>1</v>
      </c>
      <c r="CM34" s="664"/>
      <c r="CN34" s="127">
        <v>146983.87</v>
      </c>
      <c r="CO34" s="127"/>
      <c r="CP34" s="127"/>
      <c r="CQ34" s="127">
        <v>110737.33000000002</v>
      </c>
      <c r="CR34" s="576"/>
      <c r="CS34" s="576"/>
      <c r="CT34" s="665">
        <f t="shared" si="30"/>
        <v>-0.2466021611759166</v>
      </c>
      <c r="CX34" s="602"/>
      <c r="CY34" s="602">
        <f t="shared" si="31"/>
        <v>0</v>
      </c>
      <c r="CZ34" s="602"/>
      <c r="DA34" s="602">
        <f t="shared" si="32"/>
        <v>0</v>
      </c>
      <c r="DB34" s="602">
        <v>0</v>
      </c>
      <c r="DC34" s="602"/>
      <c r="DD34" s="603"/>
      <c r="DE34" s="603"/>
      <c r="DF34" s="603"/>
      <c r="DG34" s="603"/>
      <c r="DH34" s="603"/>
      <c r="DI34" s="603"/>
      <c r="DJ34" s="603"/>
      <c r="DK34" s="603"/>
      <c r="DL34" s="603"/>
      <c r="DM34" s="603"/>
    </row>
    <row r="35" spans="1:119" ht="15" customHeight="1">
      <c r="A35" s="1930" t="s">
        <v>1403</v>
      </c>
      <c r="B35" s="1930" t="s">
        <v>1404</v>
      </c>
      <c r="C35" s="284">
        <v>16</v>
      </c>
      <c r="D35" s="79" t="s">
        <v>1969</v>
      </c>
      <c r="E35" s="480" t="s">
        <v>256</v>
      </c>
      <c r="F35" s="275"/>
      <c r="G35" s="260" t="s">
        <v>478</v>
      </c>
      <c r="H35" s="275" t="s">
        <v>284</v>
      </c>
      <c r="I35" s="1925">
        <v>10</v>
      </c>
      <c r="J35" s="586">
        <f t="shared" si="19"/>
        <v>0</v>
      </c>
      <c r="K35" s="1933">
        <f>AVERAGE(CO35,CG35,BY35,BQ35,BI35,BA35,AS35,AK35,AC35,U35)</f>
        <v>9.9499999999999993</v>
      </c>
      <c r="L35" s="586">
        <f t="shared" si="20"/>
        <v>0</v>
      </c>
      <c r="M35" s="1933">
        <f>AVERAGE(CR35,CJ35,CB35,BT35,BL35,BD35,AV35,AN35,AF35,X35)</f>
        <v>9.9499999999999993</v>
      </c>
      <c r="N35" s="604">
        <f t="shared" si="13"/>
        <v>0</v>
      </c>
      <c r="O35" s="585">
        <f t="shared" si="0"/>
        <v>5.0000000000000711E-2</v>
      </c>
      <c r="P35" s="584">
        <f t="shared" si="14"/>
        <v>2.0000000000000285E-2</v>
      </c>
      <c r="Q35" s="958">
        <f t="shared" si="15"/>
        <v>2.2222222222222539E-3</v>
      </c>
      <c r="R35" s="959">
        <f t="shared" si="16"/>
        <v>1.1111111111111269E-3</v>
      </c>
      <c r="S35" s="664"/>
      <c r="T35" s="1319">
        <v>0</v>
      </c>
      <c r="U35" s="1874">
        <f>10-3*T35-0.5*T36</f>
        <v>10</v>
      </c>
      <c r="V35" s="1446"/>
      <c r="W35" s="621">
        <v>0</v>
      </c>
      <c r="X35" s="1874">
        <f>10-W35*3-W36*0.5</f>
        <v>10</v>
      </c>
      <c r="Y35" s="1434"/>
      <c r="Z35" s="167">
        <f t="shared" si="21"/>
        <v>0</v>
      </c>
      <c r="AA35" s="664"/>
      <c r="AB35" s="1319">
        <v>0</v>
      </c>
      <c r="AC35" s="1922">
        <f>10-3*AB35-0.5*AB36</f>
        <v>9.5</v>
      </c>
      <c r="AD35" s="1449"/>
      <c r="AE35" s="621">
        <v>0</v>
      </c>
      <c r="AF35" s="1945">
        <f>10-AE35*3-AE36*0.5</f>
        <v>9.5</v>
      </c>
      <c r="AG35" s="1438"/>
      <c r="AH35" s="167">
        <f t="shared" si="22"/>
        <v>0</v>
      </c>
      <c r="AI35" s="664"/>
      <c r="AJ35" s="1319">
        <v>0</v>
      </c>
      <c r="AK35" s="1922">
        <f>10-3*AJ35-0.5*AJ36</f>
        <v>10</v>
      </c>
      <c r="AL35" s="1449"/>
      <c r="AM35" s="621">
        <v>0</v>
      </c>
      <c r="AN35" s="1922">
        <f>10-AM35*3-AM36*0.5</f>
        <v>10</v>
      </c>
      <c r="AO35" s="1437"/>
      <c r="AP35" s="167">
        <f t="shared" si="23"/>
        <v>0</v>
      </c>
      <c r="AQ35" s="664"/>
      <c r="AR35" s="1319">
        <v>0</v>
      </c>
      <c r="AS35" s="1922">
        <f>10-3*AR35-0.5*AR36</f>
        <v>10</v>
      </c>
      <c r="AT35" s="1449"/>
      <c r="AU35" s="621">
        <v>0</v>
      </c>
      <c r="AV35" s="1922">
        <f>10-AU35*3-AU36*0.5</f>
        <v>10</v>
      </c>
      <c r="AW35" s="1437"/>
      <c r="AX35" s="167">
        <f t="shared" si="24"/>
        <v>0</v>
      </c>
      <c r="AY35" s="664"/>
      <c r="AZ35" s="1319">
        <v>0</v>
      </c>
      <c r="BA35" s="1922">
        <f>10-3*AZ35-0.5*AZ36</f>
        <v>10</v>
      </c>
      <c r="BB35" s="1449"/>
      <c r="BC35" s="621">
        <v>0</v>
      </c>
      <c r="BD35" s="1922">
        <f>10-BC35*3-BC36*0.5</f>
        <v>10</v>
      </c>
      <c r="BE35" s="1437"/>
      <c r="BF35" s="167">
        <f t="shared" si="25"/>
        <v>0</v>
      </c>
      <c r="BG35" s="664"/>
      <c r="BH35" s="1319">
        <v>0</v>
      </c>
      <c r="BI35" s="1922">
        <f>10-3*BH35-0.5*BH36</f>
        <v>10</v>
      </c>
      <c r="BJ35" s="1449"/>
      <c r="BK35" s="621">
        <v>0</v>
      </c>
      <c r="BL35" s="1922">
        <f>10-BK35*3-BK36*0.5</f>
        <v>10</v>
      </c>
      <c r="BM35" s="1437"/>
      <c r="BN35" s="167">
        <f t="shared" si="26"/>
        <v>0</v>
      </c>
      <c r="BO35" s="664"/>
      <c r="BP35" s="1319">
        <v>0</v>
      </c>
      <c r="BQ35" s="1922">
        <f>10-3*BP35-0.5*BP36</f>
        <v>10</v>
      </c>
      <c r="BR35" s="1449"/>
      <c r="BS35" s="621">
        <v>0</v>
      </c>
      <c r="BT35" s="1922">
        <f>10-BS35*3-BS36*0.5</f>
        <v>10</v>
      </c>
      <c r="BU35" s="1437"/>
      <c r="BV35" s="167">
        <f t="shared" si="27"/>
        <v>0</v>
      </c>
      <c r="BW35" s="664"/>
      <c r="BX35" s="1319">
        <v>0</v>
      </c>
      <c r="BY35" s="1922">
        <f>10-3*BX35-0.5*BX36</f>
        <v>10</v>
      </c>
      <c r="BZ35" s="1449"/>
      <c r="CA35" s="621">
        <v>0</v>
      </c>
      <c r="CB35" s="1922">
        <f>10-CA35*3-CA36*0.5</f>
        <v>10</v>
      </c>
      <c r="CC35" s="1437"/>
      <c r="CD35" s="167">
        <f t="shared" si="28"/>
        <v>0</v>
      </c>
      <c r="CE35" s="664"/>
      <c r="CF35" s="1319">
        <v>0</v>
      </c>
      <c r="CG35" s="1922">
        <f>10-3*CF35-0.5*CF36</f>
        <v>10</v>
      </c>
      <c r="CH35" s="1449"/>
      <c r="CI35" s="621">
        <v>0</v>
      </c>
      <c r="CJ35" s="1922">
        <f>10-CI35*3-CI36*0.5</f>
        <v>10</v>
      </c>
      <c r="CK35" s="1437"/>
      <c r="CL35" s="167">
        <f t="shared" si="29"/>
        <v>0</v>
      </c>
      <c r="CM35" s="664"/>
      <c r="CN35" s="1319">
        <v>0</v>
      </c>
      <c r="CO35" s="1922">
        <f>10-3*CN35-0.5*CN36</f>
        <v>10</v>
      </c>
      <c r="CP35" s="1449"/>
      <c r="CQ35" s="621">
        <v>0</v>
      </c>
      <c r="CR35" s="1874">
        <f>10-CQ35*3-CQ36*0.5</f>
        <v>10</v>
      </c>
      <c r="CS35" s="1434"/>
      <c r="CT35" s="665">
        <f t="shared" si="30"/>
        <v>0</v>
      </c>
      <c r="CX35" s="602">
        <v>1</v>
      </c>
      <c r="CY35" s="602">
        <f t="shared" si="31"/>
        <v>9.9499999999999993</v>
      </c>
      <c r="CZ35" s="602"/>
      <c r="DA35" s="602">
        <f t="shared" si="32"/>
        <v>9.9499999999999993</v>
      </c>
      <c r="DB35" s="602">
        <v>0</v>
      </c>
      <c r="DC35" s="602"/>
      <c r="DD35" s="603"/>
      <c r="DE35" s="603"/>
      <c r="DF35" s="603"/>
      <c r="DG35" s="603"/>
      <c r="DH35" s="603"/>
      <c r="DI35" s="603"/>
      <c r="DJ35" s="603"/>
      <c r="DK35" s="603"/>
      <c r="DL35" s="603"/>
      <c r="DM35" s="603"/>
    </row>
    <row r="36" spans="1:119" ht="18" customHeight="1">
      <c r="A36" s="1932"/>
      <c r="B36" s="1932"/>
      <c r="C36" s="284">
        <v>17</v>
      </c>
      <c r="D36" s="999" t="s">
        <v>1749</v>
      </c>
      <c r="E36" s="480" t="s">
        <v>256</v>
      </c>
      <c r="F36" s="275"/>
      <c r="G36" s="260" t="s">
        <v>478</v>
      </c>
      <c r="H36" s="275" t="s">
        <v>284</v>
      </c>
      <c r="I36" s="1925"/>
      <c r="J36" s="586">
        <f t="shared" si="19"/>
        <v>0.1</v>
      </c>
      <c r="K36" s="1934"/>
      <c r="L36" s="588">
        <f t="shared" si="20"/>
        <v>0.1</v>
      </c>
      <c r="M36" s="1934"/>
      <c r="N36" s="566">
        <f t="shared" si="13"/>
        <v>0</v>
      </c>
      <c r="O36" s="585">
        <f t="shared" si="0"/>
        <v>0</v>
      </c>
      <c r="P36" s="584">
        <f t="shared" si="14"/>
        <v>0</v>
      </c>
      <c r="Q36" s="958">
        <f t="shared" si="15"/>
        <v>0</v>
      </c>
      <c r="R36" s="959">
        <f t="shared" si="16"/>
        <v>0</v>
      </c>
      <c r="S36" s="664"/>
      <c r="T36" s="1319">
        <v>0</v>
      </c>
      <c r="U36" s="1874"/>
      <c r="V36" s="1446"/>
      <c r="W36" s="621">
        <v>0</v>
      </c>
      <c r="X36" s="1874"/>
      <c r="Y36" s="1434"/>
      <c r="Z36" s="167">
        <f t="shared" si="21"/>
        <v>0</v>
      </c>
      <c r="AA36" s="664"/>
      <c r="AB36" s="1319">
        <v>1</v>
      </c>
      <c r="AC36" s="1922"/>
      <c r="AD36" s="1449"/>
      <c r="AE36" s="621">
        <v>1</v>
      </c>
      <c r="AF36" s="1945"/>
      <c r="AG36" s="1438"/>
      <c r="AH36" s="167">
        <f t="shared" si="22"/>
        <v>0</v>
      </c>
      <c r="AI36" s="664"/>
      <c r="AJ36" s="1319">
        <v>0</v>
      </c>
      <c r="AK36" s="1922"/>
      <c r="AL36" s="1449"/>
      <c r="AM36" s="621">
        <v>0</v>
      </c>
      <c r="AN36" s="1922"/>
      <c r="AO36" s="1437"/>
      <c r="AP36" s="167">
        <f t="shared" si="23"/>
        <v>0</v>
      </c>
      <c r="AQ36" s="664"/>
      <c r="AR36" s="1319">
        <v>0</v>
      </c>
      <c r="AS36" s="1922"/>
      <c r="AT36" s="1449"/>
      <c r="AU36" s="621">
        <v>0</v>
      </c>
      <c r="AV36" s="1922"/>
      <c r="AW36" s="1437"/>
      <c r="AX36" s="167">
        <f t="shared" si="24"/>
        <v>0</v>
      </c>
      <c r="AY36" s="664"/>
      <c r="AZ36" s="1319">
        <v>0</v>
      </c>
      <c r="BA36" s="1922"/>
      <c r="BB36" s="1449"/>
      <c r="BC36" s="621">
        <v>0</v>
      </c>
      <c r="BD36" s="1922"/>
      <c r="BE36" s="1437"/>
      <c r="BF36" s="167">
        <f t="shared" si="25"/>
        <v>0</v>
      </c>
      <c r="BG36" s="664"/>
      <c r="BH36" s="1319">
        <v>0</v>
      </c>
      <c r="BI36" s="1922"/>
      <c r="BJ36" s="1449"/>
      <c r="BK36" s="621">
        <v>0</v>
      </c>
      <c r="BL36" s="1922"/>
      <c r="BM36" s="1437"/>
      <c r="BN36" s="167">
        <f t="shared" si="26"/>
        <v>0</v>
      </c>
      <c r="BO36" s="664"/>
      <c r="BP36" s="1319">
        <v>0</v>
      </c>
      <c r="BQ36" s="1922"/>
      <c r="BR36" s="1449"/>
      <c r="BS36" s="621">
        <v>0</v>
      </c>
      <c r="BT36" s="1922"/>
      <c r="BU36" s="1437"/>
      <c r="BV36" s="167">
        <f t="shared" si="27"/>
        <v>0</v>
      </c>
      <c r="BW36" s="664"/>
      <c r="BX36" s="1319">
        <v>0</v>
      </c>
      <c r="BY36" s="1922"/>
      <c r="BZ36" s="1449"/>
      <c r="CA36" s="621">
        <v>0</v>
      </c>
      <c r="CB36" s="1922"/>
      <c r="CC36" s="1437"/>
      <c r="CD36" s="167">
        <f t="shared" si="28"/>
        <v>0</v>
      </c>
      <c r="CE36" s="664"/>
      <c r="CF36" s="1319">
        <v>0</v>
      </c>
      <c r="CG36" s="1922"/>
      <c r="CH36" s="1449"/>
      <c r="CI36" s="621">
        <v>0</v>
      </c>
      <c r="CJ36" s="1922"/>
      <c r="CK36" s="1437"/>
      <c r="CL36" s="167">
        <f t="shared" si="29"/>
        <v>0</v>
      </c>
      <c r="CM36" s="664"/>
      <c r="CN36" s="1319">
        <v>0</v>
      </c>
      <c r="CO36" s="1922"/>
      <c r="CP36" s="1449"/>
      <c r="CQ36" s="621">
        <v>0</v>
      </c>
      <c r="CR36" s="1874"/>
      <c r="CS36" s="1434"/>
      <c r="CT36" s="665">
        <f t="shared" si="30"/>
        <v>0</v>
      </c>
      <c r="CX36" s="602">
        <v>1</v>
      </c>
      <c r="CY36" s="602">
        <f t="shared" si="31"/>
        <v>0</v>
      </c>
      <c r="CZ36" s="602"/>
      <c r="DA36" s="602">
        <f t="shared" si="32"/>
        <v>0</v>
      </c>
      <c r="DB36" s="602">
        <v>0</v>
      </c>
      <c r="DC36" s="602"/>
      <c r="DD36" s="603"/>
      <c r="DE36" s="603"/>
      <c r="DF36" s="603"/>
      <c r="DG36" s="603"/>
      <c r="DH36" s="603"/>
      <c r="DI36" s="603"/>
      <c r="DJ36" s="603"/>
      <c r="DK36" s="603"/>
      <c r="DL36" s="603"/>
      <c r="DM36" s="603"/>
    </row>
    <row r="37" spans="1:119" ht="14.25">
      <c r="A37" s="41" t="s">
        <v>1406</v>
      </c>
      <c r="B37" s="41" t="s">
        <v>1407</v>
      </c>
      <c r="C37" s="284">
        <v>18</v>
      </c>
      <c r="D37" s="79" t="s">
        <v>1405</v>
      </c>
      <c r="E37" s="480" t="s">
        <v>256</v>
      </c>
      <c r="F37" s="275"/>
      <c r="G37" s="260" t="s">
        <v>474</v>
      </c>
      <c r="H37" s="275" t="s">
        <v>284</v>
      </c>
      <c r="I37" s="622">
        <v>3</v>
      </c>
      <c r="J37" s="625" t="s">
        <v>1408</v>
      </c>
      <c r="K37" s="586">
        <f>AVERAGE(CO37,CG37,BY37,BQ37,BI37,BA37,AS37,AK37,AC37,U37)</f>
        <v>3</v>
      </c>
      <c r="L37" s="588" t="s">
        <v>1408</v>
      </c>
      <c r="M37" s="584">
        <f>AVERAGE(CR37,CJ37,CB37,BT37,BL37,BD37,AV37,AN37,AF37,X37)</f>
        <v>3</v>
      </c>
      <c r="N37" s="566">
        <f t="shared" si="13"/>
        <v>0</v>
      </c>
      <c r="O37" s="585">
        <f t="shared" si="0"/>
        <v>0</v>
      </c>
      <c r="P37" s="584">
        <f t="shared" si="14"/>
        <v>0</v>
      </c>
      <c r="Q37" s="958">
        <f t="shared" si="15"/>
        <v>0</v>
      </c>
      <c r="R37" s="959">
        <f t="shared" si="16"/>
        <v>0</v>
      </c>
      <c r="S37" s="664"/>
      <c r="T37" s="625" t="s">
        <v>1408</v>
      </c>
      <c r="U37" s="618">
        <f>IF(LEFT(T37,1)="1",3,0)</f>
        <v>3</v>
      </c>
      <c r="V37" s="1446"/>
      <c r="W37" s="625" t="s">
        <v>1408</v>
      </c>
      <c r="X37" s="977">
        <f>IF(LEFT(W37)="1",3,0)</f>
        <v>3</v>
      </c>
      <c r="Y37" s="1434"/>
      <c r="Z37" s="167">
        <f>IF((W37=T37)=TRUE,0,1)</f>
        <v>0</v>
      </c>
      <c r="AA37" s="664"/>
      <c r="AB37" s="625" t="s">
        <v>1408</v>
      </c>
      <c r="AC37" s="621">
        <f>IF(LEFT(AB37,1)="1",3,0)</f>
        <v>3</v>
      </c>
      <c r="AD37" s="1449"/>
      <c r="AE37" s="625" t="s">
        <v>1408</v>
      </c>
      <c r="AF37" s="977">
        <f>IF(LEFT(AE37)="1",3,0)</f>
        <v>3</v>
      </c>
      <c r="AG37" s="1434"/>
      <c r="AH37" s="167">
        <f>IF((AE37=AB37)=TRUE,0,1)</f>
        <v>0</v>
      </c>
      <c r="AI37" s="664"/>
      <c r="AJ37" s="625" t="s">
        <v>1408</v>
      </c>
      <c r="AK37" s="621">
        <f>IF(LEFT(AJ37,1)="1",3,0)</f>
        <v>3</v>
      </c>
      <c r="AL37" s="1449"/>
      <c r="AM37" s="625" t="s">
        <v>1408</v>
      </c>
      <c r="AN37" s="621">
        <f>IF(LEFT(AM37)="1",3,0)</f>
        <v>3</v>
      </c>
      <c r="AO37" s="1437"/>
      <c r="AP37" s="167">
        <f>IF((AM37=AJ37)=TRUE,0,1)</f>
        <v>0</v>
      </c>
      <c r="AQ37" s="664"/>
      <c r="AR37" s="625" t="s">
        <v>1408</v>
      </c>
      <c r="AS37" s="621">
        <f>IF(LEFT(AR37,1)="1",3,0)</f>
        <v>3</v>
      </c>
      <c r="AT37" s="1449"/>
      <c r="AU37" s="625" t="s">
        <v>1408</v>
      </c>
      <c r="AV37" s="621">
        <f>IF(LEFT(AU37)="1",3,0)</f>
        <v>3</v>
      </c>
      <c r="AW37" s="1437"/>
      <c r="AX37" s="167">
        <f>IF((AU37=AR37)=TRUE,0,1)</f>
        <v>0</v>
      </c>
      <c r="AY37" s="664"/>
      <c r="AZ37" s="625" t="s">
        <v>1408</v>
      </c>
      <c r="BA37" s="621">
        <f>IF(LEFT(AZ37,1)="1",3,0)</f>
        <v>3</v>
      </c>
      <c r="BB37" s="1449"/>
      <c r="BC37" s="625" t="s">
        <v>1408</v>
      </c>
      <c r="BD37" s="621">
        <f>IF(LEFT(BC37)="1",3,0)</f>
        <v>3</v>
      </c>
      <c r="BE37" s="1437"/>
      <c r="BF37" s="167">
        <f>IF((BC37=AZ37)=TRUE,0,1)</f>
        <v>0</v>
      </c>
      <c r="BG37" s="664"/>
      <c r="BH37" s="625" t="s">
        <v>1408</v>
      </c>
      <c r="BI37" s="621">
        <f>IF(LEFT(BH37,1)="1",3,0)</f>
        <v>3</v>
      </c>
      <c r="BJ37" s="1449"/>
      <c r="BK37" s="625" t="s">
        <v>1408</v>
      </c>
      <c r="BL37" s="621">
        <f>IF(LEFT(BK37)="1",3,0)</f>
        <v>3</v>
      </c>
      <c r="BM37" s="1437"/>
      <c r="BN37" s="167">
        <f>IF((BK37=BH37)=TRUE,0,1)</f>
        <v>0</v>
      </c>
      <c r="BO37" s="664"/>
      <c r="BP37" s="625" t="s">
        <v>1408</v>
      </c>
      <c r="BQ37" s="621">
        <f>IF(LEFT(BP37,1)="1",3,0)</f>
        <v>3</v>
      </c>
      <c r="BR37" s="1449"/>
      <c r="BS37" s="625" t="s">
        <v>1408</v>
      </c>
      <c r="BT37" s="621">
        <f>IF(LEFT(BS37)="1",3,0)</f>
        <v>3</v>
      </c>
      <c r="BU37" s="1437"/>
      <c r="BV37" s="167">
        <f>IF((BS37=BP37)=TRUE,0,1)</f>
        <v>0</v>
      </c>
      <c r="BW37" s="664"/>
      <c r="BX37" s="625" t="s">
        <v>1408</v>
      </c>
      <c r="BY37" s="621">
        <f>IF(LEFT(BX37,1)="1",3,0)</f>
        <v>3</v>
      </c>
      <c r="BZ37" s="1449"/>
      <c r="CA37" s="625" t="s">
        <v>1408</v>
      </c>
      <c r="CB37" s="621">
        <f>IF(LEFT(CA37)="1",3,0)</f>
        <v>3</v>
      </c>
      <c r="CC37" s="1437"/>
      <c r="CD37" s="167">
        <f>IF((CA37=BX37)=TRUE,0,1)</f>
        <v>0</v>
      </c>
      <c r="CE37" s="664"/>
      <c r="CF37" s="625" t="s">
        <v>1408</v>
      </c>
      <c r="CG37" s="621">
        <f>IF(LEFT(CF37,1)="1",3,0)</f>
        <v>3</v>
      </c>
      <c r="CH37" s="1449"/>
      <c r="CI37" s="625" t="s">
        <v>1408</v>
      </c>
      <c r="CJ37" s="621">
        <f>IF(LEFT(CI37)="1",3,0)</f>
        <v>3</v>
      </c>
      <c r="CK37" s="1437"/>
      <c r="CL37" s="167">
        <f>IF((CI37=CF37)=TRUE,0,1)</f>
        <v>0</v>
      </c>
      <c r="CM37" s="664"/>
      <c r="CN37" s="625" t="s">
        <v>1408</v>
      </c>
      <c r="CO37" s="621">
        <f>IF(LEFT(CN37,1)="1",3,0)</f>
        <v>3</v>
      </c>
      <c r="CP37" s="1449"/>
      <c r="CQ37" s="625" t="s">
        <v>1408</v>
      </c>
      <c r="CR37" s="618">
        <f>IF(LEFT(CQ37)="1",3,0)</f>
        <v>3</v>
      </c>
      <c r="CS37" s="1434"/>
      <c r="CT37" s="665">
        <f>IF((CQ37=CN37)=TRUE,0,1)</f>
        <v>0</v>
      </c>
      <c r="CX37" s="602">
        <v>1</v>
      </c>
      <c r="CY37" s="602">
        <f t="shared" si="31"/>
        <v>3</v>
      </c>
      <c r="CZ37" s="602"/>
      <c r="DA37" s="602">
        <f t="shared" si="32"/>
        <v>3</v>
      </c>
      <c r="DB37" s="602">
        <v>0</v>
      </c>
      <c r="DC37" s="602"/>
      <c r="DD37" s="603"/>
      <c r="DE37" s="603"/>
      <c r="DF37" s="603"/>
      <c r="DG37" s="603"/>
      <c r="DH37" s="603"/>
      <c r="DI37" s="603"/>
      <c r="DJ37" s="603"/>
      <c r="DK37" s="603"/>
      <c r="DL37" s="603"/>
      <c r="DM37" s="603"/>
    </row>
    <row r="38" spans="1:119" ht="17.25" customHeight="1">
      <c r="A38" s="1930" t="s">
        <v>1409</v>
      </c>
      <c r="B38" s="1930" t="s">
        <v>1968</v>
      </c>
      <c r="C38" s="284">
        <v>19</v>
      </c>
      <c r="D38" s="999" t="s">
        <v>2012</v>
      </c>
      <c r="E38" s="480" t="s">
        <v>256</v>
      </c>
      <c r="F38" s="275"/>
      <c r="G38" s="260" t="s">
        <v>478</v>
      </c>
      <c r="H38" s="275" t="s">
        <v>284</v>
      </c>
      <c r="I38" s="1925">
        <v>12</v>
      </c>
      <c r="J38" s="588">
        <f t="shared" ref="J38:J51" si="33">AVERAGE(CN38,CF38,BX38,BP38,BH38,AZ38,AR38,AJ38,AB38,T38)</f>
        <v>0</v>
      </c>
      <c r="K38" s="1933">
        <f>AVERAGE(CO38,CG38,BY38,BQ38,BI38,BA38,AS38,AK38,AC38,U38)</f>
        <v>11.8</v>
      </c>
      <c r="L38" s="588">
        <f t="shared" ref="L38:L43" si="34">AVERAGE(CQ38,CI38,CA38,BS38,BK38,BC38,AU38,AM38,AE38,W38)</f>
        <v>0.1</v>
      </c>
      <c r="M38" s="1933">
        <f>AVERAGE(CR38,CJ38,CB38,BT38,BL38,BD38,AV38,AN38,AF38,X38)</f>
        <v>11.65</v>
      </c>
      <c r="N38" s="604">
        <f t="shared" si="13"/>
        <v>-0.15000000000000036</v>
      </c>
      <c r="O38" s="585">
        <f t="shared" si="0"/>
        <v>0.34999999999999964</v>
      </c>
      <c r="P38" s="584">
        <f t="shared" si="14"/>
        <v>0.13999999999999987</v>
      </c>
      <c r="Q38" s="958">
        <f t="shared" si="15"/>
        <v>1.5555555555555541E-2</v>
      </c>
      <c r="R38" s="959">
        <f t="shared" si="16"/>
        <v>7.7777777777777706E-3</v>
      </c>
      <c r="S38" s="664"/>
      <c r="T38" s="1319">
        <v>0</v>
      </c>
      <c r="U38" s="1874">
        <f>12-T38*3-T39*0.5</f>
        <v>12</v>
      </c>
      <c r="V38" s="1446"/>
      <c r="W38" s="621">
        <v>0</v>
      </c>
      <c r="X38" s="1874">
        <f>12-W38*3-W39*0.5</f>
        <v>12</v>
      </c>
      <c r="Y38" s="1434"/>
      <c r="Z38" s="167">
        <f t="shared" ref="Z38:Z51" si="35">IF(AND(T38=0,W38&lt;&gt;0),1,IF(AND(T38=0,W38=0),0,W38/T38-1))</f>
        <v>0</v>
      </c>
      <c r="AA38" s="664"/>
      <c r="AB38" s="1319">
        <v>0</v>
      </c>
      <c r="AC38" s="1922">
        <f>12-AB38*3-AB39*0.5</f>
        <v>12</v>
      </c>
      <c r="AD38" s="1449"/>
      <c r="AE38" s="621">
        <v>0</v>
      </c>
      <c r="AF38" s="1874">
        <f>12-AE38*3-AE39*0.5</f>
        <v>12</v>
      </c>
      <c r="AG38" s="1434"/>
      <c r="AH38" s="167">
        <f t="shared" ref="AH38:AH51" si="36">IF(AND(AB38=0,AE38&lt;&gt;0),1,IF(AND(AB38=0,AE38=0),0,AE38/AB38-1))</f>
        <v>0</v>
      </c>
      <c r="AI38" s="664"/>
      <c r="AJ38" s="1319">
        <v>0</v>
      </c>
      <c r="AK38" s="1922">
        <f>12-AJ38*3-AJ39*0.5</f>
        <v>12</v>
      </c>
      <c r="AL38" s="1449"/>
      <c r="AM38" s="621">
        <v>0</v>
      </c>
      <c r="AN38" s="1922">
        <f>12-AM38*3-AM39*0.5</f>
        <v>12</v>
      </c>
      <c r="AO38" s="1437"/>
      <c r="AP38" s="167">
        <f t="shared" ref="AP38:AP51" si="37">IF(AND(AJ38=0,AM38&lt;&gt;0),1,IF(AND(AJ38=0,AM38=0),0,AM38/AJ38-1))</f>
        <v>0</v>
      </c>
      <c r="AQ38" s="664"/>
      <c r="AR38" s="1319">
        <v>0</v>
      </c>
      <c r="AS38" s="1922">
        <f>12-AR38*3-AR39*0.5</f>
        <v>12</v>
      </c>
      <c r="AT38" s="1449"/>
      <c r="AU38" s="621">
        <v>1</v>
      </c>
      <c r="AV38" s="1922">
        <f>12-AU38*3-AU39*0.5</f>
        <v>9</v>
      </c>
      <c r="AW38" s="1437"/>
      <c r="AX38" s="167">
        <f t="shared" ref="AX38:AX51" si="38">IF(AND(AR38=0,AU38&lt;&gt;0),1,IF(AND(AR38=0,AU38=0),0,AU38/AR38-1))</f>
        <v>1</v>
      </c>
      <c r="AY38" s="664"/>
      <c r="AZ38" s="1319">
        <v>0</v>
      </c>
      <c r="BA38" s="1922">
        <f>12-AZ38*3-AZ39*0.5</f>
        <v>12</v>
      </c>
      <c r="BB38" s="1449"/>
      <c r="BC38" s="621">
        <v>0</v>
      </c>
      <c r="BD38" s="1922">
        <f>12-BC38*3-BC39*0.5</f>
        <v>12</v>
      </c>
      <c r="BE38" s="1437"/>
      <c r="BF38" s="167">
        <f t="shared" ref="BF38:BF51" si="39">IF(AND(AZ38=0,BC38&lt;&gt;0),1,IF(AND(AZ38=0,BC38=0),0,BC38/AZ38-1))</f>
        <v>0</v>
      </c>
      <c r="BG38" s="664"/>
      <c r="BH38" s="1319">
        <v>0</v>
      </c>
      <c r="BI38" s="1922">
        <f>12-BH38*3-BH39*0.5</f>
        <v>11.5</v>
      </c>
      <c r="BJ38" s="1449"/>
      <c r="BK38" s="621">
        <v>0</v>
      </c>
      <c r="BL38" s="1922">
        <f>12-BK38*3-BK39*0.5</f>
        <v>11.5</v>
      </c>
      <c r="BM38" s="1437"/>
      <c r="BN38" s="167">
        <f t="shared" ref="BN38:BN51" si="40">IF(AND(BH38=0,BK38&lt;&gt;0),1,IF(AND(BH38=0,BK38=0),0,BK38/BH38-1))</f>
        <v>0</v>
      </c>
      <c r="BO38" s="664"/>
      <c r="BP38" s="1319">
        <v>0</v>
      </c>
      <c r="BQ38" s="1922">
        <f>12-BP38*3-BP39*0.5</f>
        <v>12</v>
      </c>
      <c r="BR38" s="1449"/>
      <c r="BS38" s="621">
        <v>0</v>
      </c>
      <c r="BT38" s="1922">
        <f>12-BS38*3-BS39*0.5</f>
        <v>12</v>
      </c>
      <c r="BU38" s="1437"/>
      <c r="BV38" s="167">
        <f t="shared" ref="BV38:BV51" si="41">IF(AND(BP38=0,BS38&lt;&gt;0),1,IF(AND(BP38=0,BS38=0),0,BS38/BP38-1))</f>
        <v>0</v>
      </c>
      <c r="BW38" s="664"/>
      <c r="BX38" s="1319">
        <v>0</v>
      </c>
      <c r="BY38" s="1922">
        <f>12-BX38*3-BX39*0.5</f>
        <v>11.5</v>
      </c>
      <c r="BZ38" s="1449"/>
      <c r="CA38" s="621">
        <v>0</v>
      </c>
      <c r="CB38" s="1922">
        <f>12-CA38*3-CA39*0.5</f>
        <v>12</v>
      </c>
      <c r="CC38" s="1437"/>
      <c r="CD38" s="167">
        <f t="shared" ref="CD38:CD51" si="42">IF(AND(BX38=0,CA38&lt;&gt;0),1,IF(AND(BX38=0,CA38=0),0,CA38/BX38-1))</f>
        <v>0</v>
      </c>
      <c r="CE38" s="664"/>
      <c r="CF38" s="1319">
        <v>0</v>
      </c>
      <c r="CG38" s="1922">
        <f>12-CF38*3-CF39*0.5</f>
        <v>11.5</v>
      </c>
      <c r="CH38" s="1449"/>
      <c r="CI38" s="621">
        <v>0</v>
      </c>
      <c r="CJ38" s="1922">
        <f>12-CI38*3-CI39*0.5</f>
        <v>12</v>
      </c>
      <c r="CK38" s="1437"/>
      <c r="CL38" s="167">
        <f t="shared" ref="CL38:CL51" si="43">IF(AND(CF38=0,CI38&lt;&gt;0),1,IF(AND(CF38=0,CI38=0),0,CI38/CF38-1))</f>
        <v>0</v>
      </c>
      <c r="CM38" s="664"/>
      <c r="CN38" s="1319">
        <v>0</v>
      </c>
      <c r="CO38" s="1922">
        <f>12-CN38*3-CN39*0.5</f>
        <v>11.5</v>
      </c>
      <c r="CP38" s="1449"/>
      <c r="CQ38" s="621">
        <v>0</v>
      </c>
      <c r="CR38" s="1874">
        <f>12-CQ38*3-CQ39*0.5</f>
        <v>12</v>
      </c>
      <c r="CS38" s="1434"/>
      <c r="CT38" s="665">
        <f t="shared" ref="CT38:CT51" si="44">IF(AND(CN38=0,CQ38&lt;&gt;0),1,IF(AND(CN38=0,CQ38=0),0,CQ38/CN38-1))</f>
        <v>0</v>
      </c>
      <c r="CX38" s="602"/>
      <c r="CY38" s="602">
        <v>12</v>
      </c>
      <c r="CZ38" s="602">
        <v>1</v>
      </c>
      <c r="DA38" s="602">
        <v>12</v>
      </c>
      <c r="DB38" s="602">
        <v>0</v>
      </c>
      <c r="DC38" s="602"/>
      <c r="DD38" s="603">
        <v>1</v>
      </c>
      <c r="DE38" s="603">
        <v>11.95</v>
      </c>
      <c r="DF38" s="603">
        <v>1</v>
      </c>
      <c r="DG38" s="603">
        <v>12</v>
      </c>
      <c r="DH38" s="603">
        <v>1</v>
      </c>
      <c r="DI38" s="603">
        <v>11.9</v>
      </c>
      <c r="DJ38" s="603">
        <v>1</v>
      </c>
      <c r="DK38" s="603">
        <v>12</v>
      </c>
      <c r="DL38" s="603">
        <v>1</v>
      </c>
      <c r="DM38" s="603">
        <v>12</v>
      </c>
    </row>
    <row r="39" spans="1:119" ht="14.25">
      <c r="A39" s="1932"/>
      <c r="B39" s="1932"/>
      <c r="C39" s="284">
        <v>20</v>
      </c>
      <c r="D39" s="999" t="s">
        <v>1410</v>
      </c>
      <c r="E39" s="480" t="s">
        <v>256</v>
      </c>
      <c r="F39" s="275"/>
      <c r="G39" s="260" t="s">
        <v>478</v>
      </c>
      <c r="H39" s="275" t="s">
        <v>284</v>
      </c>
      <c r="I39" s="1925"/>
      <c r="J39" s="588">
        <f t="shared" si="33"/>
        <v>0.4</v>
      </c>
      <c r="K39" s="1934"/>
      <c r="L39" s="588">
        <f t="shared" si="34"/>
        <v>0.1</v>
      </c>
      <c r="M39" s="1934"/>
      <c r="N39" s="566">
        <f t="shared" si="13"/>
        <v>0</v>
      </c>
      <c r="O39" s="585">
        <f t="shared" si="0"/>
        <v>0</v>
      </c>
      <c r="P39" s="584">
        <f t="shared" si="14"/>
        <v>0</v>
      </c>
      <c r="Q39" s="958">
        <f t="shared" si="15"/>
        <v>0</v>
      </c>
      <c r="R39" s="959">
        <f t="shared" si="16"/>
        <v>0</v>
      </c>
      <c r="S39" s="664"/>
      <c r="T39" s="1319">
        <v>0</v>
      </c>
      <c r="U39" s="1874"/>
      <c r="V39" s="1446"/>
      <c r="W39" s="621">
        <v>0</v>
      </c>
      <c r="X39" s="1874"/>
      <c r="Y39" s="1434"/>
      <c r="Z39" s="167">
        <f t="shared" si="35"/>
        <v>0</v>
      </c>
      <c r="AA39" s="664"/>
      <c r="AB39" s="1319">
        <v>0</v>
      </c>
      <c r="AC39" s="1922"/>
      <c r="AD39" s="1449"/>
      <c r="AE39" s="621">
        <v>0</v>
      </c>
      <c r="AF39" s="1874"/>
      <c r="AG39" s="1434"/>
      <c r="AH39" s="167">
        <f t="shared" si="36"/>
        <v>0</v>
      </c>
      <c r="AI39" s="664"/>
      <c r="AJ39" s="1319">
        <v>0</v>
      </c>
      <c r="AK39" s="1922"/>
      <c r="AL39" s="1449"/>
      <c r="AM39" s="621">
        <v>0</v>
      </c>
      <c r="AN39" s="1922"/>
      <c r="AO39" s="1437"/>
      <c r="AP39" s="167">
        <f t="shared" si="37"/>
        <v>0</v>
      </c>
      <c r="AQ39" s="664"/>
      <c r="AR39" s="1319">
        <v>0</v>
      </c>
      <c r="AS39" s="1922"/>
      <c r="AT39" s="1449"/>
      <c r="AU39" s="621">
        <v>0</v>
      </c>
      <c r="AV39" s="1922"/>
      <c r="AW39" s="1437"/>
      <c r="AX39" s="167">
        <f t="shared" si="38"/>
        <v>0</v>
      </c>
      <c r="AY39" s="664"/>
      <c r="AZ39" s="1319">
        <v>0</v>
      </c>
      <c r="BA39" s="1922"/>
      <c r="BB39" s="1449"/>
      <c r="BC39" s="621">
        <v>0</v>
      </c>
      <c r="BD39" s="1922"/>
      <c r="BE39" s="1437"/>
      <c r="BF39" s="167">
        <f t="shared" si="39"/>
        <v>0</v>
      </c>
      <c r="BG39" s="664"/>
      <c r="BH39" s="1319">
        <v>1</v>
      </c>
      <c r="BI39" s="1922"/>
      <c r="BJ39" s="1449"/>
      <c r="BK39" s="621">
        <v>1</v>
      </c>
      <c r="BL39" s="1922"/>
      <c r="BM39" s="1437"/>
      <c r="BN39" s="167">
        <f t="shared" si="40"/>
        <v>0</v>
      </c>
      <c r="BO39" s="664"/>
      <c r="BP39" s="1319">
        <v>0</v>
      </c>
      <c r="BQ39" s="1922"/>
      <c r="BR39" s="1449"/>
      <c r="BS39" s="621">
        <v>0</v>
      </c>
      <c r="BT39" s="1922"/>
      <c r="BU39" s="1437"/>
      <c r="BV39" s="167">
        <f t="shared" si="41"/>
        <v>0</v>
      </c>
      <c r="BW39" s="664"/>
      <c r="BX39" s="1319">
        <v>1</v>
      </c>
      <c r="BY39" s="1922"/>
      <c r="BZ39" s="1449"/>
      <c r="CA39" s="621">
        <v>0</v>
      </c>
      <c r="CB39" s="1922"/>
      <c r="CC39" s="1437"/>
      <c r="CD39" s="167">
        <f t="shared" si="42"/>
        <v>-1</v>
      </c>
      <c r="CE39" s="664"/>
      <c r="CF39" s="1319">
        <v>1</v>
      </c>
      <c r="CG39" s="1922"/>
      <c r="CH39" s="1449"/>
      <c r="CI39" s="621">
        <v>0</v>
      </c>
      <c r="CJ39" s="1922"/>
      <c r="CK39" s="1437"/>
      <c r="CL39" s="167">
        <f t="shared" si="43"/>
        <v>-1</v>
      </c>
      <c r="CM39" s="664"/>
      <c r="CN39" s="1319">
        <v>1</v>
      </c>
      <c r="CO39" s="1922"/>
      <c r="CP39" s="1449"/>
      <c r="CQ39" s="621">
        <v>0</v>
      </c>
      <c r="CR39" s="1874"/>
      <c r="CS39" s="1434"/>
      <c r="CT39" s="665">
        <f t="shared" si="44"/>
        <v>-1</v>
      </c>
      <c r="CX39" s="602"/>
      <c r="CY39" s="602">
        <f>M39</f>
        <v>0</v>
      </c>
      <c r="CZ39" s="602">
        <v>1</v>
      </c>
      <c r="DA39" s="602">
        <f>M39</f>
        <v>0</v>
      </c>
      <c r="DB39" s="602">
        <v>0</v>
      </c>
      <c r="DC39" s="602"/>
      <c r="DD39" s="603"/>
      <c r="DE39" s="603"/>
      <c r="DF39" s="603"/>
      <c r="DG39" s="603"/>
      <c r="DH39" s="603"/>
      <c r="DI39" s="603"/>
      <c r="DJ39" s="603"/>
      <c r="DK39" s="603"/>
      <c r="DL39" s="603"/>
      <c r="DM39" s="603"/>
      <c r="DN39" s="53"/>
      <c r="DO39" s="53"/>
    </row>
    <row r="40" spans="1:119" ht="15" customHeight="1">
      <c r="A40" s="1930" t="s">
        <v>411</v>
      </c>
      <c r="B40" s="1930" t="s">
        <v>2403</v>
      </c>
      <c r="C40" s="284">
        <v>21</v>
      </c>
      <c r="D40" s="79" t="s">
        <v>2008</v>
      </c>
      <c r="E40" s="472"/>
      <c r="F40" s="61"/>
      <c r="G40" s="260" t="s">
        <v>478</v>
      </c>
      <c r="H40" s="61" t="s">
        <v>284</v>
      </c>
      <c r="I40" s="622">
        <v>2</v>
      </c>
      <c r="J40" s="1011">
        <f t="shared" si="33"/>
        <v>7.4034716311475622E-3</v>
      </c>
      <c r="K40" s="1336">
        <f>AVERAGE(CO40,CG40,BY40,BQ40,BI40,BA40,AS40,AK40,AC40,U40)</f>
        <v>1.4</v>
      </c>
      <c r="L40" s="1013">
        <f t="shared" si="34"/>
        <v>0</v>
      </c>
      <c r="M40" s="584">
        <f>AVERAGE(CR40,CJ40,CB40,BT40,BL40,BD40,AV40,AN40,AF40,X40)</f>
        <v>2</v>
      </c>
      <c r="N40" s="566">
        <f t="shared" si="13"/>
        <v>0.60000000000000009</v>
      </c>
      <c r="O40" s="585">
        <f t="shared" si="0"/>
        <v>0</v>
      </c>
      <c r="P40" s="584">
        <f t="shared" si="14"/>
        <v>0</v>
      </c>
      <c r="Q40" s="958">
        <f t="shared" si="15"/>
        <v>0</v>
      </c>
      <c r="R40" s="959">
        <f t="shared" si="16"/>
        <v>0</v>
      </c>
      <c r="S40" s="664"/>
      <c r="T40" s="68">
        <f>IF(T42=0,"",T41/T42)</f>
        <v>1.1185682326621924E-3</v>
      </c>
      <c r="U40" s="618">
        <f>IF(T40&lt;0.001,2,0)</f>
        <v>0</v>
      </c>
      <c r="V40" s="1446"/>
      <c r="W40" s="68">
        <f>IF(W42=0,"",W41/W42)</f>
        <v>0</v>
      </c>
      <c r="X40" s="977">
        <f>IF(W40&lt;0.001,2,0)</f>
        <v>2</v>
      </c>
      <c r="Y40" s="1434"/>
      <c r="Z40" s="167">
        <f t="shared" si="35"/>
        <v>-1</v>
      </c>
      <c r="AA40" s="664"/>
      <c r="AB40" s="68">
        <f>IF(AB42=0,"",AB41/AB42)</f>
        <v>4.6816622188333969E-2</v>
      </c>
      <c r="AC40" s="621">
        <f>IF(AB40&lt;0.001,2,0)</f>
        <v>0</v>
      </c>
      <c r="AD40" s="1449"/>
      <c r="AE40" s="68">
        <f>IF(AE42=0,"",AE41/AE42)</f>
        <v>0</v>
      </c>
      <c r="AF40" s="977">
        <f>IF(AE40&lt;0.001,2,0)</f>
        <v>2</v>
      </c>
      <c r="AG40" s="1434"/>
      <c r="AH40" s="167">
        <f t="shared" si="36"/>
        <v>-1</v>
      </c>
      <c r="AI40" s="664"/>
      <c r="AJ40" s="68">
        <f>IF(AJ42=0,"",AJ41/AJ42)</f>
        <v>0</v>
      </c>
      <c r="AK40" s="621">
        <f>IF(AJ40&lt;0.001,2,0)</f>
        <v>2</v>
      </c>
      <c r="AL40" s="1449"/>
      <c r="AM40" s="68">
        <f>IF(AM42=0,"",AM41/AM42)</f>
        <v>0</v>
      </c>
      <c r="AN40" s="621">
        <f>IF(AM40&lt;0.001,2,0)</f>
        <v>2</v>
      </c>
      <c r="AO40" s="1437"/>
      <c r="AP40" s="167">
        <f t="shared" si="37"/>
        <v>0</v>
      </c>
      <c r="AQ40" s="664"/>
      <c r="AR40" s="68">
        <f>IF(AR42=0,"",AR41/AR42)</f>
        <v>2.5742574257425741E-2</v>
      </c>
      <c r="AS40" s="621">
        <f>IF(AR40&lt;0.001,2,0)</f>
        <v>0</v>
      </c>
      <c r="AT40" s="1449"/>
      <c r="AU40" s="68">
        <f>IF(AU42=0,"",AU41/AU42)</f>
        <v>0</v>
      </c>
      <c r="AV40" s="621">
        <f>IF(AU40&lt;0.001,2,0)</f>
        <v>2</v>
      </c>
      <c r="AW40" s="1437"/>
      <c r="AX40" s="167">
        <f t="shared" si="38"/>
        <v>-1</v>
      </c>
      <c r="AY40" s="664"/>
      <c r="AZ40" s="68">
        <f>IF(AZ42=0,"",AZ41/AZ42)</f>
        <v>0</v>
      </c>
      <c r="BA40" s="621">
        <f>IF(AZ40&lt;0.001,2,0)</f>
        <v>2</v>
      </c>
      <c r="BB40" s="1449"/>
      <c r="BC40" s="68">
        <f>IF(BC42=0,"",BC41/BC42)</f>
        <v>0</v>
      </c>
      <c r="BD40" s="621">
        <f>IF(BC40&lt;0.001,2,0)</f>
        <v>2</v>
      </c>
      <c r="BE40" s="1437"/>
      <c r="BF40" s="167">
        <f t="shared" si="39"/>
        <v>0</v>
      </c>
      <c r="BG40" s="664"/>
      <c r="BH40" s="68">
        <f>IF(BH42=0,"",BH41/BH42)</f>
        <v>0</v>
      </c>
      <c r="BI40" s="621">
        <f>IF(BH40&lt;0.001,2,0)</f>
        <v>2</v>
      </c>
      <c r="BJ40" s="1449"/>
      <c r="BK40" s="68">
        <f>IF(BK42=0,"",BK41/BK42)</f>
        <v>0</v>
      </c>
      <c r="BL40" s="621">
        <f>IF(BK40&lt;0.001,2,0)</f>
        <v>2</v>
      </c>
      <c r="BM40" s="1437"/>
      <c r="BN40" s="167">
        <f t="shared" si="40"/>
        <v>0</v>
      </c>
      <c r="BO40" s="664"/>
      <c r="BP40" s="68">
        <f>IF(BP42=0,"",BP41/BP42)</f>
        <v>3.569516330537212E-4</v>
      </c>
      <c r="BQ40" s="621">
        <f>IF(BP40&lt;0.001,2,0)</f>
        <v>2</v>
      </c>
      <c r="BR40" s="1449"/>
      <c r="BS40" s="68">
        <f>IF(BS42=0,"",BS41/BS42)</f>
        <v>0</v>
      </c>
      <c r="BT40" s="621">
        <f>IF(BS40&lt;0.001,2,0)</f>
        <v>2</v>
      </c>
      <c r="BU40" s="1437"/>
      <c r="BV40" s="167">
        <f t="shared" si="41"/>
        <v>-1</v>
      </c>
      <c r="BW40" s="664"/>
      <c r="BX40" s="68">
        <f>IF(BX42=0,"",BX41/BX42)</f>
        <v>0</v>
      </c>
      <c r="BY40" s="621">
        <f>IF(BX40&lt;0.001,2,0)</f>
        <v>2</v>
      </c>
      <c r="BZ40" s="1449"/>
      <c r="CA40" s="68">
        <f>IF(CA42=0,"",CA41/CA42)</f>
        <v>0</v>
      </c>
      <c r="CB40" s="621">
        <f>IF(CA40&lt;0.001,2,0)</f>
        <v>2</v>
      </c>
      <c r="CC40" s="1437"/>
      <c r="CD40" s="167">
        <f t="shared" si="42"/>
        <v>0</v>
      </c>
      <c r="CE40" s="664"/>
      <c r="CF40" s="68">
        <f>IF(CF42=0,"",CF41/CF42)</f>
        <v>0</v>
      </c>
      <c r="CG40" s="621">
        <f>IF(CF40&lt;0.001,2,0)</f>
        <v>2</v>
      </c>
      <c r="CH40" s="1449"/>
      <c r="CI40" s="68">
        <f>IF(CI42=0,"",CI41/CI42)</f>
        <v>0</v>
      </c>
      <c r="CJ40" s="621">
        <f>IF(CI40&lt;0.001,2,0)</f>
        <v>2</v>
      </c>
      <c r="CK40" s="1437"/>
      <c r="CL40" s="167">
        <f t="shared" si="43"/>
        <v>0</v>
      </c>
      <c r="CM40" s="664"/>
      <c r="CN40" s="68">
        <f>IF(CN42=0,"",CN41/CN42)</f>
        <v>0</v>
      </c>
      <c r="CO40" s="621">
        <f>IF(CN40&lt;0.001,2,0)</f>
        <v>2</v>
      </c>
      <c r="CP40" s="1449"/>
      <c r="CQ40" s="68">
        <f>IF(CQ42=0,"",CQ41/CQ42)</f>
        <v>0</v>
      </c>
      <c r="CR40" s="618">
        <f>IF(CQ40&lt;0.001,2,0)</f>
        <v>2</v>
      </c>
      <c r="CS40" s="1434"/>
      <c r="CT40" s="665">
        <f t="shared" si="44"/>
        <v>0</v>
      </c>
      <c r="CX40" s="602">
        <v>1</v>
      </c>
      <c r="CY40" s="602">
        <v>2</v>
      </c>
      <c r="CZ40" s="602"/>
      <c r="DA40" s="602"/>
      <c r="DB40" s="602">
        <v>0</v>
      </c>
      <c r="DC40" s="602"/>
      <c r="DD40" s="603"/>
      <c r="DE40" s="603"/>
      <c r="DF40" s="603">
        <v>1</v>
      </c>
      <c r="DG40" s="602">
        <v>1.8</v>
      </c>
      <c r="DH40" s="603">
        <v>1</v>
      </c>
      <c r="DI40" s="602">
        <f>$M40</f>
        <v>2</v>
      </c>
      <c r="DJ40" s="603"/>
      <c r="DK40" s="603"/>
      <c r="DL40" s="603"/>
      <c r="DM40" s="603"/>
    </row>
    <row r="41" spans="1:119" ht="19.5" customHeight="1">
      <c r="A41" s="1931"/>
      <c r="B41" s="1931"/>
      <c r="C41" s="285">
        <v>21.1</v>
      </c>
      <c r="D41" s="625" t="s">
        <v>2520</v>
      </c>
      <c r="E41" s="480" t="s">
        <v>256</v>
      </c>
      <c r="F41" s="275"/>
      <c r="G41" s="260"/>
      <c r="H41" s="275"/>
      <c r="I41" s="261"/>
      <c r="J41" s="588">
        <f t="shared" si="33"/>
        <v>63</v>
      </c>
      <c r="K41" s="586"/>
      <c r="L41" s="588">
        <f t="shared" si="34"/>
        <v>0</v>
      </c>
      <c r="M41" s="584"/>
      <c r="N41" s="566">
        <f t="shared" si="13"/>
        <v>0</v>
      </c>
      <c r="O41" s="585">
        <f t="shared" si="0"/>
        <v>0</v>
      </c>
      <c r="P41" s="584">
        <f>O41*0.4</f>
        <v>0</v>
      </c>
      <c r="Q41" s="958">
        <f t="shared" si="15"/>
        <v>0</v>
      </c>
      <c r="R41" s="959">
        <f t="shared" si="16"/>
        <v>0</v>
      </c>
      <c r="S41" s="664"/>
      <c r="T41" s="127">
        <v>1</v>
      </c>
      <c r="U41" s="576"/>
      <c r="V41" s="576">
        <v>0</v>
      </c>
      <c r="W41" s="127">
        <v>0</v>
      </c>
      <c r="X41" s="985"/>
      <c r="Y41" s="985">
        <v>0</v>
      </c>
      <c r="Z41" s="167">
        <f t="shared" si="35"/>
        <v>-1</v>
      </c>
      <c r="AA41" s="664"/>
      <c r="AB41" s="127">
        <v>614</v>
      </c>
      <c r="AC41" s="127"/>
      <c r="AD41" s="127"/>
      <c r="AE41" s="127">
        <v>0</v>
      </c>
      <c r="AF41" s="985"/>
      <c r="AG41" s="985">
        <v>0</v>
      </c>
      <c r="AH41" s="167">
        <f t="shared" si="36"/>
        <v>-1</v>
      </c>
      <c r="AI41" s="664"/>
      <c r="AJ41" s="127">
        <v>0</v>
      </c>
      <c r="AK41" s="127"/>
      <c r="AL41" s="127"/>
      <c r="AM41" s="127">
        <v>0</v>
      </c>
      <c r="AN41" s="127"/>
      <c r="AO41" s="127">
        <v>0</v>
      </c>
      <c r="AP41" s="167">
        <f t="shared" si="37"/>
        <v>0</v>
      </c>
      <c r="AQ41" s="664"/>
      <c r="AR41" s="127">
        <v>13</v>
      </c>
      <c r="AS41" s="127"/>
      <c r="AT41" s="127"/>
      <c r="AU41" s="127">
        <v>0</v>
      </c>
      <c r="AV41" s="127"/>
      <c r="AW41" s="127">
        <v>0</v>
      </c>
      <c r="AX41" s="167">
        <f t="shared" si="38"/>
        <v>-1</v>
      </c>
      <c r="AY41" s="664"/>
      <c r="AZ41" s="127">
        <v>0</v>
      </c>
      <c r="BA41" s="127"/>
      <c r="BB41" s="127"/>
      <c r="BC41" s="127">
        <v>0</v>
      </c>
      <c r="BD41" s="127"/>
      <c r="BE41" s="127">
        <v>0</v>
      </c>
      <c r="BF41" s="167">
        <f t="shared" si="39"/>
        <v>0</v>
      </c>
      <c r="BG41" s="664"/>
      <c r="BH41" s="127">
        <v>0</v>
      </c>
      <c r="BI41" s="127"/>
      <c r="BJ41" s="127"/>
      <c r="BK41" s="127">
        <v>0</v>
      </c>
      <c r="BL41" s="127"/>
      <c r="BM41" s="127">
        <v>0</v>
      </c>
      <c r="BN41" s="167">
        <f t="shared" si="40"/>
        <v>0</v>
      </c>
      <c r="BO41" s="664"/>
      <c r="BP41" s="127">
        <v>2</v>
      </c>
      <c r="BQ41" s="127"/>
      <c r="BR41" s="127"/>
      <c r="BS41" s="127">
        <v>0</v>
      </c>
      <c r="BT41" s="127"/>
      <c r="BU41" s="127">
        <v>0</v>
      </c>
      <c r="BV41" s="167">
        <f t="shared" si="41"/>
        <v>-1</v>
      </c>
      <c r="BW41" s="664"/>
      <c r="BX41" s="127">
        <v>0</v>
      </c>
      <c r="BY41" s="127"/>
      <c r="BZ41" s="127"/>
      <c r="CA41" s="127">
        <v>0</v>
      </c>
      <c r="CB41" s="127"/>
      <c r="CC41" s="127">
        <v>0</v>
      </c>
      <c r="CD41" s="167">
        <f t="shared" si="42"/>
        <v>0</v>
      </c>
      <c r="CE41" s="664"/>
      <c r="CF41" s="127">
        <v>0</v>
      </c>
      <c r="CG41" s="127"/>
      <c r="CH41" s="127"/>
      <c r="CI41" s="127">
        <v>0</v>
      </c>
      <c r="CJ41" s="127"/>
      <c r="CK41" s="127">
        <v>0</v>
      </c>
      <c r="CL41" s="167">
        <f t="shared" si="43"/>
        <v>0</v>
      </c>
      <c r="CM41" s="664"/>
      <c r="CN41" s="127">
        <v>0</v>
      </c>
      <c r="CO41" s="127"/>
      <c r="CP41" s="127"/>
      <c r="CQ41" s="127">
        <v>0</v>
      </c>
      <c r="CR41" s="576"/>
      <c r="CS41" s="576">
        <v>0</v>
      </c>
      <c r="CT41" s="665">
        <f t="shared" si="44"/>
        <v>0</v>
      </c>
      <c r="CX41" s="602"/>
      <c r="CY41" s="602">
        <f>M41</f>
        <v>0</v>
      </c>
      <c r="CZ41" s="602"/>
      <c r="DA41" s="602">
        <f t="shared" ref="DA41:DA52" si="45">M41</f>
        <v>0</v>
      </c>
      <c r="DB41" s="602">
        <v>0</v>
      </c>
      <c r="DC41" s="602"/>
      <c r="DD41" s="603"/>
      <c r="DE41" s="603"/>
      <c r="DF41" s="603"/>
      <c r="DG41" s="603"/>
      <c r="DH41" s="603"/>
      <c r="DI41" s="603"/>
      <c r="DJ41" s="603"/>
      <c r="DK41" s="603"/>
      <c r="DL41" s="603"/>
      <c r="DM41" s="603"/>
    </row>
    <row r="42" spans="1:119" ht="24" customHeight="1">
      <c r="A42" s="1932"/>
      <c r="B42" s="1932"/>
      <c r="C42" s="285">
        <v>21.2</v>
      </c>
      <c r="D42" s="625" t="s">
        <v>174</v>
      </c>
      <c r="E42" s="480" t="s">
        <v>256</v>
      </c>
      <c r="F42" s="275"/>
      <c r="G42" s="260"/>
      <c r="H42" s="275"/>
      <c r="I42" s="261"/>
      <c r="J42" s="588">
        <f t="shared" si="33"/>
        <v>2775.8</v>
      </c>
      <c r="K42" s="586"/>
      <c r="L42" s="588">
        <f t="shared" si="34"/>
        <v>2412.8000000000002</v>
      </c>
      <c r="M42" s="584"/>
      <c r="N42" s="566">
        <f t="shared" si="13"/>
        <v>0</v>
      </c>
      <c r="O42" s="585">
        <f t="shared" si="0"/>
        <v>0</v>
      </c>
      <c r="P42" s="584">
        <f t="shared" si="14"/>
        <v>0</v>
      </c>
      <c r="Q42" s="958">
        <f t="shared" si="15"/>
        <v>0</v>
      </c>
      <c r="R42" s="959">
        <f t="shared" si="16"/>
        <v>0</v>
      </c>
      <c r="S42" s="664"/>
      <c r="T42" s="127">
        <v>894</v>
      </c>
      <c r="U42" s="576"/>
      <c r="V42" s="576"/>
      <c r="W42" s="127">
        <v>884</v>
      </c>
      <c r="X42" s="985"/>
      <c r="Y42" s="985"/>
      <c r="Z42" s="167">
        <f t="shared" si="35"/>
        <v>-1.1185682326621871E-2</v>
      </c>
      <c r="AA42" s="664"/>
      <c r="AB42" s="127">
        <v>13115</v>
      </c>
      <c r="AC42" s="127"/>
      <c r="AD42" s="127"/>
      <c r="AE42" s="127">
        <v>13715</v>
      </c>
      <c r="AF42" s="985"/>
      <c r="AG42" s="985"/>
      <c r="AH42" s="167">
        <f t="shared" si="36"/>
        <v>4.5749142203583615E-2</v>
      </c>
      <c r="AI42" s="664"/>
      <c r="AJ42" s="127">
        <v>1219</v>
      </c>
      <c r="AK42" s="127"/>
      <c r="AL42" s="127"/>
      <c r="AM42" s="127">
        <v>1211</v>
      </c>
      <c r="AN42" s="127"/>
      <c r="AO42" s="127"/>
      <c r="AP42" s="167">
        <f t="shared" si="37"/>
        <v>-6.5627563576702297E-3</v>
      </c>
      <c r="AQ42" s="664"/>
      <c r="AR42" s="127">
        <v>505</v>
      </c>
      <c r="AS42" s="127"/>
      <c r="AT42" s="127"/>
      <c r="AU42" s="127">
        <v>540</v>
      </c>
      <c r="AV42" s="127"/>
      <c r="AW42" s="127"/>
      <c r="AX42" s="167">
        <f t="shared" si="38"/>
        <v>6.9306930693069368E-2</v>
      </c>
      <c r="AY42" s="664"/>
      <c r="AZ42" s="127">
        <v>1125</v>
      </c>
      <c r="BA42" s="127"/>
      <c r="BB42" s="127"/>
      <c r="BC42" s="127">
        <v>1029</v>
      </c>
      <c r="BD42" s="127"/>
      <c r="BE42" s="127"/>
      <c r="BF42" s="167">
        <f t="shared" si="39"/>
        <v>-8.5333333333333372E-2</v>
      </c>
      <c r="BG42" s="664"/>
      <c r="BH42" s="635">
        <v>1297</v>
      </c>
      <c r="BI42" s="127"/>
      <c r="BJ42" s="127"/>
      <c r="BK42" s="635">
        <v>105</v>
      </c>
      <c r="BL42" s="127"/>
      <c r="BM42" s="127"/>
      <c r="BN42" s="167">
        <f t="shared" si="40"/>
        <v>-0.91904394757131846</v>
      </c>
      <c r="BO42" s="664"/>
      <c r="BP42" s="127">
        <v>5603</v>
      </c>
      <c r="BQ42" s="127"/>
      <c r="BR42" s="127"/>
      <c r="BS42" s="127">
        <v>2828</v>
      </c>
      <c r="BT42" s="127"/>
      <c r="BU42" s="127"/>
      <c r="BV42" s="167">
        <f t="shared" si="41"/>
        <v>-0.49527039086203817</v>
      </c>
      <c r="BW42" s="664"/>
      <c r="BX42" s="127">
        <v>264</v>
      </c>
      <c r="BY42" s="127"/>
      <c r="BZ42" s="127"/>
      <c r="CA42" s="127">
        <v>288</v>
      </c>
      <c r="CB42" s="127"/>
      <c r="CC42" s="127"/>
      <c r="CD42" s="167">
        <f t="shared" si="42"/>
        <v>9.0909090909090828E-2</v>
      </c>
      <c r="CE42" s="664"/>
      <c r="CF42" s="127">
        <v>101</v>
      </c>
      <c r="CG42" s="127"/>
      <c r="CH42" s="127"/>
      <c r="CI42" s="127">
        <v>61</v>
      </c>
      <c r="CJ42" s="127"/>
      <c r="CK42" s="127"/>
      <c r="CL42" s="167">
        <f t="shared" si="43"/>
        <v>-0.39603960396039606</v>
      </c>
      <c r="CM42" s="664"/>
      <c r="CN42" s="127">
        <v>3635</v>
      </c>
      <c r="CO42" s="127"/>
      <c r="CP42" s="127"/>
      <c r="CQ42" s="127">
        <v>3467</v>
      </c>
      <c r="CR42" s="576"/>
      <c r="CS42" s="576"/>
      <c r="CT42" s="665">
        <f t="shared" si="44"/>
        <v>-4.6217331499312286E-2</v>
      </c>
      <c r="CX42" s="602"/>
      <c r="CY42" s="602">
        <f>M42</f>
        <v>0</v>
      </c>
      <c r="CZ42" s="602"/>
      <c r="DA42" s="602">
        <f t="shared" si="45"/>
        <v>0</v>
      </c>
      <c r="DB42" s="602">
        <v>0</v>
      </c>
      <c r="DC42" s="602"/>
      <c r="DD42" s="603"/>
      <c r="DE42" s="603"/>
      <c r="DF42" s="603"/>
      <c r="DG42" s="603"/>
      <c r="DH42" s="603"/>
      <c r="DI42" s="603"/>
      <c r="DJ42" s="603"/>
      <c r="DK42" s="603"/>
      <c r="DL42" s="603"/>
      <c r="DM42" s="603"/>
    </row>
    <row r="43" spans="1:119" ht="19.5" customHeight="1">
      <c r="A43" s="1929" t="s">
        <v>1412</v>
      </c>
      <c r="B43" s="1929" t="s">
        <v>1413</v>
      </c>
      <c r="C43" s="284">
        <v>22</v>
      </c>
      <c r="D43" s="79" t="s">
        <v>1411</v>
      </c>
      <c r="E43" s="472"/>
      <c r="F43" s="61"/>
      <c r="G43" s="260" t="s">
        <v>478</v>
      </c>
      <c r="H43" s="61" t="s">
        <v>284</v>
      </c>
      <c r="I43" s="622">
        <v>2</v>
      </c>
      <c r="J43" s="588">
        <f t="shared" si="33"/>
        <v>1</v>
      </c>
      <c r="K43" s="586">
        <f>AVERAGE(CO43,CG43,BY43,BQ43,BI43,BA43,AS43,AK43,AC43,U43)</f>
        <v>2</v>
      </c>
      <c r="L43" s="588">
        <f t="shared" si="34"/>
        <v>1</v>
      </c>
      <c r="M43" s="584">
        <f>AVERAGE(CR43,CJ43,CB43,BT43,BL43,BD43,AV43,AN43,AF43,X43)</f>
        <v>2</v>
      </c>
      <c r="N43" s="566">
        <f t="shared" si="13"/>
        <v>0</v>
      </c>
      <c r="O43" s="585">
        <f t="shared" si="0"/>
        <v>0</v>
      </c>
      <c r="P43" s="584">
        <f t="shared" si="14"/>
        <v>0</v>
      </c>
      <c r="Q43" s="958">
        <f t="shared" si="15"/>
        <v>0</v>
      </c>
      <c r="R43" s="959">
        <f t="shared" si="16"/>
        <v>0</v>
      </c>
      <c r="S43" s="664"/>
      <c r="T43" s="167">
        <f>T44/T45</f>
        <v>1</v>
      </c>
      <c r="U43" s="618">
        <f>IF(T43&gt;=1,2,IF(T43&gt;=0.95,1,0))</f>
        <v>2</v>
      </c>
      <c r="V43" s="1446"/>
      <c r="W43" s="167">
        <f>W44/W45</f>
        <v>1</v>
      </c>
      <c r="X43" s="977">
        <f>IF(W43&gt;=1,2,IF(W43&gt;=0.95,1))</f>
        <v>2</v>
      </c>
      <c r="Y43" s="1434"/>
      <c r="Z43" s="167">
        <f t="shared" si="35"/>
        <v>0</v>
      </c>
      <c r="AA43" s="664"/>
      <c r="AB43" s="167">
        <f>AB44/AB45</f>
        <v>1</v>
      </c>
      <c r="AC43" s="621">
        <f>IF(AB43&gt;=1,2,IF(AB43&gt;=0.95,1,0))</f>
        <v>2</v>
      </c>
      <c r="AD43" s="1449"/>
      <c r="AE43" s="167">
        <f>AE44/AE45</f>
        <v>1</v>
      </c>
      <c r="AF43" s="977">
        <f>IF(AE43&gt;=1,2,IF(AE43&gt;=0.95,1))</f>
        <v>2</v>
      </c>
      <c r="AG43" s="1434"/>
      <c r="AH43" s="167">
        <f t="shared" si="36"/>
        <v>0</v>
      </c>
      <c r="AI43" s="664"/>
      <c r="AJ43" s="167">
        <f>AJ44/AJ45</f>
        <v>1</v>
      </c>
      <c r="AK43" s="621">
        <f>IF(AJ43&gt;=1,2,IF(AJ43&gt;=0.95,1,0))</f>
        <v>2</v>
      </c>
      <c r="AL43" s="1449"/>
      <c r="AM43" s="167">
        <f>AM44/AM45</f>
        <v>1</v>
      </c>
      <c r="AN43" s="621">
        <f>IF(AM43&gt;=1,2,IF(AM43&gt;=0.95,1))</f>
        <v>2</v>
      </c>
      <c r="AO43" s="1437"/>
      <c r="AP43" s="167">
        <f t="shared" si="37"/>
        <v>0</v>
      </c>
      <c r="AQ43" s="664"/>
      <c r="AR43" s="167">
        <f>AR44/AR45</f>
        <v>1</v>
      </c>
      <c r="AS43" s="621">
        <f>IF(AR43&gt;=1,2,IF(AR43&gt;=0.95,1,0))</f>
        <v>2</v>
      </c>
      <c r="AT43" s="1449"/>
      <c r="AU43" s="167">
        <f>AU44/AU45</f>
        <v>1</v>
      </c>
      <c r="AV43" s="621">
        <f>IF(AU43&gt;=1,2,IF(AU43&gt;=0.95,1))</f>
        <v>2</v>
      </c>
      <c r="AW43" s="1437"/>
      <c r="AX43" s="167">
        <f t="shared" si="38"/>
        <v>0</v>
      </c>
      <c r="AY43" s="664"/>
      <c r="AZ43" s="167">
        <f>AZ44/AZ45</f>
        <v>1</v>
      </c>
      <c r="BA43" s="621">
        <f>IF(AZ43&gt;=1,2,IF(AZ43&gt;=0.95,1,0))</f>
        <v>2</v>
      </c>
      <c r="BB43" s="1449"/>
      <c r="BC43" s="167">
        <f>BC44/BC45</f>
        <v>1</v>
      </c>
      <c r="BD43" s="621">
        <f>IF(BC43&gt;=1,2,IF(BC43&gt;=0.95,1))</f>
        <v>2</v>
      </c>
      <c r="BE43" s="1437"/>
      <c r="BF43" s="167">
        <f t="shared" si="39"/>
        <v>0</v>
      </c>
      <c r="BG43" s="664"/>
      <c r="BH43" s="167">
        <f>BH44/BH45</f>
        <v>1</v>
      </c>
      <c r="BI43" s="621">
        <f>IF(BH43&gt;=1,2,IF(BH43&gt;=0.95,1,0))</f>
        <v>2</v>
      </c>
      <c r="BJ43" s="1449"/>
      <c r="BK43" s="167">
        <f>BK44/BK45</f>
        <v>1</v>
      </c>
      <c r="BL43" s="621">
        <f>IF(BK43&gt;=1,2,IF(BK43&gt;=0.95,1))</f>
        <v>2</v>
      </c>
      <c r="BM43" s="1437"/>
      <c r="BN43" s="167">
        <f t="shared" si="40"/>
        <v>0</v>
      </c>
      <c r="BO43" s="664"/>
      <c r="BP43" s="167">
        <f>BP44/BP45</f>
        <v>1</v>
      </c>
      <c r="BQ43" s="621">
        <f>IF(BP43&gt;=1,2,IF(BP43&gt;=0.95,1,0))</f>
        <v>2</v>
      </c>
      <c r="BR43" s="1449"/>
      <c r="BS43" s="167">
        <f>BS44/BS45</f>
        <v>1</v>
      </c>
      <c r="BT43" s="621">
        <f>IF(BS43&gt;=1,2,IF(BS43&gt;=0.95,1))</f>
        <v>2</v>
      </c>
      <c r="BU43" s="1437"/>
      <c r="BV43" s="167">
        <f t="shared" si="41"/>
        <v>0</v>
      </c>
      <c r="BW43" s="664"/>
      <c r="BX43" s="167">
        <f>BX44/BX45</f>
        <v>1</v>
      </c>
      <c r="BY43" s="621">
        <f>IF(BX43&gt;=1,2,IF(BX43&gt;=0.95,1,0))</f>
        <v>2</v>
      </c>
      <c r="BZ43" s="1449"/>
      <c r="CA43" s="167">
        <f>CA44/CA45</f>
        <v>1</v>
      </c>
      <c r="CB43" s="621">
        <f>IF(CA43&gt;=1,2,IF(CA43&gt;=0.95,1))</f>
        <v>2</v>
      </c>
      <c r="CC43" s="1437"/>
      <c r="CD43" s="167">
        <f t="shared" si="42"/>
        <v>0</v>
      </c>
      <c r="CE43" s="664"/>
      <c r="CF43" s="167">
        <f>CF44/CF45</f>
        <v>1</v>
      </c>
      <c r="CG43" s="621">
        <f>IF(CF43&gt;=1,2,IF(CF43&gt;=0.95,1,0))</f>
        <v>2</v>
      </c>
      <c r="CH43" s="1449"/>
      <c r="CI43" s="167">
        <f>CI44/CI45</f>
        <v>1</v>
      </c>
      <c r="CJ43" s="621">
        <f>IF(CI43&gt;=1,2,IF(CI43&gt;=0.95,1))</f>
        <v>2</v>
      </c>
      <c r="CK43" s="1437"/>
      <c r="CL43" s="167">
        <f t="shared" si="43"/>
        <v>0</v>
      </c>
      <c r="CM43" s="664"/>
      <c r="CN43" s="167">
        <f>CN44/CN45</f>
        <v>1</v>
      </c>
      <c r="CO43" s="621">
        <f>IF(CN43&gt;=1,2,IF(CN43&gt;=0.95,1,0))</f>
        <v>2</v>
      </c>
      <c r="CP43" s="1449"/>
      <c r="CQ43" s="167">
        <f>CQ44/CQ45</f>
        <v>1</v>
      </c>
      <c r="CR43" s="618">
        <f>IF(CQ43&gt;=1,2,IF(CQ43&gt;=0.95,1))</f>
        <v>2</v>
      </c>
      <c r="CS43" s="1434"/>
      <c r="CT43" s="665">
        <f t="shared" si="44"/>
        <v>0</v>
      </c>
      <c r="CX43" s="602">
        <v>1</v>
      </c>
      <c r="CY43" s="602">
        <f>$M43</f>
        <v>2</v>
      </c>
      <c r="CZ43" s="602"/>
      <c r="DA43" s="602">
        <f t="shared" si="45"/>
        <v>2</v>
      </c>
      <c r="DB43" s="602">
        <v>0</v>
      </c>
      <c r="DC43" s="602"/>
      <c r="DD43" s="603"/>
      <c r="DE43" s="603"/>
      <c r="DF43" s="603">
        <v>1</v>
      </c>
      <c r="DG43" s="602">
        <f>$M43</f>
        <v>2</v>
      </c>
      <c r="DH43" s="603">
        <v>1</v>
      </c>
      <c r="DI43" s="602">
        <f>$M43</f>
        <v>2</v>
      </c>
      <c r="DJ43" s="603"/>
      <c r="DK43" s="603"/>
      <c r="DL43" s="603"/>
      <c r="DM43" s="603"/>
    </row>
    <row r="44" spans="1:119" ht="16.5" customHeight="1">
      <c r="A44" s="1923"/>
      <c r="B44" s="1923"/>
      <c r="C44" s="285">
        <v>22.1</v>
      </c>
      <c r="D44" s="625" t="s">
        <v>1414</v>
      </c>
      <c r="E44" s="480" t="s">
        <v>256</v>
      </c>
      <c r="F44" s="275"/>
      <c r="G44" s="260"/>
      <c r="H44" s="275"/>
      <c r="I44" s="260"/>
      <c r="J44" s="588">
        <f t="shared" si="33"/>
        <v>3627.8</v>
      </c>
      <c r="K44" s="586"/>
      <c r="L44" s="588">
        <v>2</v>
      </c>
      <c r="M44" s="584"/>
      <c r="N44" s="566">
        <f t="shared" si="13"/>
        <v>0</v>
      </c>
      <c r="O44" s="585">
        <f t="shared" si="0"/>
        <v>0</v>
      </c>
      <c r="P44" s="584">
        <f t="shared" si="14"/>
        <v>0</v>
      </c>
      <c r="Q44" s="958">
        <f t="shared" si="15"/>
        <v>0</v>
      </c>
      <c r="R44" s="959">
        <f t="shared" si="16"/>
        <v>0</v>
      </c>
      <c r="S44" s="664"/>
      <c r="T44" s="127">
        <v>988</v>
      </c>
      <c r="U44" s="576"/>
      <c r="V44" s="576"/>
      <c r="W44" s="127">
        <v>999</v>
      </c>
      <c r="X44" s="985"/>
      <c r="Y44" s="985"/>
      <c r="Z44" s="167">
        <f t="shared" si="35"/>
        <v>1.1133603238866474E-2</v>
      </c>
      <c r="AA44" s="664"/>
      <c r="AB44" s="127">
        <v>15080</v>
      </c>
      <c r="AC44" s="127"/>
      <c r="AD44" s="127"/>
      <c r="AE44" s="127">
        <v>13656</v>
      </c>
      <c r="AF44" s="985"/>
      <c r="AG44" s="985"/>
      <c r="AH44" s="167">
        <f t="shared" si="36"/>
        <v>-9.4429708222811715E-2</v>
      </c>
      <c r="AI44" s="664"/>
      <c r="AJ44" s="127">
        <v>1219</v>
      </c>
      <c r="AK44" s="127"/>
      <c r="AL44" s="127"/>
      <c r="AM44" s="127">
        <v>1211</v>
      </c>
      <c r="AN44" s="127"/>
      <c r="AO44" s="127"/>
      <c r="AP44" s="167">
        <f t="shared" si="37"/>
        <v>-6.5627563576702297E-3</v>
      </c>
      <c r="AQ44" s="664"/>
      <c r="AR44" s="127">
        <v>1593</v>
      </c>
      <c r="AS44" s="127"/>
      <c r="AT44" s="127"/>
      <c r="AU44" s="127">
        <v>880</v>
      </c>
      <c r="AV44" s="127"/>
      <c r="AW44" s="127"/>
      <c r="AX44" s="167">
        <f t="shared" si="38"/>
        <v>-0.44758317639673573</v>
      </c>
      <c r="AY44" s="664"/>
      <c r="AZ44" s="127">
        <v>1125</v>
      </c>
      <c r="BA44" s="127"/>
      <c r="BB44" s="127"/>
      <c r="BC44" s="127">
        <v>1029</v>
      </c>
      <c r="BD44" s="127"/>
      <c r="BE44" s="127"/>
      <c r="BF44" s="167">
        <f t="shared" si="39"/>
        <v>-8.5333333333333372E-2</v>
      </c>
      <c r="BG44" s="664"/>
      <c r="BH44" s="635">
        <v>1155</v>
      </c>
      <c r="BI44" s="127"/>
      <c r="BJ44" s="127"/>
      <c r="BK44" s="635">
        <v>1268</v>
      </c>
      <c r="BL44" s="127"/>
      <c r="BM44" s="127"/>
      <c r="BN44" s="167">
        <f t="shared" si="40"/>
        <v>9.7835497835497831E-2</v>
      </c>
      <c r="BO44" s="664"/>
      <c r="BP44" s="127">
        <v>9117</v>
      </c>
      <c r="BQ44" s="127"/>
      <c r="BR44" s="127"/>
      <c r="BS44" s="127">
        <v>6520</v>
      </c>
      <c r="BT44" s="127"/>
      <c r="BU44" s="127"/>
      <c r="BV44" s="167">
        <f t="shared" si="41"/>
        <v>-0.28485247340133812</v>
      </c>
      <c r="BW44" s="664"/>
      <c r="BX44" s="127">
        <v>1816</v>
      </c>
      <c r="BY44" s="127"/>
      <c r="BZ44" s="127"/>
      <c r="CA44" s="127">
        <v>2238</v>
      </c>
      <c r="CB44" s="127"/>
      <c r="CC44" s="127"/>
      <c r="CD44" s="167">
        <f t="shared" si="42"/>
        <v>0.23237885462555075</v>
      </c>
      <c r="CE44" s="664"/>
      <c r="CF44" s="127">
        <v>441</v>
      </c>
      <c r="CG44" s="127"/>
      <c r="CH44" s="127"/>
      <c r="CI44" s="127">
        <v>195</v>
      </c>
      <c r="CJ44" s="127"/>
      <c r="CK44" s="127"/>
      <c r="CL44" s="167">
        <f t="shared" si="43"/>
        <v>-0.55782312925170063</v>
      </c>
      <c r="CM44" s="664"/>
      <c r="CN44" s="127">
        <v>3744</v>
      </c>
      <c r="CO44" s="127"/>
      <c r="CP44" s="127"/>
      <c r="CQ44" s="127">
        <v>3550</v>
      </c>
      <c r="CR44" s="576"/>
      <c r="CS44" s="576"/>
      <c r="CT44" s="665">
        <f t="shared" si="44"/>
        <v>-5.1816239316239354E-2</v>
      </c>
      <c r="CX44" s="602"/>
      <c r="CY44" s="602">
        <f t="shared" ref="CY44:CY52" si="46">M44</f>
        <v>0</v>
      </c>
      <c r="CZ44" s="602"/>
      <c r="DA44" s="602">
        <f t="shared" si="45"/>
        <v>0</v>
      </c>
      <c r="DB44" s="602">
        <v>0</v>
      </c>
      <c r="DC44" s="602"/>
      <c r="DD44" s="603"/>
      <c r="DE44" s="603"/>
      <c r="DF44" s="603"/>
      <c r="DG44" s="603"/>
      <c r="DH44" s="603"/>
      <c r="DI44" s="603"/>
      <c r="DJ44" s="603"/>
      <c r="DK44" s="603"/>
      <c r="DL44" s="603"/>
      <c r="DM44" s="603"/>
    </row>
    <row r="45" spans="1:119" ht="16.5" customHeight="1">
      <c r="A45" s="1903"/>
      <c r="B45" s="1903"/>
      <c r="C45" s="285">
        <v>22.2</v>
      </c>
      <c r="D45" s="625" t="s">
        <v>1415</v>
      </c>
      <c r="E45" s="480" t="s">
        <v>256</v>
      </c>
      <c r="F45" s="275"/>
      <c r="G45" s="260"/>
      <c r="H45" s="275"/>
      <c r="I45" s="260"/>
      <c r="J45" s="588">
        <f t="shared" si="33"/>
        <v>3627.8</v>
      </c>
      <c r="K45" s="586"/>
      <c r="L45" s="588">
        <f t="shared" ref="L45:L51" si="47">AVERAGE(CQ45,CI45,CA45,BS45,BK45,BC45,AU45,AM45,AE45,W45)</f>
        <v>3154.6</v>
      </c>
      <c r="M45" s="584"/>
      <c r="N45" s="566">
        <f t="shared" si="13"/>
        <v>0</v>
      </c>
      <c r="O45" s="585">
        <f t="shared" si="0"/>
        <v>0</v>
      </c>
      <c r="P45" s="584">
        <f t="shared" si="14"/>
        <v>0</v>
      </c>
      <c r="Q45" s="958">
        <f t="shared" si="15"/>
        <v>0</v>
      </c>
      <c r="R45" s="959">
        <f t="shared" si="16"/>
        <v>0</v>
      </c>
      <c r="S45" s="664"/>
      <c r="T45" s="127">
        <v>988</v>
      </c>
      <c r="U45" s="576"/>
      <c r="V45" s="576"/>
      <c r="W45" s="127">
        <v>999</v>
      </c>
      <c r="X45" s="985"/>
      <c r="Y45" s="985"/>
      <c r="Z45" s="167">
        <f t="shared" si="35"/>
        <v>1.1133603238866474E-2</v>
      </c>
      <c r="AA45" s="664"/>
      <c r="AB45" s="127">
        <v>15080</v>
      </c>
      <c r="AC45" s="127"/>
      <c r="AD45" s="127"/>
      <c r="AE45" s="127">
        <v>13656</v>
      </c>
      <c r="AF45" s="985"/>
      <c r="AG45" s="985"/>
      <c r="AH45" s="167">
        <f t="shared" si="36"/>
        <v>-9.4429708222811715E-2</v>
      </c>
      <c r="AI45" s="664"/>
      <c r="AJ45" s="127">
        <v>1219</v>
      </c>
      <c r="AK45" s="127"/>
      <c r="AL45" s="127"/>
      <c r="AM45" s="127">
        <v>1211</v>
      </c>
      <c r="AN45" s="127"/>
      <c r="AO45" s="127"/>
      <c r="AP45" s="167">
        <f t="shared" si="37"/>
        <v>-6.5627563576702297E-3</v>
      </c>
      <c r="AQ45" s="664"/>
      <c r="AR45" s="127">
        <v>1593</v>
      </c>
      <c r="AS45" s="127"/>
      <c r="AT45" s="127"/>
      <c r="AU45" s="127">
        <v>880</v>
      </c>
      <c r="AV45" s="127"/>
      <c r="AW45" s="127"/>
      <c r="AX45" s="167">
        <f t="shared" si="38"/>
        <v>-0.44758317639673573</v>
      </c>
      <c r="AY45" s="664"/>
      <c r="AZ45" s="127">
        <v>1125</v>
      </c>
      <c r="BA45" s="127"/>
      <c r="BB45" s="127"/>
      <c r="BC45" s="127">
        <v>1029</v>
      </c>
      <c r="BD45" s="127"/>
      <c r="BE45" s="127"/>
      <c r="BF45" s="167">
        <f t="shared" si="39"/>
        <v>-8.5333333333333372E-2</v>
      </c>
      <c r="BG45" s="664"/>
      <c r="BH45" s="635">
        <v>1155</v>
      </c>
      <c r="BI45" s="127"/>
      <c r="BJ45" s="127"/>
      <c r="BK45" s="635">
        <v>1268</v>
      </c>
      <c r="BL45" s="127"/>
      <c r="BM45" s="127"/>
      <c r="BN45" s="167">
        <f t="shared" si="40"/>
        <v>9.7835497835497831E-2</v>
      </c>
      <c r="BO45" s="664"/>
      <c r="BP45" s="127">
        <v>9117</v>
      </c>
      <c r="BQ45" s="127"/>
      <c r="BR45" s="127"/>
      <c r="BS45" s="127">
        <v>6520</v>
      </c>
      <c r="BT45" s="127"/>
      <c r="BU45" s="127"/>
      <c r="BV45" s="167">
        <f t="shared" si="41"/>
        <v>-0.28485247340133812</v>
      </c>
      <c r="BW45" s="664"/>
      <c r="BX45" s="127">
        <v>1816</v>
      </c>
      <c r="BY45" s="127"/>
      <c r="BZ45" s="127"/>
      <c r="CA45" s="127">
        <v>2238</v>
      </c>
      <c r="CB45" s="127"/>
      <c r="CC45" s="127"/>
      <c r="CD45" s="167">
        <f t="shared" si="42"/>
        <v>0.23237885462555075</v>
      </c>
      <c r="CE45" s="664"/>
      <c r="CF45" s="127">
        <v>441</v>
      </c>
      <c r="CG45" s="127"/>
      <c r="CH45" s="127"/>
      <c r="CI45" s="127">
        <v>195</v>
      </c>
      <c r="CJ45" s="127"/>
      <c r="CK45" s="127"/>
      <c r="CL45" s="167">
        <f t="shared" si="43"/>
        <v>-0.55782312925170063</v>
      </c>
      <c r="CM45" s="664"/>
      <c r="CN45" s="127">
        <v>3744</v>
      </c>
      <c r="CO45" s="127"/>
      <c r="CP45" s="127"/>
      <c r="CQ45" s="127">
        <v>3550</v>
      </c>
      <c r="CR45" s="576"/>
      <c r="CS45" s="576"/>
      <c r="CT45" s="665">
        <f t="shared" si="44"/>
        <v>-5.1816239316239354E-2</v>
      </c>
      <c r="CX45" s="602"/>
      <c r="CY45" s="602">
        <f t="shared" si="46"/>
        <v>0</v>
      </c>
      <c r="CZ45" s="602"/>
      <c r="DA45" s="602">
        <f t="shared" si="45"/>
        <v>0</v>
      </c>
      <c r="DB45" s="602">
        <v>0</v>
      </c>
      <c r="DC45" s="602"/>
      <c r="DD45" s="603"/>
      <c r="DE45" s="603"/>
      <c r="DF45" s="603"/>
      <c r="DG45" s="603"/>
      <c r="DH45" s="603"/>
      <c r="DI45" s="603"/>
      <c r="DJ45" s="603"/>
      <c r="DK45" s="603"/>
      <c r="DL45" s="603"/>
      <c r="DM45" s="603"/>
    </row>
    <row r="46" spans="1:119" ht="20.25" customHeight="1">
      <c r="A46" s="1902" t="s">
        <v>1417</v>
      </c>
      <c r="B46" s="1902" t="s">
        <v>1418</v>
      </c>
      <c r="C46" s="284">
        <v>23</v>
      </c>
      <c r="D46" s="79" t="s">
        <v>1416</v>
      </c>
      <c r="E46" s="480" t="s">
        <v>256</v>
      </c>
      <c r="F46" s="275"/>
      <c r="G46" s="260" t="s">
        <v>478</v>
      </c>
      <c r="H46" s="275" t="s">
        <v>284</v>
      </c>
      <c r="I46" s="1925">
        <v>6</v>
      </c>
      <c r="J46" s="588">
        <f t="shared" si="33"/>
        <v>0</v>
      </c>
      <c r="K46" s="1941">
        <f>AVERAGE(CO46,CG46,BY46,BQ46,BI46,BA46,AS46,AK46,AC46,U46)</f>
        <v>6</v>
      </c>
      <c r="L46" s="588">
        <f t="shared" si="47"/>
        <v>0</v>
      </c>
      <c r="M46" s="1941">
        <f>AVERAGE(CR46,CJ46,CB46,BT46,BL46,BD46,AV46,AN46,AF46,X46)</f>
        <v>6</v>
      </c>
      <c r="N46" s="566">
        <f t="shared" si="13"/>
        <v>0</v>
      </c>
      <c r="O46" s="585">
        <f t="shared" si="0"/>
        <v>0</v>
      </c>
      <c r="P46" s="584">
        <f t="shared" si="14"/>
        <v>0</v>
      </c>
      <c r="Q46" s="958">
        <f t="shared" si="15"/>
        <v>0</v>
      </c>
      <c r="R46" s="959">
        <f t="shared" si="16"/>
        <v>0</v>
      </c>
      <c r="S46" s="664"/>
      <c r="T46" s="1319">
        <v>0</v>
      </c>
      <c r="U46" s="1874">
        <f>6-T46*2-T47*0.5</f>
        <v>6</v>
      </c>
      <c r="V46" s="1446"/>
      <c r="W46" s="621">
        <v>0</v>
      </c>
      <c r="X46" s="1874">
        <f>6-W46*2-W47*0.5</f>
        <v>6</v>
      </c>
      <c r="Y46" s="1434"/>
      <c r="Z46" s="167">
        <f t="shared" si="35"/>
        <v>0</v>
      </c>
      <c r="AA46" s="664"/>
      <c r="AB46" s="1319">
        <v>0</v>
      </c>
      <c r="AC46" s="1922">
        <f>6-AB46*2-AB47*0.5</f>
        <v>6</v>
      </c>
      <c r="AD46" s="1449"/>
      <c r="AE46" s="621">
        <v>0</v>
      </c>
      <c r="AF46" s="1874">
        <f>6-AE46*2-AE47*0.5</f>
        <v>6</v>
      </c>
      <c r="AG46" s="1434"/>
      <c r="AH46" s="167">
        <f t="shared" si="36"/>
        <v>0</v>
      </c>
      <c r="AI46" s="664"/>
      <c r="AJ46" s="1319">
        <v>0</v>
      </c>
      <c r="AK46" s="1922">
        <f>6-AJ46*2-AJ47*0.5</f>
        <v>6</v>
      </c>
      <c r="AL46" s="1449"/>
      <c r="AM46" s="621">
        <v>0</v>
      </c>
      <c r="AN46" s="1922">
        <f>6-AM46*2-AM47*0.5</f>
        <v>6</v>
      </c>
      <c r="AO46" s="1437"/>
      <c r="AP46" s="167">
        <f t="shared" si="37"/>
        <v>0</v>
      </c>
      <c r="AQ46" s="664"/>
      <c r="AR46" s="1319">
        <v>0</v>
      </c>
      <c r="AS46" s="1922">
        <f>6-AR46*2-AR47*0.5</f>
        <v>6</v>
      </c>
      <c r="AT46" s="1449"/>
      <c r="AU46" s="621">
        <v>0</v>
      </c>
      <c r="AV46" s="1922">
        <f>6-AU46*2-AU47*0.5</f>
        <v>6</v>
      </c>
      <c r="AW46" s="1437"/>
      <c r="AX46" s="167">
        <f t="shared" si="38"/>
        <v>0</v>
      </c>
      <c r="AY46" s="664"/>
      <c r="AZ46" s="1319">
        <v>0</v>
      </c>
      <c r="BA46" s="1922">
        <f>6-AZ46*2-AZ47*0.5</f>
        <v>6</v>
      </c>
      <c r="BB46" s="1449"/>
      <c r="BC46" s="621">
        <v>0</v>
      </c>
      <c r="BD46" s="1922">
        <f>6-BC46*2-BC47*0.5</f>
        <v>6</v>
      </c>
      <c r="BE46" s="1437"/>
      <c r="BF46" s="167">
        <f t="shared" si="39"/>
        <v>0</v>
      </c>
      <c r="BG46" s="664"/>
      <c r="BH46" s="1319">
        <v>0</v>
      </c>
      <c r="BI46" s="1922">
        <f>6-BH46*2-BH47*0.5</f>
        <v>6</v>
      </c>
      <c r="BJ46" s="1449"/>
      <c r="BK46" s="621">
        <v>0</v>
      </c>
      <c r="BL46" s="1922">
        <f>6-BK46*2-BK47*0.5</f>
        <v>6</v>
      </c>
      <c r="BM46" s="1437"/>
      <c r="BN46" s="167">
        <f t="shared" si="40"/>
        <v>0</v>
      </c>
      <c r="BO46" s="664"/>
      <c r="BP46" s="1319">
        <v>0</v>
      </c>
      <c r="BQ46" s="1922">
        <f>6-BP46*2-BP47*0.5</f>
        <v>6</v>
      </c>
      <c r="BR46" s="1449"/>
      <c r="BS46" s="621">
        <v>0</v>
      </c>
      <c r="BT46" s="1922">
        <f>6-BS46*2-BS47*0.5</f>
        <v>6</v>
      </c>
      <c r="BU46" s="1437"/>
      <c r="BV46" s="167">
        <f t="shared" si="41"/>
        <v>0</v>
      </c>
      <c r="BW46" s="664"/>
      <c r="BX46" s="1319">
        <v>0</v>
      </c>
      <c r="BY46" s="1922">
        <f>6-BX46*2-BX47*0.5</f>
        <v>6</v>
      </c>
      <c r="BZ46" s="1449"/>
      <c r="CA46" s="621">
        <v>0</v>
      </c>
      <c r="CB46" s="1922">
        <f>6-CA46*2-CA47*0.5</f>
        <v>6</v>
      </c>
      <c r="CC46" s="1437"/>
      <c r="CD46" s="167">
        <f t="shared" si="42"/>
        <v>0</v>
      </c>
      <c r="CE46" s="664"/>
      <c r="CF46" s="1319">
        <v>0</v>
      </c>
      <c r="CG46" s="1922">
        <f>6-CF46*2-CF47*0.5</f>
        <v>6</v>
      </c>
      <c r="CH46" s="1449"/>
      <c r="CI46" s="621">
        <v>0</v>
      </c>
      <c r="CJ46" s="1922">
        <f>6-CI46*2-CI47*0.5</f>
        <v>6</v>
      </c>
      <c r="CK46" s="1437"/>
      <c r="CL46" s="167">
        <f t="shared" si="43"/>
        <v>0</v>
      </c>
      <c r="CM46" s="664"/>
      <c r="CN46" s="1319">
        <v>0</v>
      </c>
      <c r="CO46" s="1922">
        <f>6-CN46*2-CN47*0.5</f>
        <v>6</v>
      </c>
      <c r="CP46" s="1449"/>
      <c r="CQ46" s="621">
        <v>0</v>
      </c>
      <c r="CR46" s="1874">
        <f>6-CQ46*2-CQ47*0.5</f>
        <v>6</v>
      </c>
      <c r="CS46" s="1434"/>
      <c r="CT46" s="665">
        <f t="shared" si="44"/>
        <v>0</v>
      </c>
      <c r="CX46" s="602">
        <v>1</v>
      </c>
      <c r="CY46" s="602">
        <f t="shared" si="46"/>
        <v>6</v>
      </c>
      <c r="CZ46" s="602">
        <v>1</v>
      </c>
      <c r="DA46" s="602">
        <f t="shared" si="45"/>
        <v>6</v>
      </c>
      <c r="DB46" s="602">
        <v>0</v>
      </c>
      <c r="DC46" s="602"/>
      <c r="DD46" s="603"/>
      <c r="DE46" s="603"/>
      <c r="DF46" s="603"/>
      <c r="DG46" s="603"/>
      <c r="DH46" s="603"/>
      <c r="DI46" s="603"/>
      <c r="DJ46" s="603"/>
      <c r="DK46" s="603"/>
      <c r="DL46" s="603"/>
      <c r="DM46" s="603"/>
    </row>
    <row r="47" spans="1:119" ht="16.5" customHeight="1">
      <c r="A47" s="1903"/>
      <c r="B47" s="1903"/>
      <c r="C47" s="284">
        <v>24</v>
      </c>
      <c r="D47" s="79" t="s">
        <v>1750</v>
      </c>
      <c r="E47" s="480" t="s">
        <v>256</v>
      </c>
      <c r="F47" s="275"/>
      <c r="G47" s="260" t="s">
        <v>478</v>
      </c>
      <c r="H47" s="275" t="s">
        <v>284</v>
      </c>
      <c r="I47" s="1925"/>
      <c r="J47" s="588">
        <f t="shared" si="33"/>
        <v>0</v>
      </c>
      <c r="K47" s="1942"/>
      <c r="L47" s="588">
        <f t="shared" si="47"/>
        <v>0</v>
      </c>
      <c r="M47" s="1942"/>
      <c r="N47" s="566">
        <f t="shared" si="13"/>
        <v>0</v>
      </c>
      <c r="O47" s="585">
        <f t="shared" si="0"/>
        <v>0</v>
      </c>
      <c r="P47" s="584">
        <f t="shared" si="14"/>
        <v>0</v>
      </c>
      <c r="Q47" s="958">
        <f t="shared" si="15"/>
        <v>0</v>
      </c>
      <c r="R47" s="959">
        <f t="shared" si="16"/>
        <v>0</v>
      </c>
      <c r="S47" s="664"/>
      <c r="T47" s="1319">
        <v>0</v>
      </c>
      <c r="U47" s="1874"/>
      <c r="V47" s="1446"/>
      <c r="W47" s="621">
        <v>0</v>
      </c>
      <c r="X47" s="1874"/>
      <c r="Y47" s="1434"/>
      <c r="Z47" s="167">
        <f t="shared" si="35"/>
        <v>0</v>
      </c>
      <c r="AA47" s="664"/>
      <c r="AB47" s="1319">
        <v>0</v>
      </c>
      <c r="AC47" s="1922"/>
      <c r="AD47" s="1449"/>
      <c r="AE47" s="621">
        <v>0</v>
      </c>
      <c r="AF47" s="1874"/>
      <c r="AG47" s="1434"/>
      <c r="AH47" s="167">
        <f t="shared" si="36"/>
        <v>0</v>
      </c>
      <c r="AI47" s="664"/>
      <c r="AJ47" s="1319">
        <v>0</v>
      </c>
      <c r="AK47" s="1922"/>
      <c r="AL47" s="1449"/>
      <c r="AM47" s="621">
        <v>0</v>
      </c>
      <c r="AN47" s="1922"/>
      <c r="AO47" s="1437"/>
      <c r="AP47" s="167">
        <f t="shared" si="37"/>
        <v>0</v>
      </c>
      <c r="AQ47" s="664"/>
      <c r="AR47" s="1319">
        <v>0</v>
      </c>
      <c r="AS47" s="1922"/>
      <c r="AT47" s="1449"/>
      <c r="AU47" s="621">
        <v>0</v>
      </c>
      <c r="AV47" s="1922"/>
      <c r="AW47" s="1437"/>
      <c r="AX47" s="167">
        <f t="shared" si="38"/>
        <v>0</v>
      </c>
      <c r="AY47" s="664"/>
      <c r="AZ47" s="1319">
        <v>0</v>
      </c>
      <c r="BA47" s="1922"/>
      <c r="BB47" s="1449"/>
      <c r="BC47" s="621">
        <v>0</v>
      </c>
      <c r="BD47" s="1922"/>
      <c r="BE47" s="1437"/>
      <c r="BF47" s="167">
        <f t="shared" si="39"/>
        <v>0</v>
      </c>
      <c r="BG47" s="664"/>
      <c r="BH47" s="1319">
        <v>0</v>
      </c>
      <c r="BI47" s="1922"/>
      <c r="BJ47" s="1449"/>
      <c r="BK47" s="621">
        <v>0</v>
      </c>
      <c r="BL47" s="1922"/>
      <c r="BM47" s="1437"/>
      <c r="BN47" s="167">
        <f t="shared" si="40"/>
        <v>0</v>
      </c>
      <c r="BO47" s="664"/>
      <c r="BP47" s="1319">
        <v>0</v>
      </c>
      <c r="BQ47" s="1922"/>
      <c r="BR47" s="1449"/>
      <c r="BS47" s="621">
        <v>0</v>
      </c>
      <c r="BT47" s="1922"/>
      <c r="BU47" s="1437"/>
      <c r="BV47" s="167">
        <f t="shared" si="41"/>
        <v>0</v>
      </c>
      <c r="BW47" s="664"/>
      <c r="BX47" s="1319">
        <v>0</v>
      </c>
      <c r="BY47" s="1922"/>
      <c r="BZ47" s="1449"/>
      <c r="CA47" s="621">
        <v>0</v>
      </c>
      <c r="CB47" s="1922"/>
      <c r="CC47" s="1437"/>
      <c r="CD47" s="167">
        <f t="shared" si="42"/>
        <v>0</v>
      </c>
      <c r="CE47" s="664"/>
      <c r="CF47" s="1319">
        <v>0</v>
      </c>
      <c r="CG47" s="1922"/>
      <c r="CH47" s="1449"/>
      <c r="CI47" s="621">
        <v>0</v>
      </c>
      <c r="CJ47" s="1922"/>
      <c r="CK47" s="1437"/>
      <c r="CL47" s="167">
        <f t="shared" si="43"/>
        <v>0</v>
      </c>
      <c r="CM47" s="664"/>
      <c r="CN47" s="1319">
        <v>0</v>
      </c>
      <c r="CO47" s="1922"/>
      <c r="CP47" s="1449"/>
      <c r="CQ47" s="621">
        <v>0</v>
      </c>
      <c r="CR47" s="1874"/>
      <c r="CS47" s="1434"/>
      <c r="CT47" s="665">
        <f t="shared" si="44"/>
        <v>0</v>
      </c>
      <c r="CX47" s="602">
        <v>1</v>
      </c>
      <c r="CY47" s="602">
        <f t="shared" si="46"/>
        <v>0</v>
      </c>
      <c r="CZ47" s="602">
        <v>1</v>
      </c>
      <c r="DA47" s="602">
        <f t="shared" si="45"/>
        <v>0</v>
      </c>
      <c r="DB47" s="602">
        <v>0</v>
      </c>
      <c r="DC47" s="602"/>
      <c r="DD47" s="603"/>
      <c r="DE47" s="603"/>
      <c r="DF47" s="603"/>
      <c r="DG47" s="603"/>
      <c r="DH47" s="603"/>
      <c r="DI47" s="603"/>
      <c r="DJ47" s="603"/>
      <c r="DK47" s="603"/>
      <c r="DL47" s="603"/>
      <c r="DM47" s="603"/>
    </row>
    <row r="48" spans="1:119" ht="20.25" customHeight="1">
      <c r="A48" s="435" t="s">
        <v>1420</v>
      </c>
      <c r="B48" s="435" t="s">
        <v>1421</v>
      </c>
      <c r="C48" s="284">
        <v>25</v>
      </c>
      <c r="D48" s="79" t="s">
        <v>1419</v>
      </c>
      <c r="E48" s="480" t="s">
        <v>256</v>
      </c>
      <c r="F48" s="275"/>
      <c r="G48" s="260" t="s">
        <v>478</v>
      </c>
      <c r="H48" s="275" t="s">
        <v>284</v>
      </c>
      <c r="I48" s="622">
        <v>5</v>
      </c>
      <c r="J48" s="588">
        <f t="shared" si="33"/>
        <v>0</v>
      </c>
      <c r="K48" s="586">
        <f>AVERAGE(CO48,CG48,BY48,BQ48,BI48,BA48,AS48,AK48,AC48,U48)</f>
        <v>5</v>
      </c>
      <c r="L48" s="588">
        <f t="shared" si="47"/>
        <v>0</v>
      </c>
      <c r="M48" s="584">
        <f>AVERAGE(CR48,CJ48,CB48,BT48,BL48,BD48,AV48,AN48,AF48,X48)</f>
        <v>5</v>
      </c>
      <c r="N48" s="566">
        <f t="shared" si="13"/>
        <v>0</v>
      </c>
      <c r="O48" s="585">
        <f t="shared" si="0"/>
        <v>0</v>
      </c>
      <c r="P48" s="584">
        <f t="shared" si="14"/>
        <v>0</v>
      </c>
      <c r="Q48" s="958">
        <f t="shared" si="15"/>
        <v>0</v>
      </c>
      <c r="R48" s="959">
        <f t="shared" si="16"/>
        <v>0</v>
      </c>
      <c r="S48" s="664"/>
      <c r="T48" s="1319">
        <v>0</v>
      </c>
      <c r="U48" s="618">
        <f>IF(T48=0,5,IF(T48&lt;=3,2,0))</f>
        <v>5</v>
      </c>
      <c r="V48" s="1446"/>
      <c r="W48" s="621">
        <v>0</v>
      </c>
      <c r="X48" s="977">
        <f>IF(W48=0,5,IF(W48&lt;=3,2,0))</f>
        <v>5</v>
      </c>
      <c r="Y48" s="1434"/>
      <c r="Z48" s="167">
        <f t="shared" si="35"/>
        <v>0</v>
      </c>
      <c r="AA48" s="664"/>
      <c r="AB48" s="1319">
        <v>0</v>
      </c>
      <c r="AC48" s="621">
        <f>IF(AB48=0,5,IF(AB48&lt;=3,2,0))</f>
        <v>5</v>
      </c>
      <c r="AD48" s="1449"/>
      <c r="AE48" s="621">
        <v>0</v>
      </c>
      <c r="AF48" s="977">
        <f>IF(AE48=0,5,IF(AE48&lt;=3,2,0))</f>
        <v>5</v>
      </c>
      <c r="AG48" s="1434"/>
      <c r="AH48" s="167">
        <f t="shared" si="36"/>
        <v>0</v>
      </c>
      <c r="AI48" s="664"/>
      <c r="AJ48" s="1319">
        <v>0</v>
      </c>
      <c r="AK48" s="621">
        <f>IF(AJ48=0,5,IF(AJ48&lt;=3,2,0))</f>
        <v>5</v>
      </c>
      <c r="AL48" s="1449"/>
      <c r="AM48" s="621">
        <v>0</v>
      </c>
      <c r="AN48" s="621">
        <f>IF(AM48=0,5,IF(AM48&lt;=3,2,0))</f>
        <v>5</v>
      </c>
      <c r="AO48" s="1437"/>
      <c r="AP48" s="167">
        <f t="shared" si="37"/>
        <v>0</v>
      </c>
      <c r="AQ48" s="664"/>
      <c r="AR48" s="1319">
        <v>0</v>
      </c>
      <c r="AS48" s="621">
        <f>IF(AR48=0,5,IF(AR48&lt;=3,2,0))</f>
        <v>5</v>
      </c>
      <c r="AT48" s="1449"/>
      <c r="AU48" s="621">
        <v>0</v>
      </c>
      <c r="AV48" s="621">
        <f>IF(AU48=0,5,IF(AU48&lt;=3,2,0))</f>
        <v>5</v>
      </c>
      <c r="AW48" s="1437"/>
      <c r="AX48" s="167">
        <f t="shared" si="38"/>
        <v>0</v>
      </c>
      <c r="AY48" s="664"/>
      <c r="AZ48" s="1319">
        <v>0</v>
      </c>
      <c r="BA48" s="621">
        <f>IF(AZ48=0,5,IF(AZ48&lt;=3,2,0))</f>
        <v>5</v>
      </c>
      <c r="BB48" s="1449"/>
      <c r="BC48" s="621">
        <v>0</v>
      </c>
      <c r="BD48" s="621">
        <f>IF(BC48=0,5,IF(BC48&lt;=3,2,0))</f>
        <v>5</v>
      </c>
      <c r="BE48" s="1437"/>
      <c r="BF48" s="167">
        <f t="shared" si="39"/>
        <v>0</v>
      </c>
      <c r="BG48" s="664"/>
      <c r="BH48" s="1319">
        <v>0</v>
      </c>
      <c r="BI48" s="621">
        <f>IF(BH48=0,5,IF(BH48&lt;=3,2,0))</f>
        <v>5</v>
      </c>
      <c r="BJ48" s="1449"/>
      <c r="BK48" s="621">
        <v>0</v>
      </c>
      <c r="BL48" s="621">
        <f>IF(BK48=0,5,IF(BK48&lt;=3,2,0))</f>
        <v>5</v>
      </c>
      <c r="BM48" s="1437"/>
      <c r="BN48" s="167">
        <f t="shared" si="40"/>
        <v>0</v>
      </c>
      <c r="BO48" s="664"/>
      <c r="BP48" s="1319">
        <v>0</v>
      </c>
      <c r="BQ48" s="621">
        <f>IF(BP48=0,5,IF(BP48&lt;=3,2,0))</f>
        <v>5</v>
      </c>
      <c r="BR48" s="1449"/>
      <c r="BS48" s="621">
        <v>0</v>
      </c>
      <c r="BT48" s="621">
        <f>IF(BS48=0,5,IF(BS48&lt;=3,2,0))</f>
        <v>5</v>
      </c>
      <c r="BU48" s="1437"/>
      <c r="BV48" s="167">
        <f t="shared" si="41"/>
        <v>0</v>
      </c>
      <c r="BW48" s="664"/>
      <c r="BX48" s="1319">
        <v>0</v>
      </c>
      <c r="BY48" s="621">
        <f>IF(BX48=0,5,IF(BX48&lt;=3,2,0))</f>
        <v>5</v>
      </c>
      <c r="BZ48" s="1449"/>
      <c r="CA48" s="621">
        <v>0</v>
      </c>
      <c r="CB48" s="621">
        <f>IF(CA48=0,5,IF(CA48&lt;=3,2,0))</f>
        <v>5</v>
      </c>
      <c r="CC48" s="1437"/>
      <c r="CD48" s="167">
        <f t="shared" si="42"/>
        <v>0</v>
      </c>
      <c r="CE48" s="664"/>
      <c r="CF48" s="1319">
        <v>0</v>
      </c>
      <c r="CG48" s="621">
        <f>IF(CF48=0,5,IF(CF48&lt;=3,2,0))</f>
        <v>5</v>
      </c>
      <c r="CH48" s="1449"/>
      <c r="CI48" s="621">
        <v>0</v>
      </c>
      <c r="CJ48" s="621">
        <f>IF(CI48=0,5,IF(CI48&lt;=3,2,0))</f>
        <v>5</v>
      </c>
      <c r="CK48" s="1437"/>
      <c r="CL48" s="167">
        <f t="shared" si="43"/>
        <v>0</v>
      </c>
      <c r="CM48" s="664"/>
      <c r="CN48" s="1319">
        <v>0</v>
      </c>
      <c r="CO48" s="621">
        <f>IF(CN48=0,5,IF(CN48&lt;=3,2,0))</f>
        <v>5</v>
      </c>
      <c r="CP48" s="1449"/>
      <c r="CQ48" s="621">
        <v>0</v>
      </c>
      <c r="CR48" s="618">
        <f>IF(CQ48=0,5,IF(CQ48&lt;=3,2,0))</f>
        <v>5</v>
      </c>
      <c r="CS48" s="1434"/>
      <c r="CT48" s="665">
        <f t="shared" si="44"/>
        <v>0</v>
      </c>
      <c r="CX48" s="602"/>
      <c r="CY48" s="602">
        <f t="shared" si="46"/>
        <v>5</v>
      </c>
      <c r="CZ48" s="602">
        <v>1</v>
      </c>
      <c r="DA48" s="602">
        <f t="shared" si="45"/>
        <v>5</v>
      </c>
      <c r="DB48" s="602">
        <v>0</v>
      </c>
      <c r="DC48" s="602"/>
      <c r="DD48" s="603"/>
      <c r="DE48" s="603"/>
      <c r="DF48" s="603"/>
      <c r="DG48" s="603"/>
      <c r="DH48" s="603"/>
      <c r="DI48" s="603"/>
      <c r="DJ48" s="603"/>
      <c r="DK48" s="603"/>
      <c r="DL48" s="603"/>
      <c r="DM48" s="603"/>
    </row>
    <row r="49" spans="1:118" ht="16.5" customHeight="1">
      <c r="A49" s="435" t="s">
        <v>1284</v>
      </c>
      <c r="B49" s="435" t="s">
        <v>1423</v>
      </c>
      <c r="C49" s="284">
        <v>26</v>
      </c>
      <c r="D49" s="79" t="s">
        <v>1422</v>
      </c>
      <c r="E49" s="480" t="s">
        <v>256</v>
      </c>
      <c r="F49" s="275"/>
      <c r="G49" s="260" t="s">
        <v>478</v>
      </c>
      <c r="H49" s="275" t="s">
        <v>284</v>
      </c>
      <c r="I49" s="622" t="s">
        <v>541</v>
      </c>
      <c r="J49" s="588">
        <f t="shared" si="33"/>
        <v>0</v>
      </c>
      <c r="K49" s="567"/>
      <c r="L49" s="588">
        <f t="shared" si="47"/>
        <v>0</v>
      </c>
      <c r="M49" s="567"/>
      <c r="N49" s="566">
        <f t="shared" si="13"/>
        <v>0</v>
      </c>
      <c r="O49" s="567"/>
      <c r="P49" s="960"/>
      <c r="Q49" s="960"/>
      <c r="R49" s="960"/>
      <c r="S49" s="664"/>
      <c r="T49" s="1319">
        <v>0</v>
      </c>
      <c r="U49" s="618" t="s">
        <v>1286</v>
      </c>
      <c r="V49" s="1446"/>
      <c r="W49" s="621">
        <v>0</v>
      </c>
      <c r="X49" s="977" t="str">
        <f>IF(W49=0,"不扣分",-10*W49)</f>
        <v>不扣分</v>
      </c>
      <c r="Y49" s="1434"/>
      <c r="Z49" s="167">
        <f t="shared" si="35"/>
        <v>0</v>
      </c>
      <c r="AA49" s="664"/>
      <c r="AB49" s="1319">
        <v>0</v>
      </c>
      <c r="AC49" s="621" t="s">
        <v>1286</v>
      </c>
      <c r="AD49" s="1449"/>
      <c r="AE49" s="621">
        <v>0</v>
      </c>
      <c r="AF49" s="621" t="str">
        <f>IF(AE49=0,"不扣分",-10*AE49)</f>
        <v>不扣分</v>
      </c>
      <c r="AG49" s="1437"/>
      <c r="AH49" s="167">
        <f t="shared" si="36"/>
        <v>0</v>
      </c>
      <c r="AI49" s="664"/>
      <c r="AJ49" s="1319">
        <v>0</v>
      </c>
      <c r="AK49" s="621" t="s">
        <v>1165</v>
      </c>
      <c r="AL49" s="1449"/>
      <c r="AM49" s="621">
        <v>0</v>
      </c>
      <c r="AN49" s="621" t="str">
        <f>IF(AM49=0,"不扣分",-10*AM49)</f>
        <v>不扣分</v>
      </c>
      <c r="AO49" s="1437"/>
      <c r="AP49" s="167">
        <f t="shared" si="37"/>
        <v>0</v>
      </c>
      <c r="AQ49" s="664"/>
      <c r="AR49" s="1319">
        <v>0</v>
      </c>
      <c r="AS49" s="621" t="s">
        <v>1165</v>
      </c>
      <c r="AT49" s="1449"/>
      <c r="AU49" s="621">
        <v>0</v>
      </c>
      <c r="AV49" s="621" t="str">
        <f>IF(AU49=0,"不扣分",-10*AU49)</f>
        <v>不扣分</v>
      </c>
      <c r="AW49" s="1437"/>
      <c r="AX49" s="167">
        <f t="shared" si="38"/>
        <v>0</v>
      </c>
      <c r="AY49" s="664"/>
      <c r="AZ49" s="1319">
        <v>0</v>
      </c>
      <c r="BA49" s="621" t="s">
        <v>1165</v>
      </c>
      <c r="BB49" s="1449"/>
      <c r="BC49" s="621">
        <v>0</v>
      </c>
      <c r="BD49" s="621" t="str">
        <f>IF(BC49=0,"不扣分",-10*BC49)</f>
        <v>不扣分</v>
      </c>
      <c r="BE49" s="1437"/>
      <c r="BF49" s="167">
        <f t="shared" si="39"/>
        <v>0</v>
      </c>
      <c r="BG49" s="664"/>
      <c r="BH49" s="1319">
        <v>0</v>
      </c>
      <c r="BI49" s="621" t="s">
        <v>1165</v>
      </c>
      <c r="BJ49" s="1449"/>
      <c r="BK49" s="621">
        <v>0</v>
      </c>
      <c r="BL49" s="621" t="str">
        <f>IF(BK49=0,"不扣分",-10*BK49)</f>
        <v>不扣分</v>
      </c>
      <c r="BM49" s="1437"/>
      <c r="BN49" s="167">
        <f t="shared" si="40"/>
        <v>0</v>
      </c>
      <c r="BO49" s="664"/>
      <c r="BP49" s="1319">
        <v>0</v>
      </c>
      <c r="BQ49" s="621" t="s">
        <v>1165</v>
      </c>
      <c r="BR49" s="1449"/>
      <c r="BS49" s="621">
        <v>0</v>
      </c>
      <c r="BT49" s="621" t="str">
        <f>IF(BS49=0,"不扣分",-10*BS49)</f>
        <v>不扣分</v>
      </c>
      <c r="BU49" s="1437"/>
      <c r="BV49" s="167">
        <f t="shared" si="41"/>
        <v>0</v>
      </c>
      <c r="BW49" s="664"/>
      <c r="BX49" s="1319">
        <v>0</v>
      </c>
      <c r="BY49" s="621" t="s">
        <v>1165</v>
      </c>
      <c r="BZ49" s="1449"/>
      <c r="CA49" s="621">
        <v>0</v>
      </c>
      <c r="CB49" s="621" t="str">
        <f>IF(CA49=0,"不扣分",-10*CA49)</f>
        <v>不扣分</v>
      </c>
      <c r="CC49" s="1437"/>
      <c r="CD49" s="167">
        <f t="shared" si="42"/>
        <v>0</v>
      </c>
      <c r="CE49" s="664"/>
      <c r="CF49" s="1319">
        <v>0</v>
      </c>
      <c r="CG49" s="621" t="s">
        <v>1165</v>
      </c>
      <c r="CH49" s="1449"/>
      <c r="CI49" s="621">
        <v>0</v>
      </c>
      <c r="CJ49" s="621" t="str">
        <f>IF(CI49=0,"不扣分",-10*CI49)</f>
        <v>不扣分</v>
      </c>
      <c r="CK49" s="1437"/>
      <c r="CL49" s="167">
        <f t="shared" si="43"/>
        <v>0</v>
      </c>
      <c r="CM49" s="664"/>
      <c r="CN49" s="1319">
        <v>0</v>
      </c>
      <c r="CO49" s="621" t="s">
        <v>1165</v>
      </c>
      <c r="CP49" s="1449"/>
      <c r="CQ49" s="621">
        <v>0</v>
      </c>
      <c r="CR49" s="618" t="str">
        <f>IF(CQ49=0,"不扣分",-10*CQ49)</f>
        <v>不扣分</v>
      </c>
      <c r="CS49" s="1434"/>
      <c r="CT49" s="665">
        <f t="shared" si="44"/>
        <v>0</v>
      </c>
      <c r="CX49" s="602">
        <v>1</v>
      </c>
      <c r="CY49" s="602">
        <f t="shared" si="46"/>
        <v>0</v>
      </c>
      <c r="CZ49" s="602">
        <v>1</v>
      </c>
      <c r="DA49" s="602">
        <f t="shared" si="45"/>
        <v>0</v>
      </c>
      <c r="DB49" s="602">
        <v>0</v>
      </c>
      <c r="DC49" s="602"/>
      <c r="DD49" s="603"/>
      <c r="DE49" s="603"/>
      <c r="DF49" s="603"/>
      <c r="DG49" s="603"/>
      <c r="DH49" s="603"/>
      <c r="DI49" s="603"/>
      <c r="DJ49" s="603"/>
      <c r="DK49" s="603"/>
      <c r="DL49" s="603"/>
      <c r="DM49" s="603"/>
    </row>
    <row r="50" spans="1:118" ht="21.75" customHeight="1">
      <c r="A50" s="1902" t="s">
        <v>1425</v>
      </c>
      <c r="B50" s="1902" t="s">
        <v>1426</v>
      </c>
      <c r="C50" s="284">
        <v>27</v>
      </c>
      <c r="D50" s="79" t="s">
        <v>1424</v>
      </c>
      <c r="E50" s="480" t="s">
        <v>1813</v>
      </c>
      <c r="F50" s="275"/>
      <c r="G50" s="260" t="s">
        <v>1783</v>
      </c>
      <c r="H50" s="275" t="s">
        <v>1814</v>
      </c>
      <c r="I50" s="1925">
        <v>3</v>
      </c>
      <c r="J50" s="588">
        <f t="shared" si="33"/>
        <v>0</v>
      </c>
      <c r="K50" s="1941">
        <f>AVERAGE(CO50,CG50,BY50,BQ50,BI50,BA50,AS50,AK50,AC50,U50)</f>
        <v>3</v>
      </c>
      <c r="L50" s="588">
        <f t="shared" si="47"/>
        <v>0</v>
      </c>
      <c r="M50" s="1941">
        <f>AVERAGE(CR50,CJ50,CB50,BT50,BL50,BD50,AV50,AN50,AF50,X50)</f>
        <v>3</v>
      </c>
      <c r="N50" s="566">
        <f t="shared" si="13"/>
        <v>0</v>
      </c>
      <c r="O50" s="585">
        <f>I50-M50</f>
        <v>0</v>
      </c>
      <c r="P50" s="584">
        <f t="shared" si="14"/>
        <v>0</v>
      </c>
      <c r="Q50" s="958">
        <f t="shared" si="15"/>
        <v>0</v>
      </c>
      <c r="R50" s="959">
        <f t="shared" si="16"/>
        <v>0</v>
      </c>
      <c r="S50" s="664"/>
      <c r="T50" s="1319">
        <v>0</v>
      </c>
      <c r="U50" s="1874">
        <f>3-T50-T51*0.5</f>
        <v>3</v>
      </c>
      <c r="V50" s="1446"/>
      <c r="W50" s="621">
        <v>0</v>
      </c>
      <c r="X50" s="1874">
        <f>3-W50-W51*0.5</f>
        <v>3</v>
      </c>
      <c r="Y50" s="1434"/>
      <c r="Z50" s="167">
        <f t="shared" si="35"/>
        <v>0</v>
      </c>
      <c r="AA50" s="664"/>
      <c r="AB50" s="1319">
        <v>0</v>
      </c>
      <c r="AC50" s="1922">
        <f>3-AB50-AB51*0.5</f>
        <v>3</v>
      </c>
      <c r="AD50" s="1449"/>
      <c r="AE50" s="621">
        <v>0</v>
      </c>
      <c r="AF50" s="1922">
        <f>3-AE50-AE51*0.5</f>
        <v>3</v>
      </c>
      <c r="AG50" s="1437"/>
      <c r="AH50" s="167">
        <f t="shared" si="36"/>
        <v>0</v>
      </c>
      <c r="AI50" s="664"/>
      <c r="AJ50" s="1319">
        <v>0</v>
      </c>
      <c r="AK50" s="1922">
        <f>3-AJ50-AJ51*0.5</f>
        <v>3</v>
      </c>
      <c r="AL50" s="1449"/>
      <c r="AM50" s="621">
        <v>0</v>
      </c>
      <c r="AN50" s="1922">
        <f>3-AM50-AM51*0.5</f>
        <v>3</v>
      </c>
      <c r="AO50" s="1437"/>
      <c r="AP50" s="167">
        <f t="shared" si="37"/>
        <v>0</v>
      </c>
      <c r="AQ50" s="664"/>
      <c r="AR50" s="1319">
        <v>0</v>
      </c>
      <c r="AS50" s="1922">
        <f>3-AR50-AR51*0.5</f>
        <v>3</v>
      </c>
      <c r="AT50" s="1449"/>
      <c r="AU50" s="621">
        <v>0</v>
      </c>
      <c r="AV50" s="1922">
        <f>3-AU50-AU51*0.5</f>
        <v>3</v>
      </c>
      <c r="AW50" s="1437"/>
      <c r="AX50" s="167">
        <f t="shared" si="38"/>
        <v>0</v>
      </c>
      <c r="AY50" s="664"/>
      <c r="AZ50" s="1319">
        <v>0</v>
      </c>
      <c r="BA50" s="1922">
        <f>3-AZ50-AZ51*0.5</f>
        <v>3</v>
      </c>
      <c r="BB50" s="1449"/>
      <c r="BC50" s="621">
        <v>0</v>
      </c>
      <c r="BD50" s="1922">
        <f>3-BC50-BC51*0.5</f>
        <v>3</v>
      </c>
      <c r="BE50" s="1437"/>
      <c r="BF50" s="167">
        <f t="shared" si="39"/>
        <v>0</v>
      </c>
      <c r="BG50" s="664"/>
      <c r="BH50" s="1319">
        <v>0</v>
      </c>
      <c r="BI50" s="1922">
        <f>3-BH50-BH51*0.5</f>
        <v>3</v>
      </c>
      <c r="BJ50" s="1449"/>
      <c r="BK50" s="621">
        <v>0</v>
      </c>
      <c r="BL50" s="1922">
        <f>3-BK50-BK51*0.5</f>
        <v>3</v>
      </c>
      <c r="BM50" s="1437"/>
      <c r="BN50" s="167">
        <f t="shared" si="40"/>
        <v>0</v>
      </c>
      <c r="BO50" s="664"/>
      <c r="BP50" s="1319">
        <v>0</v>
      </c>
      <c r="BQ50" s="1922">
        <f>3-BP50-BP51*0.5</f>
        <v>3</v>
      </c>
      <c r="BR50" s="1449"/>
      <c r="BS50" s="621">
        <v>0</v>
      </c>
      <c r="BT50" s="1922">
        <f>3-BS50-BS51*0.5</f>
        <v>3</v>
      </c>
      <c r="BU50" s="1437"/>
      <c r="BV50" s="167">
        <f t="shared" si="41"/>
        <v>0</v>
      </c>
      <c r="BW50" s="664"/>
      <c r="BX50" s="1319">
        <v>0</v>
      </c>
      <c r="BY50" s="1922">
        <f>3-BX50-BX51*0.5</f>
        <v>3</v>
      </c>
      <c r="BZ50" s="1449"/>
      <c r="CA50" s="621">
        <v>0</v>
      </c>
      <c r="CB50" s="1922">
        <f>3-CA50-CA51*0.5</f>
        <v>3</v>
      </c>
      <c r="CC50" s="1437"/>
      <c r="CD50" s="167">
        <f t="shared" si="42"/>
        <v>0</v>
      </c>
      <c r="CE50" s="664"/>
      <c r="CF50" s="1319">
        <v>0</v>
      </c>
      <c r="CG50" s="1922">
        <f>3-CF50-CF51*0.5</f>
        <v>3</v>
      </c>
      <c r="CH50" s="1449"/>
      <c r="CI50" s="621">
        <v>0</v>
      </c>
      <c r="CJ50" s="1922">
        <f>3-CI50-CI51*0.5</f>
        <v>3</v>
      </c>
      <c r="CK50" s="1437"/>
      <c r="CL50" s="167">
        <f t="shared" si="43"/>
        <v>0</v>
      </c>
      <c r="CM50" s="664"/>
      <c r="CN50" s="1319">
        <v>0</v>
      </c>
      <c r="CO50" s="1922">
        <f>3-CN50-CN51*0.5</f>
        <v>3</v>
      </c>
      <c r="CP50" s="1449"/>
      <c r="CQ50" s="621">
        <v>0</v>
      </c>
      <c r="CR50" s="1874">
        <f>3-CQ50-CQ51*0.5</f>
        <v>3</v>
      </c>
      <c r="CS50" s="1434"/>
      <c r="CT50" s="665">
        <f t="shared" si="44"/>
        <v>0</v>
      </c>
      <c r="CX50" s="602">
        <v>1</v>
      </c>
      <c r="CY50" s="602">
        <f t="shared" si="46"/>
        <v>3</v>
      </c>
      <c r="CZ50" s="605">
        <v>1</v>
      </c>
      <c r="DA50" s="602">
        <f t="shared" si="45"/>
        <v>3</v>
      </c>
      <c r="DB50" s="602">
        <v>1</v>
      </c>
      <c r="DC50" s="602">
        <f>M50</f>
        <v>3</v>
      </c>
      <c r="DD50" s="603"/>
      <c r="DE50" s="603"/>
      <c r="DF50" s="603"/>
      <c r="DG50" s="603"/>
      <c r="DH50" s="603"/>
      <c r="DI50" s="603"/>
      <c r="DJ50" s="603"/>
      <c r="DK50" s="603"/>
      <c r="DL50" s="603"/>
      <c r="DM50" s="603"/>
    </row>
    <row r="51" spans="1:118" ht="22.5" customHeight="1">
      <c r="A51" s="1903"/>
      <c r="B51" s="1903"/>
      <c r="C51" s="284">
        <v>28</v>
      </c>
      <c r="D51" s="79" t="s">
        <v>1427</v>
      </c>
      <c r="E51" s="480" t="s">
        <v>1813</v>
      </c>
      <c r="F51" s="275"/>
      <c r="G51" s="260" t="s">
        <v>1783</v>
      </c>
      <c r="H51" s="275" t="s">
        <v>1814</v>
      </c>
      <c r="I51" s="1925"/>
      <c r="J51" s="588">
        <f t="shared" si="33"/>
        <v>0</v>
      </c>
      <c r="K51" s="1942"/>
      <c r="L51" s="588">
        <f t="shared" si="47"/>
        <v>0</v>
      </c>
      <c r="M51" s="1942"/>
      <c r="N51" s="566">
        <f t="shared" si="13"/>
        <v>0</v>
      </c>
      <c r="O51" s="585">
        <f>I51-M51</f>
        <v>0</v>
      </c>
      <c r="P51" s="584">
        <f t="shared" si="14"/>
        <v>0</v>
      </c>
      <c r="Q51" s="958">
        <f t="shared" si="15"/>
        <v>0</v>
      </c>
      <c r="R51" s="959">
        <f t="shared" si="16"/>
        <v>0</v>
      </c>
      <c r="S51" s="664"/>
      <c r="T51" s="1319">
        <v>0</v>
      </c>
      <c r="U51" s="1874"/>
      <c r="V51" s="1446"/>
      <c r="W51" s="621">
        <v>0</v>
      </c>
      <c r="X51" s="1874"/>
      <c r="Y51" s="1434"/>
      <c r="Z51" s="167">
        <f t="shared" si="35"/>
        <v>0</v>
      </c>
      <c r="AA51" s="664"/>
      <c r="AB51" s="1319">
        <v>0</v>
      </c>
      <c r="AC51" s="1922"/>
      <c r="AD51" s="1449"/>
      <c r="AE51" s="621">
        <v>0</v>
      </c>
      <c r="AF51" s="1922"/>
      <c r="AG51" s="1437"/>
      <c r="AH51" s="167">
        <f t="shared" si="36"/>
        <v>0</v>
      </c>
      <c r="AI51" s="664"/>
      <c r="AJ51" s="1319">
        <v>0</v>
      </c>
      <c r="AK51" s="1922"/>
      <c r="AL51" s="1449"/>
      <c r="AM51" s="621">
        <v>0</v>
      </c>
      <c r="AN51" s="1922"/>
      <c r="AO51" s="1437"/>
      <c r="AP51" s="167">
        <f t="shared" si="37"/>
        <v>0</v>
      </c>
      <c r="AQ51" s="664"/>
      <c r="AR51" s="1319">
        <v>0</v>
      </c>
      <c r="AS51" s="1922"/>
      <c r="AT51" s="1449"/>
      <c r="AU51" s="621">
        <v>0</v>
      </c>
      <c r="AV51" s="1922"/>
      <c r="AW51" s="1437"/>
      <c r="AX51" s="167">
        <f t="shared" si="38"/>
        <v>0</v>
      </c>
      <c r="AY51" s="664"/>
      <c r="AZ51" s="1319">
        <v>0</v>
      </c>
      <c r="BA51" s="1922"/>
      <c r="BB51" s="1449"/>
      <c r="BC51" s="621">
        <v>0</v>
      </c>
      <c r="BD51" s="1922"/>
      <c r="BE51" s="1437"/>
      <c r="BF51" s="167">
        <f t="shared" si="39"/>
        <v>0</v>
      </c>
      <c r="BG51" s="664"/>
      <c r="BH51" s="1319">
        <v>0</v>
      </c>
      <c r="BI51" s="1922"/>
      <c r="BJ51" s="1449"/>
      <c r="BK51" s="621">
        <v>0</v>
      </c>
      <c r="BL51" s="1922"/>
      <c r="BM51" s="1437"/>
      <c r="BN51" s="167">
        <f t="shared" si="40"/>
        <v>0</v>
      </c>
      <c r="BO51" s="664"/>
      <c r="BP51" s="1319">
        <v>0</v>
      </c>
      <c r="BQ51" s="1922"/>
      <c r="BR51" s="1449"/>
      <c r="BS51" s="621">
        <v>0</v>
      </c>
      <c r="BT51" s="1922"/>
      <c r="BU51" s="1437"/>
      <c r="BV51" s="167">
        <f t="shared" si="41"/>
        <v>0</v>
      </c>
      <c r="BW51" s="664"/>
      <c r="BX51" s="1319">
        <v>0</v>
      </c>
      <c r="BY51" s="1922"/>
      <c r="BZ51" s="1449"/>
      <c r="CA51" s="621">
        <v>0</v>
      </c>
      <c r="CB51" s="1922"/>
      <c r="CC51" s="1437"/>
      <c r="CD51" s="167">
        <f t="shared" si="42"/>
        <v>0</v>
      </c>
      <c r="CE51" s="664"/>
      <c r="CF51" s="1319">
        <v>0</v>
      </c>
      <c r="CG51" s="1922"/>
      <c r="CH51" s="1449"/>
      <c r="CI51" s="621">
        <v>0</v>
      </c>
      <c r="CJ51" s="1922"/>
      <c r="CK51" s="1437"/>
      <c r="CL51" s="167">
        <f t="shared" si="43"/>
        <v>0</v>
      </c>
      <c r="CM51" s="664"/>
      <c r="CN51" s="1319">
        <v>0</v>
      </c>
      <c r="CO51" s="1922"/>
      <c r="CP51" s="1449"/>
      <c r="CQ51" s="621">
        <v>0</v>
      </c>
      <c r="CR51" s="1874"/>
      <c r="CS51" s="1434"/>
      <c r="CT51" s="665">
        <f t="shared" si="44"/>
        <v>0</v>
      </c>
      <c r="CX51" s="602">
        <v>1</v>
      </c>
      <c r="CY51" s="602">
        <f t="shared" si="46"/>
        <v>0</v>
      </c>
      <c r="CZ51" s="605">
        <v>1</v>
      </c>
      <c r="DA51" s="602">
        <f t="shared" si="45"/>
        <v>0</v>
      </c>
      <c r="DB51" s="602">
        <v>1</v>
      </c>
      <c r="DC51" s="602">
        <f>M51</f>
        <v>0</v>
      </c>
      <c r="DD51" s="603"/>
      <c r="DE51" s="603"/>
      <c r="DF51" s="603"/>
      <c r="DG51" s="603"/>
      <c r="DH51" s="603"/>
      <c r="DI51" s="603"/>
      <c r="DJ51" s="603"/>
      <c r="DK51" s="603"/>
      <c r="DL51" s="603"/>
      <c r="DM51" s="603"/>
    </row>
    <row r="52" spans="1:118" ht="14.25" customHeight="1">
      <c r="A52" s="44" t="s">
        <v>1428</v>
      </c>
      <c r="B52" s="44" t="s">
        <v>1429</v>
      </c>
      <c r="C52" s="284">
        <v>29</v>
      </c>
      <c r="D52" s="79" t="s">
        <v>1348</v>
      </c>
      <c r="E52" s="480" t="s">
        <v>1813</v>
      </c>
      <c r="F52" s="275"/>
      <c r="G52" s="260" t="s">
        <v>1815</v>
      </c>
      <c r="H52" s="275" t="s">
        <v>1814</v>
      </c>
      <c r="I52" s="622">
        <v>2</v>
      </c>
      <c r="J52" s="625" t="s">
        <v>1430</v>
      </c>
      <c r="K52" s="586">
        <f>AVERAGE(CO52,CG52,BY52,BQ52,BI52,BA52,AS52,AK52,AC52,U52)</f>
        <v>2</v>
      </c>
      <c r="L52" s="625" t="s">
        <v>1430</v>
      </c>
      <c r="M52" s="584">
        <f>AVERAGE(CR52,CJ52,CB52,BT52,BL52,BD52,AV52,AN52,AF52,X52)</f>
        <v>2</v>
      </c>
      <c r="N52" s="566">
        <f t="shared" si="13"/>
        <v>0</v>
      </c>
      <c r="O52" s="585">
        <f>I52-M52</f>
        <v>0</v>
      </c>
      <c r="P52" s="584">
        <f t="shared" si="14"/>
        <v>0</v>
      </c>
      <c r="Q52" s="958">
        <f t="shared" si="15"/>
        <v>0</v>
      </c>
      <c r="R52" s="959">
        <f t="shared" si="16"/>
        <v>0</v>
      </c>
      <c r="S52" s="664"/>
      <c r="T52" s="625" t="s">
        <v>1430</v>
      </c>
      <c r="U52" s="618">
        <f>IF(LEFT(T52,1)="1",2,0)</f>
        <v>2</v>
      </c>
      <c r="V52" s="1446"/>
      <c r="W52" s="625" t="s">
        <v>1430</v>
      </c>
      <c r="X52" s="977">
        <f>IF(LEFT(W52)="1",2,0)</f>
        <v>2</v>
      </c>
      <c r="Y52" s="1434"/>
      <c r="Z52" s="167">
        <f>IF((W52=T52)=TRUE,0,1)</f>
        <v>0</v>
      </c>
      <c r="AA52" s="664"/>
      <c r="AB52" s="625" t="s">
        <v>1430</v>
      </c>
      <c r="AC52" s="621">
        <f>IF(LEFT(AB52,1)="1",2,0)</f>
        <v>2</v>
      </c>
      <c r="AD52" s="1449"/>
      <c r="AE52" s="625" t="s">
        <v>1430</v>
      </c>
      <c r="AF52" s="621">
        <f>IF(LEFT(AE52)="1",2,0)</f>
        <v>2</v>
      </c>
      <c r="AG52" s="1437"/>
      <c r="AH52" s="167">
        <f>IF((AE52=AB52)=TRUE,0,1)</f>
        <v>0</v>
      </c>
      <c r="AI52" s="664"/>
      <c r="AJ52" s="625" t="s">
        <v>1430</v>
      </c>
      <c r="AK52" s="621">
        <f>IF(LEFT(AJ52,1)="1",2,0)</f>
        <v>2</v>
      </c>
      <c r="AL52" s="1449"/>
      <c r="AM52" s="625" t="s">
        <v>1430</v>
      </c>
      <c r="AN52" s="621">
        <f>IF(LEFT(AM52)="1",2,0)</f>
        <v>2</v>
      </c>
      <c r="AO52" s="1437"/>
      <c r="AP52" s="167">
        <f>IF((AM52=AJ52)=TRUE,0,1)</f>
        <v>0</v>
      </c>
      <c r="AQ52" s="664"/>
      <c r="AR52" s="625" t="s">
        <v>1430</v>
      </c>
      <c r="AS52" s="621">
        <f>IF(LEFT(AR52,1)="1",2,0)</f>
        <v>2</v>
      </c>
      <c r="AT52" s="1449"/>
      <c r="AU52" s="625" t="s">
        <v>1430</v>
      </c>
      <c r="AV52" s="621">
        <f>IF(LEFT(AU52)="1",2,0)</f>
        <v>2</v>
      </c>
      <c r="AW52" s="1437"/>
      <c r="AX52" s="167">
        <f>IF((AU52=AR52)=TRUE,0,1)</f>
        <v>0</v>
      </c>
      <c r="AY52" s="664"/>
      <c r="AZ52" s="625" t="s">
        <v>1430</v>
      </c>
      <c r="BA52" s="621">
        <f>IF(LEFT(AZ52,1)="1",2,0)</f>
        <v>2</v>
      </c>
      <c r="BB52" s="1449"/>
      <c r="BC52" s="625" t="s">
        <v>1430</v>
      </c>
      <c r="BD52" s="621">
        <f>IF(LEFT(BC52)="1",2,0)</f>
        <v>2</v>
      </c>
      <c r="BE52" s="1437"/>
      <c r="BF52" s="167">
        <f>IF((BC52=AZ52)=TRUE,0,1)</f>
        <v>0</v>
      </c>
      <c r="BG52" s="664"/>
      <c r="BH52" s="625" t="s">
        <v>1430</v>
      </c>
      <c r="BI52" s="621">
        <f>IF(LEFT(BH52,1)="1",2,0)</f>
        <v>2</v>
      </c>
      <c r="BJ52" s="1449"/>
      <c r="BK52" s="625" t="s">
        <v>1430</v>
      </c>
      <c r="BL52" s="621">
        <f>IF(LEFT(BK52)="1",2,0)</f>
        <v>2</v>
      </c>
      <c r="BM52" s="1437"/>
      <c r="BN52" s="167">
        <f>IF((BK52=BH52)=TRUE,0,1)</f>
        <v>0</v>
      </c>
      <c r="BO52" s="664"/>
      <c r="BP52" s="625" t="s">
        <v>1430</v>
      </c>
      <c r="BQ52" s="621">
        <f>IF(LEFT(BP52,1)="1",2,0)</f>
        <v>2</v>
      </c>
      <c r="BR52" s="1449"/>
      <c r="BS52" s="625" t="s">
        <v>1430</v>
      </c>
      <c r="BT52" s="621">
        <f>IF(LEFT(BS52)="1",2,0)</f>
        <v>2</v>
      </c>
      <c r="BU52" s="1437"/>
      <c r="BV52" s="167">
        <f>IF((BS52=BP52)=TRUE,0,1)</f>
        <v>0</v>
      </c>
      <c r="BW52" s="664"/>
      <c r="BX52" s="625" t="s">
        <v>1430</v>
      </c>
      <c r="BY52" s="621">
        <f>IF(LEFT(BX52,1)="1",2,0)</f>
        <v>2</v>
      </c>
      <c r="BZ52" s="1449"/>
      <c r="CA52" s="625" t="s">
        <v>1430</v>
      </c>
      <c r="CB52" s="621">
        <f>IF(LEFT(CA52)="1",2,0)</f>
        <v>2</v>
      </c>
      <c r="CC52" s="1437"/>
      <c r="CD52" s="167">
        <f>IF((CA52=BX52)=TRUE,0,1)</f>
        <v>0</v>
      </c>
      <c r="CE52" s="664"/>
      <c r="CF52" s="625" t="s">
        <v>1430</v>
      </c>
      <c r="CG52" s="621">
        <f>IF(LEFT(CF52,1)="1",2,0)</f>
        <v>2</v>
      </c>
      <c r="CH52" s="1449"/>
      <c r="CI52" s="625" t="s">
        <v>1430</v>
      </c>
      <c r="CJ52" s="621">
        <f>IF(LEFT(CI52)="1",2,0)</f>
        <v>2</v>
      </c>
      <c r="CK52" s="1437"/>
      <c r="CL52" s="167">
        <f>IF((CI52=CF52)=TRUE,0,1)</f>
        <v>0</v>
      </c>
      <c r="CM52" s="664"/>
      <c r="CN52" s="625" t="s">
        <v>1430</v>
      </c>
      <c r="CO52" s="621">
        <f>IF(LEFT(CN52,1)="1",2,0)</f>
        <v>2</v>
      </c>
      <c r="CP52" s="1449"/>
      <c r="CQ52" s="625" t="s">
        <v>1430</v>
      </c>
      <c r="CR52" s="618">
        <f>IF(LEFT(CQ52)="1",2,0)</f>
        <v>2</v>
      </c>
      <c r="CS52" s="1434"/>
      <c r="CT52" s="665">
        <f>IF((CQ52=CN52)=TRUE,0,1)</f>
        <v>0</v>
      </c>
      <c r="CX52" s="602">
        <v>1</v>
      </c>
      <c r="CY52" s="602">
        <f t="shared" si="46"/>
        <v>2</v>
      </c>
      <c r="CZ52" s="605">
        <v>1</v>
      </c>
      <c r="DA52" s="602">
        <f t="shared" si="45"/>
        <v>2</v>
      </c>
      <c r="DB52" s="602">
        <v>1</v>
      </c>
      <c r="DC52" s="602">
        <f>M52</f>
        <v>2</v>
      </c>
      <c r="DD52" s="603"/>
      <c r="DE52" s="603"/>
      <c r="DF52" s="603"/>
      <c r="DG52" s="603"/>
      <c r="DH52" s="603"/>
      <c r="DI52" s="603"/>
      <c r="DJ52" s="603"/>
      <c r="DK52" s="603"/>
      <c r="DL52" s="603"/>
      <c r="DM52" s="603"/>
    </row>
    <row r="53" spans="1:118" ht="16.5" customHeight="1">
      <c r="A53" s="1902" t="s">
        <v>2459</v>
      </c>
      <c r="B53" s="1902" t="s">
        <v>1816</v>
      </c>
      <c r="C53" s="284">
        <v>30</v>
      </c>
      <c r="D53" s="79" t="s">
        <v>181</v>
      </c>
      <c r="E53" s="480" t="s">
        <v>256</v>
      </c>
      <c r="F53" s="275"/>
      <c r="G53" s="260" t="s">
        <v>1817</v>
      </c>
      <c r="H53" s="1902" t="s">
        <v>1785</v>
      </c>
      <c r="I53" s="1925">
        <v>10</v>
      </c>
      <c r="J53" s="588">
        <f>AVERAGE(CN53,CF53,BX53,BP53,BH53,AZ53,AR53,AJ53,AB53,T53)</f>
        <v>0</v>
      </c>
      <c r="K53" s="1941">
        <v>0</v>
      </c>
      <c r="L53" s="588">
        <f>AVERAGE(CQ53,CI53,CA53,BS53,BK53,BC53,AU53,AM53,AE53,W53)</f>
        <v>0</v>
      </c>
      <c r="M53" s="1941">
        <v>0</v>
      </c>
      <c r="N53" s="1907">
        <f t="shared" si="13"/>
        <v>0</v>
      </c>
      <c r="O53" s="1949">
        <f>I53-M53</f>
        <v>10</v>
      </c>
      <c r="P53" s="1941">
        <f t="shared" si="14"/>
        <v>4</v>
      </c>
      <c r="Q53" s="1946">
        <f t="shared" si="15"/>
        <v>0.44444444444444442</v>
      </c>
      <c r="R53" s="1823">
        <f t="shared" si="16"/>
        <v>0.22222222222222221</v>
      </c>
      <c r="S53" s="664"/>
      <c r="T53" s="127">
        <v>0</v>
      </c>
      <c r="U53" s="1920">
        <f>IF(T20+T21+T35+T36+T38+T39+T46+T47+T48=0,10,"行业水平得分")</f>
        <v>10</v>
      </c>
      <c r="V53" s="1447"/>
      <c r="W53" s="127">
        <v>0</v>
      </c>
      <c r="X53" s="1920">
        <f>IF(W20+W21+W35+W36+W38+W39+W46+W47+W48=0,10,"行业水平得分")</f>
        <v>10</v>
      </c>
      <c r="Y53" s="1435"/>
      <c r="Z53" s="167">
        <f>IF(AND(T53=0,W53&lt;&gt;0),1,IF(AND(T53=0,W53=0),0,W53/T53-1))</f>
        <v>0</v>
      </c>
      <c r="AA53" s="664"/>
      <c r="AB53" s="127">
        <v>0</v>
      </c>
      <c r="AC53" s="1921" t="str">
        <f>IF(AB20+AB21+AB35+AB36+AB38+AB39+AB46+AB47+AB48=0,10,"行业水平得分")</f>
        <v>行业水平得分</v>
      </c>
      <c r="AD53" s="1448"/>
      <c r="AE53" s="127">
        <v>0</v>
      </c>
      <c r="AF53" s="1921" t="str">
        <f>IF(AE20+AE21+AE35+AE36+AE38+AE39+AE46+AE47+AE48=0,10,"行业水平得分")</f>
        <v>行业水平得分</v>
      </c>
      <c r="AG53" s="1436"/>
      <c r="AH53" s="167">
        <f>IF(AND(AB53=0,AE53&lt;&gt;0),1,IF(AND(AB53=0,AE53=0),0,AE53/AB53-1))</f>
        <v>0</v>
      </c>
      <c r="AI53" s="664"/>
      <c r="AJ53" s="127">
        <v>0</v>
      </c>
      <c r="AK53" s="1920">
        <f>IF(AJ20+AJ21+AJ35+AJ36+AJ38+AJ39+AJ46+AJ47+AJ48=0,10,"行业水平得分")</f>
        <v>10</v>
      </c>
      <c r="AL53" s="1447"/>
      <c r="AM53" s="127">
        <v>0</v>
      </c>
      <c r="AN53" s="1920">
        <f>IF(AM20+AM21+AM35+AM36+AM38+AM39+AM46+AM47+AM48=0,10,"行业水平得分")</f>
        <v>10</v>
      </c>
      <c r="AO53" s="1435"/>
      <c r="AP53" s="167">
        <f>IF(AND(AJ53=0,AM53&lt;&gt;0),1,IF(AND(AJ53=0,AM53=0),0,AM53/AJ53-1))</f>
        <v>0</v>
      </c>
      <c r="AQ53" s="664"/>
      <c r="AR53" s="127">
        <v>0</v>
      </c>
      <c r="AS53" s="1920">
        <f>IF(AR20+AR21+AR35+AR36+AR38+AR39+AR46+AR47+AR48=0,10,"行业水平得分")</f>
        <v>10</v>
      </c>
      <c r="AT53" s="1447"/>
      <c r="AU53" s="127">
        <v>0</v>
      </c>
      <c r="AV53" s="1920" t="str">
        <f>IF(AU20+AU21+AU35+AU36+AU38+AU39+AU46+AU47+AU48=0,10,"行业水平得分")</f>
        <v>行业水平得分</v>
      </c>
      <c r="AW53" s="1435"/>
      <c r="AX53" s="167">
        <f>IF(AND(AR53=0,AU53&lt;&gt;0),1,IF(AND(AR53=0,AU53=0),0,AU53/AR53-1))</f>
        <v>0</v>
      </c>
      <c r="AY53" s="664"/>
      <c r="AZ53" s="127">
        <v>0</v>
      </c>
      <c r="BA53" s="1920">
        <f>IF(AZ20+AZ21+AZ35+AZ36+AZ38+AZ39+AZ46+AZ47+AZ48=0,10,"行业水平得分")</f>
        <v>10</v>
      </c>
      <c r="BB53" s="1447"/>
      <c r="BC53" s="127">
        <v>0</v>
      </c>
      <c r="BD53" s="1920">
        <f>IF(BC20+BC21+BC35+BC36+BC38+BC39+BC46+BC47+BC48=0,10,"行业水平得分")</f>
        <v>10</v>
      </c>
      <c r="BE53" s="1435"/>
      <c r="BF53" s="167">
        <f>IF(AND(AZ53=0,BC53&lt;&gt;0),1,IF(AND(AZ53=0,BC53=0),0,BC53/AZ53-1))</f>
        <v>0</v>
      </c>
      <c r="BG53" s="664"/>
      <c r="BH53" s="127">
        <v>0</v>
      </c>
      <c r="BI53" s="1921" t="str">
        <f>IF(BH20+BH21+BH35+BH36+BH38+BH39+BH46+BH47+BH48=0,10,"行业水平得分")</f>
        <v>行业水平得分</v>
      </c>
      <c r="BJ53" s="1448"/>
      <c r="BK53" s="127">
        <v>0</v>
      </c>
      <c r="BL53" s="1921" t="str">
        <f>IF(BK20+BK21+BK35+BK36+BK38+BK39+BK46+BK47+BK48=0,10,"行业水平得分")</f>
        <v>行业水平得分</v>
      </c>
      <c r="BM53" s="1436"/>
      <c r="BN53" s="167">
        <f>IF(AND(BH53=0,BK53&lt;&gt;0),1,IF(AND(BH53=0,BK53=0),0,BK53/BH53-1))</f>
        <v>0</v>
      </c>
      <c r="BO53" s="664"/>
      <c r="BP53" s="127">
        <v>0</v>
      </c>
      <c r="BQ53" s="1920">
        <f>IF(BP20+BP21+BP35+BP36+BP38+BP39+BP46+BP47+BP48=0,10,"行业水平得分")</f>
        <v>10</v>
      </c>
      <c r="BR53" s="1447"/>
      <c r="BS53" s="127">
        <v>0</v>
      </c>
      <c r="BT53" s="1920">
        <f>IF(BS20+BS21+BS35+BS36+BS38+BS39+BS46+BS47+BS48=0,10,"行业水平得分")</f>
        <v>10</v>
      </c>
      <c r="BU53" s="1435"/>
      <c r="BV53" s="167">
        <f>IF(AND(BP53=0,BS53&lt;&gt;0),1,IF(AND(BP53=0,BS53=0),0,BS53/BP53-1))</f>
        <v>0</v>
      </c>
      <c r="BW53" s="664"/>
      <c r="BX53" s="127">
        <v>0</v>
      </c>
      <c r="BY53" s="1921" t="str">
        <f>IF(BX20+BX21+BX35+BX36+BX38+BX39+BX46+BX47+BX48=0,10,"行业水平得分")</f>
        <v>行业水平得分</v>
      </c>
      <c r="BZ53" s="1448"/>
      <c r="CA53" s="127">
        <v>0</v>
      </c>
      <c r="CB53" s="1921">
        <f>IF(CA20+CA21+CA35+CA36+CA38+CA39+CA46+CA47+CA48=0,10,"行业水平得分")</f>
        <v>10</v>
      </c>
      <c r="CC53" s="1436"/>
      <c r="CD53" s="167">
        <f>IF(AND(BX53=0,CA53&lt;&gt;0),1,IF(AND(BX53=0,CA53=0),0,CA53/BX53-1))</f>
        <v>0</v>
      </c>
      <c r="CE53" s="664"/>
      <c r="CF53" s="127">
        <v>0</v>
      </c>
      <c r="CG53" s="1921" t="str">
        <f>IF(CF20+CF21+CF35+CF36+CF38+CF39+CF46+CF47+CF48=0,10,"行业水平得分")</f>
        <v>行业水平得分</v>
      </c>
      <c r="CH53" s="1448"/>
      <c r="CI53" s="127">
        <v>0</v>
      </c>
      <c r="CJ53" s="1921">
        <f>IF(CI20+CI21+CI35+CI36+CI38+CI39+CI46+CI47+CI48=0,10,"行业水平得分")</f>
        <v>10</v>
      </c>
      <c r="CK53" s="1436"/>
      <c r="CL53" s="167">
        <f>IF(AND(CF53=0,CI53&lt;&gt;0),1,IF(AND(CF53=0,CI53=0),0,CI53/CF53-1))</f>
        <v>0</v>
      </c>
      <c r="CM53" s="664"/>
      <c r="CN53" s="127">
        <v>0</v>
      </c>
      <c r="CO53" s="1921" t="str">
        <f>IF(CN20+CN21+CN35+CN36+CN38+CN39+CN46+CN47+CN48=0,10,"行业水平得分")</f>
        <v>行业水平得分</v>
      </c>
      <c r="CP53" s="1448"/>
      <c r="CQ53" s="127">
        <v>0</v>
      </c>
      <c r="CR53" s="1921">
        <f>IF(CQ20+CQ21+CQ35+CQ36+CQ38+CQ39+CQ46+CQ47+CQ48=0,10,"行业水平得分")</f>
        <v>10</v>
      </c>
      <c r="CS53" s="1436"/>
      <c r="CT53" s="665">
        <f>IF(AND(CN53=0,CQ53&lt;&gt;0),1,IF(AND(CN53=0,CQ53=0),0,CQ53/CN53-1))</f>
        <v>0</v>
      </c>
      <c r="CX53" s="602">
        <v>1</v>
      </c>
      <c r="CY53" s="602">
        <v>10</v>
      </c>
      <c r="CZ53" s="602">
        <v>1</v>
      </c>
      <c r="DA53" s="602">
        <v>10</v>
      </c>
      <c r="DB53" s="602">
        <v>0</v>
      </c>
      <c r="DC53" s="602"/>
      <c r="DD53" s="602">
        <v>1</v>
      </c>
      <c r="DE53" s="602">
        <f>$M53</f>
        <v>0</v>
      </c>
      <c r="DF53" s="602">
        <v>1</v>
      </c>
      <c r="DG53" s="602">
        <v>10</v>
      </c>
      <c r="DH53" s="602">
        <v>1</v>
      </c>
      <c r="DI53" s="602">
        <v>9</v>
      </c>
      <c r="DJ53" s="602">
        <v>1</v>
      </c>
      <c r="DK53" s="602">
        <v>9</v>
      </c>
      <c r="DL53" s="602">
        <v>1</v>
      </c>
      <c r="DM53" s="602">
        <v>10</v>
      </c>
    </row>
    <row r="54" spans="1:118" ht="15.6" customHeight="1">
      <c r="A54" s="1923"/>
      <c r="B54" s="1923"/>
      <c r="C54" s="284">
        <v>31</v>
      </c>
      <c r="D54" s="79" t="s">
        <v>1295</v>
      </c>
      <c r="E54" s="480" t="s">
        <v>256</v>
      </c>
      <c r="F54" s="44"/>
      <c r="G54" s="1926" t="s">
        <v>477</v>
      </c>
      <c r="H54" s="1923"/>
      <c r="I54" s="1925"/>
      <c r="J54" s="588">
        <f>AVERAGE(CN54,CF54,BX54,BP54,BH54,AZ54,AR54,AJ54,AB54,T54)</f>
        <v>297716781.79399997</v>
      </c>
      <c r="K54" s="1944"/>
      <c r="L54" s="588">
        <f>AVERAGE(CQ54,CI54,CA54,BS54,BK54,BC54,AU54,AM54,AE54,W54)</f>
        <v>308979183.35900003</v>
      </c>
      <c r="M54" s="1944"/>
      <c r="N54" s="1908"/>
      <c r="O54" s="1950"/>
      <c r="P54" s="1944"/>
      <c r="Q54" s="1947"/>
      <c r="R54" s="1824"/>
      <c r="S54" s="664"/>
      <c r="T54" s="127">
        <v>150759849.93000001</v>
      </c>
      <c r="U54" s="1920"/>
      <c r="V54" s="1447"/>
      <c r="W54" s="127">
        <v>162608970.34999999</v>
      </c>
      <c r="X54" s="1920"/>
      <c r="Y54" s="1435"/>
      <c r="Z54" s="167">
        <f>IF(AND(T54=0,W54&lt;&gt;0),1,IF(AND(T54=0,W54=0),0,W54/T54-1))</f>
        <v>7.8595995057713974E-2</v>
      </c>
      <c r="AA54" s="664"/>
      <c r="AB54" s="127">
        <v>717814933.43999994</v>
      </c>
      <c r="AC54" s="1921"/>
      <c r="AD54" s="1448"/>
      <c r="AE54" s="127">
        <v>727358141.16999996</v>
      </c>
      <c r="AF54" s="1921"/>
      <c r="AG54" s="1436"/>
      <c r="AH54" s="167">
        <f>IF(AND(AB54=0,AE54&lt;&gt;0),1,IF(AND(AB54=0,AE54=0),0,AE54/AB54-1))</f>
        <v>1.3294802441996989E-2</v>
      </c>
      <c r="AI54" s="664"/>
      <c r="AJ54" s="127">
        <v>480317907.71999997</v>
      </c>
      <c r="AK54" s="1920"/>
      <c r="AL54" s="1447"/>
      <c r="AM54" s="127">
        <v>501849477.09000003</v>
      </c>
      <c r="AN54" s="1920"/>
      <c r="AO54" s="1435"/>
      <c r="AP54" s="167">
        <f>IF(AND(AJ54=0,AM54&lt;&gt;0),1,IF(AND(AJ54=0,AM54=0),0,AM54/AJ54-1))</f>
        <v>4.4827746423628634E-2</v>
      </c>
      <c r="AQ54" s="664"/>
      <c r="AR54" s="127">
        <v>167275700.56999999</v>
      </c>
      <c r="AS54" s="1920"/>
      <c r="AT54" s="1447"/>
      <c r="AU54" s="127">
        <v>174855437.49000001</v>
      </c>
      <c r="AV54" s="1920"/>
      <c r="AW54" s="1435"/>
      <c r="AX54" s="167">
        <f>IF(AND(AR54=0,AU54&lt;&gt;0),1,IF(AND(AR54=0,AU54=0),0,AU54/AR54-1))</f>
        <v>4.5312839188069054E-2</v>
      </c>
      <c r="AY54" s="664"/>
      <c r="AZ54" s="127">
        <v>410195478.64000005</v>
      </c>
      <c r="BA54" s="1920"/>
      <c r="BB54" s="1447"/>
      <c r="BC54" s="127">
        <v>426685488.34000003</v>
      </c>
      <c r="BD54" s="1920"/>
      <c r="BE54" s="1435"/>
      <c r="BF54" s="167">
        <f>IF(AND(AZ54=0,BC54&lt;&gt;0),1,IF(AND(AZ54=0,BC54=0),0,BC54/AZ54-1))</f>
        <v>4.0200369235352085E-2</v>
      </c>
      <c r="BG54" s="664"/>
      <c r="BH54" s="127">
        <v>439731394.57999992</v>
      </c>
      <c r="BI54" s="1921"/>
      <c r="BJ54" s="1448"/>
      <c r="BK54" s="127">
        <v>460576487.81</v>
      </c>
      <c r="BL54" s="1921"/>
      <c r="BM54" s="1436"/>
      <c r="BN54" s="167">
        <f>IF(AND(BH54=0,BK54&lt;&gt;0),1,IF(AND(BH54=0,BK54=0),0,BK54/BH54-1))</f>
        <v>4.7404150549473112E-2</v>
      </c>
      <c r="BO54" s="664"/>
      <c r="BP54" s="127">
        <v>89135757.319999993</v>
      </c>
      <c r="BQ54" s="1920"/>
      <c r="BR54" s="1447"/>
      <c r="BS54" s="127">
        <v>88076318.189999998</v>
      </c>
      <c r="BT54" s="1920"/>
      <c r="BU54" s="1435"/>
      <c r="BV54" s="167">
        <f>IF(AND(BP54=0,BS54&lt;&gt;0),1,IF(AND(BP54=0,BS54=0),0,BS54/BP54-1))</f>
        <v>-1.1885680470482551E-2</v>
      </c>
      <c r="BW54" s="664"/>
      <c r="BX54" s="127">
        <v>325747164.19999999</v>
      </c>
      <c r="BY54" s="1921"/>
      <c r="BZ54" s="1448"/>
      <c r="CA54" s="127">
        <v>344221917.25000006</v>
      </c>
      <c r="CB54" s="1921"/>
      <c r="CC54" s="1436"/>
      <c r="CD54" s="167">
        <f>IF(AND(BX54=0,CA54&lt;&gt;0),1,IF(AND(BX54=0,CA54=0),0,CA54/BX54-1))</f>
        <v>5.6715008081105189E-2</v>
      </c>
      <c r="CE54" s="664"/>
      <c r="CF54" s="127">
        <v>79523892.569999993</v>
      </c>
      <c r="CG54" s="1921"/>
      <c r="CH54" s="1448"/>
      <c r="CI54" s="127">
        <v>81146683.63000001</v>
      </c>
      <c r="CJ54" s="1921"/>
      <c r="CK54" s="1436"/>
      <c r="CL54" s="167">
        <f>IF(AND(CF54=0,CI54&lt;&gt;0),1,IF(AND(CF54=0,CI54=0),0,CI54/CF54-1))</f>
        <v>2.040633333650721E-2</v>
      </c>
      <c r="CM54" s="664"/>
      <c r="CN54" s="127">
        <v>116665738.97000001</v>
      </c>
      <c r="CO54" s="1921"/>
      <c r="CP54" s="1448"/>
      <c r="CQ54" s="127">
        <v>122412912.26999998</v>
      </c>
      <c r="CR54" s="1921"/>
      <c r="CS54" s="1436"/>
      <c r="CT54" s="665">
        <f>IF(AND(CN54=0,CQ54&lt;&gt;0),1,IF(AND(CN54=0,CQ54=0),0,CQ54/CN54-1))</f>
        <v>4.9261877143535804E-2</v>
      </c>
      <c r="CX54" s="602"/>
      <c r="CY54" s="602"/>
      <c r="CZ54" s="602"/>
      <c r="DA54" s="602"/>
      <c r="DB54" s="602"/>
      <c r="DC54" s="602"/>
      <c r="DD54" s="603"/>
      <c r="DE54" s="603"/>
      <c r="DF54" s="603"/>
      <c r="DG54" s="603"/>
      <c r="DH54" s="603"/>
      <c r="DI54" s="603"/>
      <c r="DJ54" s="603"/>
      <c r="DK54" s="603"/>
      <c r="DL54" s="603"/>
      <c r="DM54" s="603"/>
    </row>
    <row r="55" spans="1:118" ht="15.6" customHeight="1">
      <c r="A55" s="1923"/>
      <c r="B55" s="1923"/>
      <c r="C55" s="284">
        <v>32</v>
      </c>
      <c r="D55" s="79" t="s">
        <v>1298</v>
      </c>
      <c r="E55" s="480" t="s">
        <v>256</v>
      </c>
      <c r="F55" s="44"/>
      <c r="G55" s="1927"/>
      <c r="H55" s="1923"/>
      <c r="I55" s="1925"/>
      <c r="J55" s="588">
        <f>AVERAGE(CN55,CF55,BX55,BP55,BH55,AZ55,AR55,AJ55,AB55,T55)</f>
        <v>14550880.921</v>
      </c>
      <c r="K55" s="1944"/>
      <c r="L55" s="588">
        <f>AVERAGE(CQ55,CI55,CA55,BS55,BK55,BC55,AU55,AM55,AE55,W55)</f>
        <v>16658020.476</v>
      </c>
      <c r="M55" s="1944"/>
      <c r="N55" s="1908"/>
      <c r="O55" s="1950"/>
      <c r="P55" s="1944"/>
      <c r="Q55" s="1947"/>
      <c r="R55" s="1824"/>
      <c r="S55" s="664"/>
      <c r="T55" s="127">
        <v>5135200</v>
      </c>
      <c r="U55" s="1920"/>
      <c r="V55" s="1447"/>
      <c r="W55" s="127">
        <v>5077700</v>
      </c>
      <c r="X55" s="1920"/>
      <c r="Y55" s="1435"/>
      <c r="Z55" s="167">
        <f>IF(AND(T55=0,W55&lt;&gt;0),1,IF(AND(T55=0,W55=0),0,W55/T55-1))</f>
        <v>-1.1197226982396002E-2</v>
      </c>
      <c r="AA55" s="664"/>
      <c r="AB55" s="127">
        <v>30100846.810000002</v>
      </c>
      <c r="AC55" s="1921"/>
      <c r="AD55" s="1448"/>
      <c r="AE55" s="127">
        <v>33056085.510000002</v>
      </c>
      <c r="AF55" s="1921"/>
      <c r="AG55" s="1436"/>
      <c r="AH55" s="167">
        <f>IF(AND(AB55=0,AE55&lt;&gt;0),1,IF(AND(AB55=0,AE55=0),0,AE55/AB55-1))</f>
        <v>9.8177925646205422E-2</v>
      </c>
      <c r="AI55" s="664"/>
      <c r="AJ55" s="127">
        <v>32649400</v>
      </c>
      <c r="AK55" s="1920"/>
      <c r="AL55" s="1447"/>
      <c r="AM55" s="127">
        <v>31917500</v>
      </c>
      <c r="AN55" s="1920"/>
      <c r="AO55" s="1435"/>
      <c r="AP55" s="167">
        <f>IF(AND(AJ55=0,AM55&lt;&gt;0),1,IF(AND(AJ55=0,AM55=0),0,AM55/AJ55-1))</f>
        <v>-2.2416951000630903E-2</v>
      </c>
      <c r="AQ55" s="664"/>
      <c r="AR55" s="127">
        <v>20000</v>
      </c>
      <c r="AS55" s="1920"/>
      <c r="AT55" s="1447"/>
      <c r="AU55" s="127">
        <v>20000</v>
      </c>
      <c r="AV55" s="1920"/>
      <c r="AW55" s="1435"/>
      <c r="AX55" s="167">
        <f>IF(AND(AR55=0,AU55&lt;&gt;0),1,IF(AND(AR55=0,AU55=0),0,AU55/AR55-1))</f>
        <v>0</v>
      </c>
      <c r="AY55" s="664"/>
      <c r="AZ55" s="127">
        <v>45303469</v>
      </c>
      <c r="BA55" s="1920"/>
      <c r="BB55" s="1447"/>
      <c r="BC55" s="127">
        <v>66620469.450000003</v>
      </c>
      <c r="BD55" s="1920"/>
      <c r="BE55" s="1435"/>
      <c r="BF55" s="167">
        <f>IF(AND(AZ55=0,BC55&lt;&gt;0),1,IF(AND(AZ55=0,BC55=0),0,BC55/AZ55-1))</f>
        <v>0.47053792834275021</v>
      </c>
      <c r="BG55" s="664"/>
      <c r="BH55" s="127">
        <v>14569700</v>
      </c>
      <c r="BI55" s="1921"/>
      <c r="BJ55" s="1448"/>
      <c r="BK55" s="127">
        <v>14431200</v>
      </c>
      <c r="BL55" s="1921"/>
      <c r="BM55" s="1436"/>
      <c r="BN55" s="167">
        <f>IF(AND(BH55=0,BK55&lt;&gt;0),1,IF(AND(BH55=0,BK55=0),0,BK55/BH55-1))</f>
        <v>-9.5060296368491004E-3</v>
      </c>
      <c r="BO55" s="664"/>
      <c r="BP55" s="127">
        <v>8202430</v>
      </c>
      <c r="BQ55" s="1920"/>
      <c r="BR55" s="1447"/>
      <c r="BS55" s="127">
        <v>7793430</v>
      </c>
      <c r="BT55" s="1920"/>
      <c r="BU55" s="1435"/>
      <c r="BV55" s="167">
        <f>IF(AND(BP55=0,BS55&lt;&gt;0),1,IF(AND(BP55=0,BS55=0),0,BS55/BP55-1))</f>
        <v>-4.9863272225425859E-2</v>
      </c>
      <c r="BW55" s="664"/>
      <c r="BX55" s="127">
        <v>4586963.4000000004</v>
      </c>
      <c r="BY55" s="1921"/>
      <c r="BZ55" s="1448"/>
      <c r="CA55" s="127">
        <v>2582819.7999999998</v>
      </c>
      <c r="CB55" s="1921"/>
      <c r="CC55" s="1436"/>
      <c r="CD55" s="167">
        <f>IF(AND(BX55=0,CA55&lt;&gt;0),1,IF(AND(BX55=0,CA55=0),0,CA55/BX55-1))</f>
        <v>-0.43692164624640351</v>
      </c>
      <c r="CE55" s="664"/>
      <c r="CF55" s="127">
        <v>87900</v>
      </c>
      <c r="CG55" s="1921"/>
      <c r="CH55" s="1448"/>
      <c r="CI55" s="127">
        <v>87900</v>
      </c>
      <c r="CJ55" s="1921"/>
      <c r="CK55" s="1436"/>
      <c r="CL55" s="167">
        <f>IF(AND(CF55=0,CI55&lt;&gt;0),1,IF(AND(CF55=0,CI55=0),0,CI55/CF55-1))</f>
        <v>0</v>
      </c>
      <c r="CM55" s="664"/>
      <c r="CN55" s="127">
        <v>4852900</v>
      </c>
      <c r="CO55" s="1921"/>
      <c r="CP55" s="1448"/>
      <c r="CQ55" s="127">
        <v>4993100</v>
      </c>
      <c r="CR55" s="1921"/>
      <c r="CS55" s="1436"/>
      <c r="CT55" s="665">
        <f>IF(AND(CN55=0,CQ55&lt;&gt;0),1,IF(AND(CN55=0,CQ55=0),0,CQ55/CN55-1))</f>
        <v>2.8889942096478327E-2</v>
      </c>
      <c r="CX55" s="602"/>
      <c r="CY55" s="602"/>
      <c r="CZ55" s="602"/>
      <c r="DA55" s="602"/>
      <c r="DB55" s="602"/>
      <c r="DC55" s="602"/>
      <c r="DD55" s="603"/>
      <c r="DE55" s="603"/>
      <c r="DF55" s="603"/>
      <c r="DG55" s="603"/>
      <c r="DH55" s="603"/>
      <c r="DI55" s="603"/>
      <c r="DJ55" s="603"/>
      <c r="DK55" s="603"/>
      <c r="DL55" s="603"/>
      <c r="DM55" s="603"/>
    </row>
    <row r="56" spans="1:118" ht="16.5" customHeight="1" thickBot="1">
      <c r="A56" s="1924"/>
      <c r="B56" s="1903"/>
      <c r="C56" s="495">
        <v>33</v>
      </c>
      <c r="D56" s="1014" t="s">
        <v>1299</v>
      </c>
      <c r="E56" s="480" t="s">
        <v>256</v>
      </c>
      <c r="F56" s="44"/>
      <c r="G56" s="1928"/>
      <c r="H56" s="1903"/>
      <c r="I56" s="1925"/>
      <c r="J56" s="588">
        <f>AVERAGE(CN56,CF56,BX56,BP56,BH56,AZ56,AR56,AJ56,AB56,T56)</f>
        <v>266054.41000000003</v>
      </c>
      <c r="K56" s="1942"/>
      <c r="L56" s="588">
        <f>AVERAGE(CQ56,CI56,CA56,BS56,BK56,BC56,AU56,AM56,AE56,W56)</f>
        <v>306377.79000000004</v>
      </c>
      <c r="M56" s="1942"/>
      <c r="N56" s="1909"/>
      <c r="O56" s="1951"/>
      <c r="P56" s="1942"/>
      <c r="Q56" s="1948"/>
      <c r="R56" s="1825"/>
      <c r="S56" s="664"/>
      <c r="T56" s="127">
        <v>0</v>
      </c>
      <c r="U56" s="1920"/>
      <c r="V56" s="1447"/>
      <c r="W56" s="127">
        <v>0</v>
      </c>
      <c r="X56" s="1920"/>
      <c r="Y56" s="1435"/>
      <c r="Z56" s="167">
        <f>IF(AND(T56=0,W56&lt;&gt;0),1,IF(AND(T56=0,W56=0),0,W56/T56-1))</f>
        <v>0</v>
      </c>
      <c r="AA56" s="664"/>
      <c r="AB56" s="127">
        <v>277945.40000000002</v>
      </c>
      <c r="AC56" s="1921"/>
      <c r="AD56" s="1448"/>
      <c r="AE56" s="127">
        <v>317629.2</v>
      </c>
      <c r="AF56" s="1921"/>
      <c r="AG56" s="1436"/>
      <c r="AH56" s="167">
        <f>IF(AND(AB56=0,AE56&lt;&gt;0),1,IF(AND(AB56=0,AE56=0),0,AE56/AB56-1))</f>
        <v>0.1427755235380761</v>
      </c>
      <c r="AI56" s="664"/>
      <c r="AJ56" s="127">
        <v>770079.10000000009</v>
      </c>
      <c r="AK56" s="1920"/>
      <c r="AL56" s="1447"/>
      <c r="AM56" s="127">
        <v>974724.70000000007</v>
      </c>
      <c r="AN56" s="1920"/>
      <c r="AO56" s="1435"/>
      <c r="AP56" s="167">
        <f>IF(AND(AJ56=0,AM56&lt;&gt;0),1,IF(AND(AJ56=0,AM56=0),0,AM56/AJ56-1))</f>
        <v>0.26574620711041241</v>
      </c>
      <c r="AQ56" s="664"/>
      <c r="AR56" s="127">
        <v>12900</v>
      </c>
      <c r="AS56" s="1920"/>
      <c r="AT56" s="1447"/>
      <c r="AU56" s="127">
        <v>12900</v>
      </c>
      <c r="AV56" s="1920"/>
      <c r="AW56" s="1435"/>
      <c r="AX56" s="167">
        <f>IF(AND(AR56=0,AU56&lt;&gt;0),1,IF(AND(AR56=0,AU56=0),0,AU56/AR56-1))</f>
        <v>0</v>
      </c>
      <c r="AY56" s="664"/>
      <c r="AZ56" s="127">
        <v>939089.6</v>
      </c>
      <c r="BA56" s="1920"/>
      <c r="BB56" s="1447"/>
      <c r="BC56" s="127">
        <v>1000993.7</v>
      </c>
      <c r="BD56" s="1920"/>
      <c r="BE56" s="1435"/>
      <c r="BF56" s="167">
        <f>IF(AND(AZ56=0,BC56&lt;&gt;0),1,IF(AND(AZ56=0,BC56=0),0,BC56/AZ56-1))</f>
        <v>6.5919269045253914E-2</v>
      </c>
      <c r="BG56" s="664"/>
      <c r="BH56" s="127">
        <v>224088.5</v>
      </c>
      <c r="BI56" s="1921"/>
      <c r="BJ56" s="1448"/>
      <c r="BK56" s="127">
        <v>259475.60000000003</v>
      </c>
      <c r="BL56" s="1921"/>
      <c r="BM56" s="1436"/>
      <c r="BN56" s="167">
        <f>IF(AND(BH56=0,BK56&lt;&gt;0),1,IF(AND(BH56=0,BK56=0),0,BK56/BH56-1))</f>
        <v>0.15791573418537785</v>
      </c>
      <c r="BO56" s="664"/>
      <c r="BP56" s="127">
        <v>1006</v>
      </c>
      <c r="BQ56" s="1920"/>
      <c r="BR56" s="1447"/>
      <c r="BS56" s="127">
        <v>1006</v>
      </c>
      <c r="BT56" s="1920"/>
      <c r="BU56" s="1435"/>
      <c r="BV56" s="167">
        <f>IF(AND(BP56=0,BS56&lt;&gt;0),1,IF(AND(BP56=0,BS56=0),0,BS56/BP56-1))</f>
        <v>0</v>
      </c>
      <c r="BW56" s="664"/>
      <c r="BX56" s="127">
        <v>141159.5</v>
      </c>
      <c r="BY56" s="1921"/>
      <c r="BZ56" s="1448"/>
      <c r="CA56" s="127">
        <v>204178.8</v>
      </c>
      <c r="CB56" s="1921"/>
      <c r="CC56" s="1436"/>
      <c r="CD56" s="167">
        <f>IF(AND(BX56=0,CA56&lt;&gt;0),1,IF(AND(BX56=0,CA56=0),0,CA56/BX56-1))</f>
        <v>0.44644037418664695</v>
      </c>
      <c r="CE56" s="664"/>
      <c r="CF56" s="127">
        <v>292264</v>
      </c>
      <c r="CG56" s="1921"/>
      <c r="CH56" s="1448"/>
      <c r="CI56" s="127">
        <v>290857.90000000002</v>
      </c>
      <c r="CJ56" s="1921"/>
      <c r="CK56" s="1436"/>
      <c r="CL56" s="167">
        <f>IF(AND(CF56=0,CI56&lt;&gt;0),1,IF(AND(CF56=0,CI56=0),0,CI56/CF56-1))</f>
        <v>-4.811061232310454E-3</v>
      </c>
      <c r="CM56" s="664"/>
      <c r="CN56" s="127">
        <v>2012</v>
      </c>
      <c r="CO56" s="1921"/>
      <c r="CP56" s="1448"/>
      <c r="CQ56" s="127">
        <v>2012</v>
      </c>
      <c r="CR56" s="1921"/>
      <c r="CS56" s="1436"/>
      <c r="CT56" s="666">
        <f>IF(AND(CN56=0,CQ56&lt;&gt;0),1,IF(AND(CN56=0,CQ56=0),0,CQ56/CN56-1))</f>
        <v>0</v>
      </c>
      <c r="CX56" s="602"/>
      <c r="CY56" s="602"/>
      <c r="CZ56" s="602"/>
      <c r="DA56" s="602"/>
      <c r="DB56" s="602"/>
      <c r="DC56" s="602"/>
      <c r="DD56" s="603"/>
      <c r="DE56" s="603"/>
      <c r="DF56" s="603"/>
      <c r="DG56" s="603"/>
      <c r="DH56" s="603"/>
      <c r="DI56" s="603"/>
      <c r="DJ56" s="603"/>
      <c r="DK56" s="603"/>
      <c r="DL56" s="603"/>
      <c r="DM56" s="603"/>
    </row>
    <row r="57" spans="1:118" s="579" customFormat="1" ht="16.149999999999999" customHeight="1">
      <c r="A57" s="578"/>
      <c r="B57" s="578"/>
      <c r="C57" s="286"/>
      <c r="D57" s="554" t="s">
        <v>1786</v>
      </c>
      <c r="E57" s="702"/>
      <c r="F57" s="578"/>
      <c r="G57" s="703"/>
      <c r="H57" s="578"/>
      <c r="I57" s="543">
        <v>90</v>
      </c>
      <c r="J57" s="601"/>
      <c r="K57" s="577"/>
      <c r="L57" s="588"/>
      <c r="M57" s="881">
        <f>SUM(M4:M56)</f>
        <v>78.099999999999994</v>
      </c>
      <c r="N57" s="882">
        <f>SUM(N4:N56)</f>
        <v>-5.0000000000000488E-2</v>
      </c>
      <c r="O57" s="591">
        <f>SUM(O4:O56)</f>
        <v>11.9</v>
      </c>
      <c r="P57" s="961">
        <f>O57*0.4</f>
        <v>4.7600000000000007</v>
      </c>
      <c r="Q57" s="962">
        <f t="shared" si="15"/>
        <v>0.52888888888888896</v>
      </c>
      <c r="R57" s="963">
        <f t="shared" si="16"/>
        <v>0.26444444444444448</v>
      </c>
      <c r="S57" s="664"/>
      <c r="T57" s="577"/>
      <c r="U57" s="266">
        <f>SUM(U4:U56)</f>
        <v>85</v>
      </c>
      <c r="V57" s="266"/>
      <c r="W57" s="577"/>
      <c r="X57" s="266">
        <f>SUM(X4:X56)</f>
        <v>85</v>
      </c>
      <c r="Y57" s="266"/>
      <c r="Z57" s="266"/>
      <c r="AA57" s="664"/>
      <c r="AB57" s="577"/>
      <c r="AC57" s="266">
        <f>SUM(AC4:AC56)</f>
        <v>75.5</v>
      </c>
      <c r="AD57" s="266"/>
      <c r="AE57" s="577"/>
      <c r="AF57" s="266">
        <f>SUM(AF4:AF56)</f>
        <v>79.5</v>
      </c>
      <c r="AG57" s="266"/>
      <c r="AH57" s="266"/>
      <c r="AI57" s="664"/>
      <c r="AJ57" s="577"/>
      <c r="AK57" s="266">
        <f>SUM(AK4:AK56)</f>
        <v>88</v>
      </c>
      <c r="AL57" s="266"/>
      <c r="AM57" s="577"/>
      <c r="AN57" s="266">
        <f>SUM(AN4:AN56)</f>
        <v>88</v>
      </c>
      <c r="AO57" s="266"/>
      <c r="AP57" s="266"/>
      <c r="AQ57" s="664"/>
      <c r="AR57" s="577"/>
      <c r="AS57" s="266">
        <f>SUM(AS4:AS56)</f>
        <v>88</v>
      </c>
      <c r="AT57" s="266"/>
      <c r="AU57" s="577"/>
      <c r="AV57" s="266">
        <f>SUM(AV4:AV56)</f>
        <v>77</v>
      </c>
      <c r="AW57" s="266"/>
      <c r="AX57" s="266"/>
      <c r="AY57" s="664"/>
      <c r="AZ57" s="577"/>
      <c r="BA57" s="266">
        <f>SUM(BA4:BA56)</f>
        <v>89</v>
      </c>
      <c r="BB57" s="266"/>
      <c r="BC57" s="577"/>
      <c r="BD57" s="266">
        <f>SUM(BD4:BD56)</f>
        <v>89</v>
      </c>
      <c r="BE57" s="266"/>
      <c r="BF57" s="266"/>
      <c r="BG57" s="664"/>
      <c r="BH57" s="577"/>
      <c r="BI57" s="266">
        <f>SUM(BI4:BI56)</f>
        <v>79.5</v>
      </c>
      <c r="BJ57" s="266"/>
      <c r="BK57" s="577"/>
      <c r="BL57" s="266">
        <f>SUM(BL4:BL56)</f>
        <v>79.5</v>
      </c>
      <c r="BM57" s="266"/>
      <c r="BN57" s="266"/>
      <c r="BO57" s="664"/>
      <c r="BP57" s="577"/>
      <c r="BQ57" s="266">
        <f>SUM(BQ4:BQ56)</f>
        <v>88</v>
      </c>
      <c r="BR57" s="266"/>
      <c r="BS57" s="577"/>
      <c r="BT57" s="266">
        <f>SUM(BT4:BT56)</f>
        <v>88</v>
      </c>
      <c r="BU57" s="266"/>
      <c r="BV57" s="266"/>
      <c r="BW57" s="664"/>
      <c r="BX57" s="577"/>
      <c r="BY57" s="266">
        <f>SUM(BY4:BY56)</f>
        <v>79.5</v>
      </c>
      <c r="BZ57" s="266"/>
      <c r="CA57" s="577"/>
      <c r="CB57" s="266">
        <f>SUM(CB4:CB56)</f>
        <v>88</v>
      </c>
      <c r="CC57" s="266"/>
      <c r="CD57" s="266"/>
      <c r="CE57" s="664"/>
      <c r="CF57" s="577"/>
      <c r="CG57" s="266">
        <f>SUM(CG4:CG56)</f>
        <v>79.5</v>
      </c>
      <c r="CH57" s="266"/>
      <c r="CI57" s="577"/>
      <c r="CJ57" s="266">
        <f>SUM(CJ4:CJ56)</f>
        <v>90</v>
      </c>
      <c r="CK57" s="266"/>
      <c r="CL57" s="266"/>
      <c r="CM57" s="664"/>
      <c r="CN57" s="577"/>
      <c r="CO57" s="266">
        <f>SUM(CO4:CO56)</f>
        <v>79.5</v>
      </c>
      <c r="CP57" s="266"/>
      <c r="CQ57" s="577"/>
      <c r="CR57" s="266">
        <f>SUM(CR4:CR56)</f>
        <v>87</v>
      </c>
      <c r="CS57" s="266"/>
      <c r="CT57" s="266"/>
      <c r="CX57" s="606"/>
      <c r="CY57" s="606"/>
      <c r="CZ57" s="606"/>
      <c r="DA57" s="606"/>
      <c r="DB57" s="606"/>
      <c r="DC57" s="606"/>
      <c r="DD57" s="607"/>
      <c r="DE57" s="607"/>
      <c r="DF57" s="607"/>
      <c r="DG57" s="607"/>
      <c r="DH57" s="607"/>
      <c r="DI57" s="607"/>
      <c r="DJ57" s="607"/>
      <c r="DK57" s="607"/>
      <c r="DL57" s="607"/>
      <c r="DM57" s="607"/>
    </row>
    <row r="58" spans="1:118" s="579" customFormat="1" ht="14.25">
      <c r="A58" s="581"/>
      <c r="B58" s="581"/>
      <c r="C58" s="288"/>
      <c r="D58" s="554" t="s">
        <v>1787</v>
      </c>
      <c r="E58" s="581"/>
      <c r="F58" s="581"/>
      <c r="G58" s="597"/>
      <c r="H58" s="581"/>
      <c r="I58" s="543">
        <v>80</v>
      </c>
      <c r="J58" s="289"/>
      <c r="K58" s="289"/>
      <c r="L58" s="289"/>
      <c r="M58" s="592">
        <f>M4+M5+M9+M12+M15+M16+M17+M20+M22+M23+M28+M32+M35+M37+M38+M40+M43+M46+M48+M49+M50+M52</f>
        <v>78.099999999999994</v>
      </c>
      <c r="N58" s="289"/>
      <c r="O58" s="591">
        <f>SUM(O4:O52)</f>
        <v>1.9000000000000004</v>
      </c>
      <c r="P58" s="961">
        <f t="shared" ref="P58:R64" si="48">O58*0.4</f>
        <v>0.76000000000000023</v>
      </c>
      <c r="Q58" s="962">
        <f t="shared" si="15"/>
        <v>8.4444444444444475E-2</v>
      </c>
      <c r="R58" s="963">
        <f t="shared" si="16"/>
        <v>4.2222222222222237E-2</v>
      </c>
      <c r="S58" s="1043" t="s">
        <v>1788</v>
      </c>
      <c r="T58" s="581"/>
      <c r="U58" s="597"/>
      <c r="V58" s="597"/>
      <c r="W58" s="581"/>
      <c r="X58" s="597"/>
      <c r="Y58" s="597"/>
      <c r="Z58" s="597"/>
      <c r="AA58" s="597"/>
      <c r="AB58" s="581"/>
      <c r="AC58" s="597"/>
      <c r="AD58" s="597"/>
      <c r="AE58" s="581"/>
      <c r="AF58" s="597"/>
      <c r="AG58" s="597"/>
      <c r="AH58" s="597"/>
      <c r="AI58" s="597"/>
      <c r="AJ58" s="581"/>
      <c r="AK58" s="597"/>
      <c r="AL58" s="597"/>
      <c r="AM58" s="581"/>
      <c r="AN58" s="597"/>
      <c r="AO58" s="597"/>
      <c r="AP58" s="597"/>
      <c r="AQ58" s="597"/>
      <c r="AR58" s="581"/>
      <c r="AS58" s="597"/>
      <c r="AT58" s="597"/>
      <c r="AU58" s="581"/>
      <c r="AV58" s="597"/>
      <c r="AW58" s="597"/>
      <c r="AX58" s="597"/>
      <c r="AY58" s="597"/>
      <c r="AZ58" s="581"/>
      <c r="BA58" s="597"/>
      <c r="BB58" s="597"/>
      <c r="BC58" s="581"/>
      <c r="BD58" s="597"/>
      <c r="BE58" s="597"/>
      <c r="BF58" s="597"/>
      <c r="BG58" s="597"/>
      <c r="BH58" s="581"/>
      <c r="BI58" s="597"/>
      <c r="BJ58" s="597"/>
      <c r="BK58" s="581"/>
      <c r="BL58" s="597"/>
      <c r="BM58" s="597"/>
      <c r="BN58" s="597"/>
      <c r="BO58" s="597"/>
      <c r="BP58" s="581"/>
      <c r="BQ58" s="597"/>
      <c r="BR58" s="597"/>
      <c r="BS58" s="581"/>
      <c r="BT58" s="597"/>
      <c r="BU58" s="597"/>
      <c r="BV58" s="597"/>
      <c r="BW58" s="597"/>
      <c r="BX58" s="581"/>
      <c r="BY58" s="597"/>
      <c r="BZ58" s="597"/>
      <c r="CA58" s="581"/>
      <c r="CB58" s="597"/>
      <c r="CC58" s="597"/>
      <c r="CD58" s="597"/>
      <c r="CE58" s="597"/>
      <c r="CF58" s="581"/>
      <c r="CG58" s="597"/>
      <c r="CH58" s="597"/>
      <c r="CI58" s="581"/>
      <c r="CJ58" s="597"/>
      <c r="CK58" s="597"/>
      <c r="CL58" s="597"/>
      <c r="CM58" s="597"/>
      <c r="CN58" s="581"/>
      <c r="CO58" s="597"/>
      <c r="CP58" s="597"/>
      <c r="CQ58" s="581"/>
      <c r="CR58" s="597"/>
      <c r="CS58" s="597"/>
      <c r="CT58" s="597"/>
      <c r="CW58" s="579" t="s">
        <v>1818</v>
      </c>
      <c r="CX58" s="606"/>
      <c r="CY58" s="606">
        <f>SUMPRODUCT(CY4:CY53,CX4:CX53)</f>
        <v>50.65</v>
      </c>
      <c r="CZ58" s="606"/>
      <c r="DA58" s="606">
        <f>SUMPRODUCT(DA4:DA53,CZ4:CZ53)</f>
        <v>64.900000000000006</v>
      </c>
      <c r="DB58" s="606"/>
      <c r="DC58" s="606">
        <f>SUMPRODUCT(DC4:DC53,DB4:DB53)</f>
        <v>5</v>
      </c>
      <c r="DD58" s="607"/>
      <c r="DE58" s="606">
        <f>SUMPRODUCT(DE4:DE53,DD4:DD53)</f>
        <v>18.95</v>
      </c>
      <c r="DF58" s="607"/>
      <c r="DG58" s="606">
        <f>SUMPRODUCT(DG4:DG53,DF4:DF53)</f>
        <v>35.1</v>
      </c>
      <c r="DH58" s="607"/>
      <c r="DI58" s="606">
        <f>SUMPRODUCT(DI4:DI53,DH4:DH53)</f>
        <v>31.9</v>
      </c>
      <c r="DJ58" s="607"/>
      <c r="DK58" s="606">
        <f>SUMPRODUCT(DK4:DK53,DJ4:DJ53)</f>
        <v>28</v>
      </c>
      <c r="DL58" s="607"/>
      <c r="DM58" s="606">
        <f>SUMPRODUCT(DM4:DM53,DL4:DL53)</f>
        <v>29</v>
      </c>
      <c r="DN58" s="580"/>
    </row>
    <row r="59" spans="1:118" s="582" customFormat="1" ht="16.5" customHeight="1">
      <c r="A59" s="366"/>
      <c r="B59" s="366"/>
      <c r="C59" s="365"/>
      <c r="D59" s="554" t="s">
        <v>1789</v>
      </c>
      <c r="E59" s="366"/>
      <c r="F59" s="366"/>
      <c r="G59" s="367"/>
      <c r="H59" s="366"/>
      <c r="I59" s="543">
        <v>10</v>
      </c>
      <c r="J59" s="587"/>
      <c r="K59" s="368"/>
      <c r="L59" s="368"/>
      <c r="M59" s="766">
        <f>M53</f>
        <v>0</v>
      </c>
      <c r="N59" s="368"/>
      <c r="O59" s="591"/>
      <c r="P59" s="961"/>
      <c r="Q59" s="962"/>
      <c r="R59" s="1042"/>
      <c r="S59" s="1044"/>
      <c r="T59" s="598"/>
      <c r="U59" s="598"/>
      <c r="V59" s="598"/>
      <c r="W59" s="599"/>
      <c r="X59" s="600"/>
      <c r="Y59" s="600"/>
      <c r="Z59" s="598"/>
      <c r="AA59" s="598"/>
      <c r="AB59" s="598"/>
      <c r="AC59" s="598"/>
      <c r="AD59" s="598"/>
      <c r="AE59" s="599"/>
      <c r="AF59" s="600"/>
      <c r="AG59" s="600"/>
      <c r="AH59" s="598"/>
      <c r="AI59" s="598"/>
      <c r="AJ59" s="598"/>
      <c r="AK59" s="598"/>
      <c r="AL59" s="598"/>
      <c r="AM59" s="599"/>
      <c r="AN59" s="600"/>
      <c r="AO59" s="600"/>
      <c r="AP59" s="598"/>
      <c r="AQ59" s="598"/>
      <c r="AR59" s="598"/>
      <c r="AS59" s="598"/>
      <c r="AT59" s="598"/>
      <c r="AU59" s="599"/>
      <c r="AV59" s="600"/>
      <c r="AW59" s="600"/>
      <c r="AX59" s="598"/>
      <c r="AY59" s="598"/>
      <c r="AZ59" s="598"/>
      <c r="BA59" s="598"/>
      <c r="BB59" s="598"/>
      <c r="BC59" s="599"/>
      <c r="BD59" s="600"/>
      <c r="BE59" s="600"/>
      <c r="BF59" s="598"/>
      <c r="BG59" s="598"/>
      <c r="BH59" s="598"/>
      <c r="BI59" s="598"/>
      <c r="BJ59" s="598"/>
      <c r="BK59" s="599"/>
      <c r="BL59" s="600"/>
      <c r="BM59" s="600"/>
      <c r="BN59" s="598"/>
      <c r="BO59" s="598"/>
      <c r="BP59" s="598"/>
      <c r="BQ59" s="598"/>
      <c r="BR59" s="598"/>
      <c r="BS59" s="599"/>
      <c r="BT59" s="600"/>
      <c r="BU59" s="600"/>
      <c r="BV59" s="598"/>
      <c r="BW59" s="598"/>
      <c r="BX59" s="598"/>
      <c r="BY59" s="598"/>
      <c r="BZ59" s="598"/>
      <c r="CA59" s="599"/>
      <c r="CB59" s="600"/>
      <c r="CC59" s="600"/>
      <c r="CD59" s="598"/>
      <c r="CE59" s="598"/>
      <c r="CF59" s="598"/>
      <c r="CG59" s="598"/>
      <c r="CH59" s="598"/>
      <c r="CI59" s="599"/>
      <c r="CJ59" s="600"/>
      <c r="CK59" s="600"/>
      <c r="CL59" s="598"/>
      <c r="CM59" s="598"/>
      <c r="CN59" s="598"/>
      <c r="CO59" s="598"/>
      <c r="CP59" s="598"/>
      <c r="CQ59" s="599"/>
      <c r="CR59" s="598"/>
      <c r="CS59" s="598"/>
      <c r="CT59" s="598"/>
      <c r="CW59" s="579" t="s">
        <v>1819</v>
      </c>
      <c r="CX59" s="606"/>
      <c r="CY59" s="606">
        <f>SUMPRODUCT($I$4:$I$53,CX4:CX53)</f>
        <v>51.5</v>
      </c>
      <c r="CZ59" s="606"/>
      <c r="DA59" s="606">
        <f>SUMPRODUCT($I$4:$I$53,CZ4:CZ53)</f>
        <v>66</v>
      </c>
      <c r="DB59" s="606"/>
      <c r="DC59" s="606">
        <f>SUMPRODUCT($I$4:$I$53,DB4:DB53)</f>
        <v>5</v>
      </c>
      <c r="DD59" s="606"/>
      <c r="DE59" s="606">
        <f>SUMPRODUCT($I$4:$I$53,DD4:DD53)</f>
        <v>29</v>
      </c>
      <c r="DF59" s="606"/>
      <c r="DG59" s="606">
        <f>SUMPRODUCT($I$4:$I$53,DF4:DF53)</f>
        <v>36</v>
      </c>
      <c r="DH59" s="606"/>
      <c r="DI59" s="606">
        <f>SUMPRODUCT($I$4:$I$53,DH4:DH53)</f>
        <v>33</v>
      </c>
      <c r="DJ59" s="608"/>
      <c r="DK59" s="606">
        <f>SUMPRODUCT($I$4:$I$53,DJ4:DJ53)</f>
        <v>29</v>
      </c>
      <c r="DL59" s="608"/>
      <c r="DM59" s="606">
        <f>SUMPRODUCT($I$4:$I$53,DL4:DL53)</f>
        <v>29</v>
      </c>
      <c r="DN59" s="580"/>
    </row>
    <row r="60" spans="1:118" s="53" customFormat="1" ht="16.5" customHeight="1">
      <c r="A60" s="271"/>
      <c r="B60" s="271"/>
      <c r="C60" s="278"/>
      <c r="D60" s="555" t="s">
        <v>1820</v>
      </c>
      <c r="E60" s="271"/>
      <c r="F60" s="270"/>
      <c r="H60" s="270"/>
      <c r="I60" s="26"/>
      <c r="J60" s="83"/>
      <c r="K60" s="26"/>
      <c r="L60" s="26"/>
      <c r="M60" s="26"/>
      <c r="N60" s="26"/>
      <c r="O60" s="596">
        <f t="shared" ref="O60:O65" si="49">AVERAGE(X60,AF60,AN60,AV60,BD60,BL60,BT60,CB60,CJ60,CR60)</f>
        <v>85.1</v>
      </c>
      <c r="P60" s="797"/>
      <c r="Q60" s="964"/>
      <c r="R60" s="965"/>
      <c r="S60" s="26"/>
      <c r="T60" s="567"/>
      <c r="U60" s="593">
        <f>SUBTOTAL(9,U4:U56)</f>
        <v>85</v>
      </c>
      <c r="V60" s="593"/>
      <c r="W60" s="567"/>
      <c r="X60" s="593">
        <f>SUBTOTAL(9,X4:X56)</f>
        <v>85</v>
      </c>
      <c r="Y60" s="593"/>
      <c r="Z60" s="567"/>
      <c r="AA60" s="567"/>
      <c r="AB60" s="567"/>
      <c r="AC60" s="593">
        <f>SUBTOTAL(9,AC4:AC56)</f>
        <v>75.5</v>
      </c>
      <c r="AD60" s="593"/>
      <c r="AE60" s="567"/>
      <c r="AF60" s="594">
        <f>SUBTOTAL(9,AF4:AF56)</f>
        <v>79.5</v>
      </c>
      <c r="AG60" s="594"/>
      <c r="AH60" s="567"/>
      <c r="AI60" s="567"/>
      <c r="AJ60" s="567"/>
      <c r="AK60" s="593">
        <f>SUBTOTAL(9,AK4:AK56)</f>
        <v>88</v>
      </c>
      <c r="AL60" s="593"/>
      <c r="AM60" s="567"/>
      <c r="AN60" s="593">
        <f>SUBTOTAL(9,AN4:AN56)</f>
        <v>88</v>
      </c>
      <c r="AO60" s="593"/>
      <c r="AP60" s="567"/>
      <c r="AQ60" s="567"/>
      <c r="AR60" s="567"/>
      <c r="AS60" s="593">
        <f>SUBTOTAL(9,AS4:AS56)</f>
        <v>88</v>
      </c>
      <c r="AT60" s="593"/>
      <c r="AU60" s="567"/>
      <c r="AV60" s="594">
        <f>SUBTOTAL(9,AV4:AV56)</f>
        <v>77</v>
      </c>
      <c r="AW60" s="594"/>
      <c r="AX60" s="567"/>
      <c r="AY60" s="567"/>
      <c r="AZ60" s="567"/>
      <c r="BA60" s="593">
        <f>SUBTOTAL(9,BA4:BA56)</f>
        <v>89</v>
      </c>
      <c r="BB60" s="593"/>
      <c r="BC60" s="567"/>
      <c r="BD60" s="593">
        <f>SUBTOTAL(9,BD4:BD56)</f>
        <v>89</v>
      </c>
      <c r="BE60" s="593"/>
      <c r="BF60" s="567"/>
      <c r="BG60" s="567"/>
      <c r="BH60" s="567"/>
      <c r="BI60" s="593">
        <f>SUBTOTAL(9,BI4:BI56)</f>
        <v>79.5</v>
      </c>
      <c r="BJ60" s="593"/>
      <c r="BK60" s="567"/>
      <c r="BL60" s="594">
        <f>SUBTOTAL(9,BL4:BL56)</f>
        <v>79.5</v>
      </c>
      <c r="BM60" s="594"/>
      <c r="BN60" s="567"/>
      <c r="BO60" s="567"/>
      <c r="BP60" s="567"/>
      <c r="BQ60" s="593">
        <f>SUBTOTAL(9,BQ4:BQ56)</f>
        <v>88</v>
      </c>
      <c r="BR60" s="593"/>
      <c r="BS60" s="567"/>
      <c r="BT60" s="593">
        <f>SUBTOTAL(9,BT4:BT56)</f>
        <v>88</v>
      </c>
      <c r="BU60" s="593"/>
      <c r="BV60" s="567"/>
      <c r="BW60" s="567"/>
      <c r="BX60" s="567"/>
      <c r="BY60" s="593">
        <f>SUBTOTAL(9,BY4:BY56)</f>
        <v>79.5</v>
      </c>
      <c r="BZ60" s="593"/>
      <c r="CA60" s="567"/>
      <c r="CB60" s="594">
        <f>SUBTOTAL(9,CB4:CB56)</f>
        <v>88</v>
      </c>
      <c r="CC60" s="594"/>
      <c r="CD60" s="567"/>
      <c r="CE60" s="567"/>
      <c r="CF60" s="567"/>
      <c r="CG60" s="593">
        <f>SUBTOTAL(9,CG4:CG56)</f>
        <v>79.5</v>
      </c>
      <c r="CH60" s="593"/>
      <c r="CI60" s="567"/>
      <c r="CJ60" s="593">
        <f>SUBTOTAL(9,CJ4:CJ56)</f>
        <v>90</v>
      </c>
      <c r="CK60" s="593"/>
      <c r="CL60" s="567"/>
      <c r="CM60" s="567"/>
      <c r="CN60" s="567"/>
      <c r="CO60" s="593">
        <f>SUBTOTAL(9,CO4:CO56)</f>
        <v>79.5</v>
      </c>
      <c r="CP60" s="593"/>
      <c r="CQ60" s="567"/>
      <c r="CR60" s="594">
        <f>SUBTOTAL(9,CR4:CR56)</f>
        <v>87</v>
      </c>
      <c r="CS60" s="594"/>
      <c r="CT60" s="567"/>
      <c r="CX60" s="422"/>
      <c r="CY60" s="422"/>
      <c r="CZ60" s="422"/>
      <c r="DA60" s="422"/>
      <c r="DB60" s="422"/>
      <c r="DC60" s="422"/>
      <c r="DD60" s="573"/>
      <c r="DE60" s="573"/>
      <c r="DF60" s="573"/>
      <c r="DG60" s="573"/>
      <c r="DH60" s="573"/>
      <c r="DI60" s="573"/>
      <c r="DJ60" s="573"/>
      <c r="DK60" s="573"/>
      <c r="DL60" s="573"/>
      <c r="DM60" s="573"/>
    </row>
    <row r="61" spans="1:118" s="53" customFormat="1" ht="16.5" customHeight="1">
      <c r="A61" s="26"/>
      <c r="B61" s="26"/>
      <c r="C61" s="278"/>
      <c r="D61" s="595" t="s">
        <v>1814</v>
      </c>
      <c r="E61" s="26"/>
      <c r="F61" s="7"/>
      <c r="H61" s="7"/>
      <c r="I61" s="26"/>
      <c r="J61" s="83"/>
      <c r="K61" s="26"/>
      <c r="L61" s="26"/>
      <c r="M61" s="26"/>
      <c r="N61" s="26"/>
      <c r="O61" s="596">
        <f t="shared" si="49"/>
        <v>78.099999999999994</v>
      </c>
      <c r="P61" s="797"/>
      <c r="Q61" s="964"/>
      <c r="R61" s="965"/>
      <c r="S61" s="26"/>
      <c r="T61" s="567"/>
      <c r="U61" s="584">
        <f>U60-U62</f>
        <v>75</v>
      </c>
      <c r="V61" s="584"/>
      <c r="W61" s="567"/>
      <c r="X61" s="584">
        <f t="shared" ref="X61:CR61" si="50">X60-X62</f>
        <v>75</v>
      </c>
      <c r="Y61" s="584"/>
      <c r="Z61" s="567"/>
      <c r="AA61" s="567"/>
      <c r="AB61" s="567"/>
      <c r="AC61" s="584">
        <f t="shared" si="50"/>
        <v>75.5</v>
      </c>
      <c r="AD61" s="584"/>
      <c r="AE61" s="567"/>
      <c r="AF61" s="584">
        <f>AF60-AF62</f>
        <v>79.5</v>
      </c>
      <c r="AG61" s="584"/>
      <c r="AH61" s="567"/>
      <c r="AI61" s="567"/>
      <c r="AJ61" s="567"/>
      <c r="AK61" s="584">
        <f t="shared" si="50"/>
        <v>78</v>
      </c>
      <c r="AL61" s="584"/>
      <c r="AM61" s="567"/>
      <c r="AN61" s="584">
        <f>AN60-AN62</f>
        <v>78</v>
      </c>
      <c r="AO61" s="584"/>
      <c r="AP61" s="567"/>
      <c r="AQ61" s="567"/>
      <c r="AR61" s="567"/>
      <c r="AS61" s="584">
        <f t="shared" si="50"/>
        <v>78</v>
      </c>
      <c r="AT61" s="584"/>
      <c r="AU61" s="567"/>
      <c r="AV61" s="584">
        <f t="shared" si="50"/>
        <v>77</v>
      </c>
      <c r="AW61" s="584"/>
      <c r="AX61" s="567"/>
      <c r="AY61" s="567"/>
      <c r="AZ61" s="567"/>
      <c r="BA61" s="584">
        <f t="shared" si="50"/>
        <v>79</v>
      </c>
      <c r="BB61" s="584"/>
      <c r="BC61" s="567"/>
      <c r="BD61" s="584">
        <f t="shared" si="50"/>
        <v>79</v>
      </c>
      <c r="BE61" s="584"/>
      <c r="BF61" s="567"/>
      <c r="BG61" s="567"/>
      <c r="BH61" s="567"/>
      <c r="BI61" s="584">
        <f t="shared" si="50"/>
        <v>79.5</v>
      </c>
      <c r="BJ61" s="584"/>
      <c r="BK61" s="567"/>
      <c r="BL61" s="584">
        <f t="shared" si="50"/>
        <v>79.5</v>
      </c>
      <c r="BM61" s="584"/>
      <c r="BN61" s="567"/>
      <c r="BO61" s="567"/>
      <c r="BP61" s="567"/>
      <c r="BQ61" s="584">
        <f t="shared" si="50"/>
        <v>78</v>
      </c>
      <c r="BR61" s="584"/>
      <c r="BS61" s="567"/>
      <c r="BT61" s="584">
        <f t="shared" si="50"/>
        <v>78</v>
      </c>
      <c r="BU61" s="584"/>
      <c r="BV61" s="567"/>
      <c r="BW61" s="567"/>
      <c r="BX61" s="567"/>
      <c r="BY61" s="584">
        <f t="shared" si="50"/>
        <v>79.5</v>
      </c>
      <c r="BZ61" s="584"/>
      <c r="CA61" s="567"/>
      <c r="CB61" s="584">
        <f t="shared" si="50"/>
        <v>78</v>
      </c>
      <c r="CC61" s="584"/>
      <c r="CD61" s="567"/>
      <c r="CE61" s="567"/>
      <c r="CF61" s="567"/>
      <c r="CG61" s="584">
        <f t="shared" si="50"/>
        <v>79.5</v>
      </c>
      <c r="CH61" s="584"/>
      <c r="CI61" s="567"/>
      <c r="CJ61" s="584">
        <f t="shared" si="50"/>
        <v>80</v>
      </c>
      <c r="CK61" s="584"/>
      <c r="CL61" s="567"/>
      <c r="CM61" s="567"/>
      <c r="CN61" s="567"/>
      <c r="CO61" s="584">
        <f t="shared" si="50"/>
        <v>79.5</v>
      </c>
      <c r="CP61" s="584"/>
      <c r="CQ61" s="567"/>
      <c r="CR61" s="584">
        <f t="shared" si="50"/>
        <v>77</v>
      </c>
      <c r="CS61" s="584"/>
      <c r="CT61" s="567"/>
      <c r="CX61" s="422"/>
      <c r="CY61" s="422"/>
      <c r="CZ61" s="422"/>
      <c r="DA61" s="422"/>
      <c r="DB61" s="422"/>
      <c r="DC61" s="422"/>
      <c r="DD61" s="573"/>
      <c r="DE61" s="573"/>
      <c r="DF61" s="573"/>
      <c r="DG61" s="573"/>
      <c r="DH61" s="573"/>
      <c r="DI61" s="573"/>
      <c r="DJ61" s="573"/>
      <c r="DK61" s="573"/>
      <c r="DL61" s="573"/>
      <c r="DM61" s="573"/>
    </row>
    <row r="62" spans="1:118" s="53" customFormat="1" ht="16.5" customHeight="1">
      <c r="A62" s="26"/>
      <c r="B62" s="26"/>
      <c r="C62" s="278"/>
      <c r="D62" s="595" t="s">
        <v>1824</v>
      </c>
      <c r="E62" s="26"/>
      <c r="F62" s="7"/>
      <c r="H62" s="7"/>
      <c r="I62" s="26"/>
      <c r="J62" s="83"/>
      <c r="K62" s="26"/>
      <c r="L62" s="26"/>
      <c r="M62" s="26"/>
      <c r="N62" s="26"/>
      <c r="O62" s="833">
        <f t="shared" si="49"/>
        <v>7</v>
      </c>
      <c r="P62" s="961">
        <f t="shared" si="48"/>
        <v>2.8000000000000003</v>
      </c>
      <c r="Q62" s="962">
        <f t="shared" ref="Q62:Q63" si="51">P62/9</f>
        <v>0.31111111111111112</v>
      </c>
      <c r="R62" s="963">
        <f t="shared" ref="R62:R63" si="52">Q62/2</f>
        <v>0.15555555555555556</v>
      </c>
      <c r="S62" s="26"/>
      <c r="T62" s="567"/>
      <c r="U62" s="584">
        <f>IF(U53=10,10,0)</f>
        <v>10</v>
      </c>
      <c r="V62" s="584"/>
      <c r="W62" s="567"/>
      <c r="X62" s="584">
        <f>IF(X53=10,10,0)</f>
        <v>10</v>
      </c>
      <c r="Y62" s="584"/>
      <c r="Z62" s="567"/>
      <c r="AA62" s="567"/>
      <c r="AB62" s="567"/>
      <c r="AC62" s="584">
        <f>IF(AC53=10,10,0)</f>
        <v>0</v>
      </c>
      <c r="AD62" s="584"/>
      <c r="AE62" s="567"/>
      <c r="AF62" s="584">
        <f>IF(AF53=10,10,0)</f>
        <v>0</v>
      </c>
      <c r="AG62" s="584"/>
      <c r="AH62" s="567"/>
      <c r="AI62" s="567"/>
      <c r="AJ62" s="567"/>
      <c r="AK62" s="584">
        <f>IF(AK53=10,10,0)</f>
        <v>10</v>
      </c>
      <c r="AL62" s="584"/>
      <c r="AM62" s="567"/>
      <c r="AN62" s="584">
        <f>IF(AN53=10,10,0)</f>
        <v>10</v>
      </c>
      <c r="AO62" s="584"/>
      <c r="AP62" s="567"/>
      <c r="AQ62" s="567"/>
      <c r="AR62" s="567"/>
      <c r="AS62" s="584">
        <f>IF(AS53=10,10,0)</f>
        <v>10</v>
      </c>
      <c r="AT62" s="584"/>
      <c r="AU62" s="567"/>
      <c r="AV62" s="584">
        <f>IF(AV53=10,10,0)</f>
        <v>0</v>
      </c>
      <c r="AW62" s="584"/>
      <c r="AX62" s="567"/>
      <c r="AY62" s="567"/>
      <c r="AZ62" s="567"/>
      <c r="BA62" s="584">
        <f>IF(BA53=10,10,0)</f>
        <v>10</v>
      </c>
      <c r="BB62" s="584"/>
      <c r="BC62" s="567"/>
      <c r="BD62" s="584">
        <f>IF(BD53=10,10,0)</f>
        <v>10</v>
      </c>
      <c r="BE62" s="584"/>
      <c r="BF62" s="567"/>
      <c r="BG62" s="567"/>
      <c r="BH62" s="567"/>
      <c r="BI62" s="584">
        <f>IF(BI53=10,10,0)</f>
        <v>0</v>
      </c>
      <c r="BJ62" s="584"/>
      <c r="BK62" s="567"/>
      <c r="BL62" s="584">
        <f>IF(BL53=10,10,0)</f>
        <v>0</v>
      </c>
      <c r="BM62" s="584"/>
      <c r="BN62" s="567"/>
      <c r="BO62" s="567"/>
      <c r="BP62" s="567"/>
      <c r="BQ62" s="584">
        <f>IF(BQ53=10,10,0)</f>
        <v>10</v>
      </c>
      <c r="BR62" s="584"/>
      <c r="BS62" s="567"/>
      <c r="BT62" s="584">
        <f>IF(BT53=10,10,0)</f>
        <v>10</v>
      </c>
      <c r="BU62" s="584"/>
      <c r="BV62" s="567"/>
      <c r="BW62" s="567"/>
      <c r="BX62" s="567"/>
      <c r="BY62" s="584">
        <f>IF(BY53=10,10,0)</f>
        <v>0</v>
      </c>
      <c r="BZ62" s="584"/>
      <c r="CA62" s="567"/>
      <c r="CB62" s="584">
        <f>IF(CB53=10,10,0)</f>
        <v>10</v>
      </c>
      <c r="CC62" s="584"/>
      <c r="CD62" s="567"/>
      <c r="CE62" s="567"/>
      <c r="CF62" s="567"/>
      <c r="CG62" s="584">
        <f>IF(CG53=10,10,0)</f>
        <v>0</v>
      </c>
      <c r="CH62" s="584"/>
      <c r="CI62" s="567"/>
      <c r="CJ62" s="584">
        <f>IF(CJ53=10,10,0)</f>
        <v>10</v>
      </c>
      <c r="CK62" s="584"/>
      <c r="CL62" s="567"/>
      <c r="CM62" s="567"/>
      <c r="CN62" s="567"/>
      <c r="CO62" s="584">
        <f>IF(CO53=10,10,0)</f>
        <v>0</v>
      </c>
      <c r="CP62" s="584"/>
      <c r="CQ62" s="567"/>
      <c r="CR62" s="584">
        <f>IF(CR53=10,10,0)</f>
        <v>10</v>
      </c>
      <c r="CS62" s="584"/>
      <c r="CT62" s="567"/>
      <c r="CX62" s="422"/>
      <c r="CY62" s="422"/>
      <c r="CZ62" s="422"/>
      <c r="DA62" s="422"/>
      <c r="DB62" s="422"/>
      <c r="DC62" s="422"/>
      <c r="DD62" s="573"/>
      <c r="DE62" s="573"/>
      <c r="DF62" s="573"/>
      <c r="DG62" s="573"/>
      <c r="DH62" s="573"/>
      <c r="DI62" s="573"/>
      <c r="DJ62" s="573"/>
      <c r="DK62" s="573"/>
      <c r="DL62" s="573"/>
      <c r="DM62" s="573"/>
    </row>
    <row r="63" spans="1:118" s="53" customFormat="1" ht="16.5" customHeight="1">
      <c r="A63" s="26"/>
      <c r="B63" s="26"/>
      <c r="C63" s="278"/>
      <c r="D63" s="595" t="s">
        <v>1821</v>
      </c>
      <c r="E63" s="26"/>
      <c r="F63" s="7"/>
      <c r="H63" s="7"/>
      <c r="I63" s="26"/>
      <c r="J63" s="83"/>
      <c r="K63" s="26"/>
      <c r="L63" s="26"/>
      <c r="M63" s="26"/>
      <c r="N63" s="26"/>
      <c r="O63" s="833">
        <f t="shared" si="49"/>
        <v>3</v>
      </c>
      <c r="P63" s="961">
        <f t="shared" si="48"/>
        <v>1.2000000000000002</v>
      </c>
      <c r="Q63" s="962">
        <f t="shared" si="51"/>
        <v>0.13333333333333336</v>
      </c>
      <c r="R63" s="963">
        <f t="shared" si="52"/>
        <v>6.666666666666668E-2</v>
      </c>
      <c r="S63" s="26"/>
      <c r="T63" s="567"/>
      <c r="U63" s="564">
        <f>10-U62</f>
        <v>0</v>
      </c>
      <c r="V63" s="564"/>
      <c r="W63" s="567"/>
      <c r="X63" s="564">
        <f>10-X62</f>
        <v>0</v>
      </c>
      <c r="Y63" s="564"/>
      <c r="Z63" s="567"/>
      <c r="AA63" s="567"/>
      <c r="AB63" s="567"/>
      <c r="AC63" s="564">
        <f>10-AC62</f>
        <v>10</v>
      </c>
      <c r="AD63" s="564"/>
      <c r="AE63" s="567"/>
      <c r="AF63" s="564">
        <f>10-AF62</f>
        <v>10</v>
      </c>
      <c r="AG63" s="564"/>
      <c r="AH63" s="567"/>
      <c r="AI63" s="567"/>
      <c r="AJ63" s="567"/>
      <c r="AK63" s="564">
        <f>10-AK62</f>
        <v>0</v>
      </c>
      <c r="AL63" s="564"/>
      <c r="AM63" s="567"/>
      <c r="AN63" s="564">
        <f>10-AN62</f>
        <v>0</v>
      </c>
      <c r="AO63" s="564"/>
      <c r="AP63" s="567"/>
      <c r="AQ63" s="567"/>
      <c r="AR63" s="567"/>
      <c r="AS63" s="564">
        <f>10-AS62</f>
        <v>0</v>
      </c>
      <c r="AT63" s="564"/>
      <c r="AU63" s="567"/>
      <c r="AV63" s="564">
        <f>10-AV62</f>
        <v>10</v>
      </c>
      <c r="AW63" s="564"/>
      <c r="AX63" s="567"/>
      <c r="AY63" s="567"/>
      <c r="AZ63" s="567"/>
      <c r="BA63" s="564">
        <f>10-BA62</f>
        <v>0</v>
      </c>
      <c r="BB63" s="564"/>
      <c r="BC63" s="567"/>
      <c r="BD63" s="564">
        <f>10-BD62</f>
        <v>0</v>
      </c>
      <c r="BE63" s="564"/>
      <c r="BF63" s="567"/>
      <c r="BG63" s="567"/>
      <c r="BH63" s="567"/>
      <c r="BI63" s="564">
        <f>10-BI62</f>
        <v>10</v>
      </c>
      <c r="BJ63" s="564"/>
      <c r="BK63" s="567"/>
      <c r="BL63" s="564">
        <f>10-BL62</f>
        <v>10</v>
      </c>
      <c r="BM63" s="564"/>
      <c r="BN63" s="567"/>
      <c r="BO63" s="567"/>
      <c r="BP63" s="567"/>
      <c r="BQ63" s="564">
        <f>10-BQ62</f>
        <v>0</v>
      </c>
      <c r="BR63" s="564"/>
      <c r="BS63" s="567"/>
      <c r="BT63" s="564">
        <f>10-BT62</f>
        <v>0</v>
      </c>
      <c r="BU63" s="564"/>
      <c r="BV63" s="567"/>
      <c r="BW63" s="567"/>
      <c r="BX63" s="567"/>
      <c r="BY63" s="564">
        <f>10-BY62</f>
        <v>10</v>
      </c>
      <c r="BZ63" s="564"/>
      <c r="CA63" s="567"/>
      <c r="CB63" s="564">
        <f>10-CB62</f>
        <v>0</v>
      </c>
      <c r="CC63" s="564"/>
      <c r="CD63" s="567"/>
      <c r="CE63" s="567"/>
      <c r="CF63" s="567"/>
      <c r="CG63" s="564">
        <f>10-CG62</f>
        <v>10</v>
      </c>
      <c r="CH63" s="564"/>
      <c r="CI63" s="567"/>
      <c r="CJ63" s="564">
        <f>10-CJ62</f>
        <v>0</v>
      </c>
      <c r="CK63" s="564"/>
      <c r="CL63" s="567"/>
      <c r="CM63" s="567"/>
      <c r="CN63" s="567"/>
      <c r="CO63" s="564">
        <f>10-CO62</f>
        <v>10</v>
      </c>
      <c r="CP63" s="564"/>
      <c r="CQ63" s="567"/>
      <c r="CR63" s="564">
        <f>10-CR62</f>
        <v>0</v>
      </c>
      <c r="CS63" s="564"/>
      <c r="CT63" s="567"/>
      <c r="CX63" s="422"/>
      <c r="CY63" s="422"/>
      <c r="CZ63" s="422"/>
      <c r="DA63" s="422"/>
      <c r="DB63" s="422"/>
      <c r="DC63" s="422"/>
      <c r="DD63" s="573"/>
      <c r="DE63" s="573"/>
      <c r="DF63" s="573"/>
      <c r="DG63" s="573"/>
      <c r="DH63" s="573"/>
      <c r="DI63" s="573"/>
      <c r="DJ63" s="573"/>
      <c r="DK63" s="573"/>
      <c r="DL63" s="573"/>
      <c r="DM63" s="573"/>
    </row>
    <row r="64" spans="1:118" s="53" customFormat="1" ht="16.5" customHeight="1">
      <c r="A64" s="26"/>
      <c r="B64" s="26"/>
      <c r="C64" s="278"/>
      <c r="D64" s="595" t="s">
        <v>1822</v>
      </c>
      <c r="E64" s="26"/>
      <c r="F64" s="7"/>
      <c r="H64" s="7"/>
      <c r="I64" s="777">
        <v>10</v>
      </c>
      <c r="J64" s="83"/>
      <c r="K64" s="26"/>
      <c r="L64" s="26"/>
      <c r="M64" s="26"/>
      <c r="N64" s="26"/>
      <c r="O64" s="833">
        <f t="shared" si="49"/>
        <v>10</v>
      </c>
      <c r="P64" s="961">
        <f t="shared" si="48"/>
        <v>4</v>
      </c>
      <c r="Q64" s="961">
        <f t="shared" si="48"/>
        <v>1.6</v>
      </c>
      <c r="R64" s="961">
        <f t="shared" si="48"/>
        <v>0.64000000000000012</v>
      </c>
      <c r="S64" s="26"/>
      <c r="T64" s="567"/>
      <c r="U64" s="564">
        <v>10</v>
      </c>
      <c r="V64" s="564"/>
      <c r="W64" s="567"/>
      <c r="X64" s="564">
        <v>10</v>
      </c>
      <c r="Y64" s="564"/>
      <c r="Z64" s="567"/>
      <c r="AA64" s="567"/>
      <c r="AB64" s="567"/>
      <c r="AC64" s="564">
        <v>10</v>
      </c>
      <c r="AD64" s="564"/>
      <c r="AE64" s="567"/>
      <c r="AF64" s="564">
        <v>10</v>
      </c>
      <c r="AG64" s="564"/>
      <c r="AH64" s="567"/>
      <c r="AI64" s="567"/>
      <c r="AJ64" s="567"/>
      <c r="AK64" s="564">
        <v>10</v>
      </c>
      <c r="AL64" s="564"/>
      <c r="AM64" s="567"/>
      <c r="AN64" s="564">
        <v>10</v>
      </c>
      <c r="AO64" s="564"/>
      <c r="AP64" s="567"/>
      <c r="AQ64" s="567"/>
      <c r="AR64" s="567"/>
      <c r="AS64" s="564">
        <v>10</v>
      </c>
      <c r="AT64" s="564"/>
      <c r="AU64" s="567"/>
      <c r="AV64" s="564">
        <v>10</v>
      </c>
      <c r="AW64" s="564"/>
      <c r="AX64" s="567"/>
      <c r="AY64" s="567"/>
      <c r="AZ64" s="567"/>
      <c r="BA64" s="564">
        <v>10</v>
      </c>
      <c r="BB64" s="564"/>
      <c r="BC64" s="567"/>
      <c r="BD64" s="564">
        <v>10</v>
      </c>
      <c r="BE64" s="564"/>
      <c r="BF64" s="567"/>
      <c r="BG64" s="567"/>
      <c r="BH64" s="567"/>
      <c r="BI64" s="564">
        <v>10</v>
      </c>
      <c r="BJ64" s="564"/>
      <c r="BK64" s="567"/>
      <c r="BL64" s="564">
        <v>10</v>
      </c>
      <c r="BM64" s="564"/>
      <c r="BN64" s="567"/>
      <c r="BO64" s="567"/>
      <c r="BP64" s="567"/>
      <c r="BQ64" s="564">
        <v>10</v>
      </c>
      <c r="BR64" s="564"/>
      <c r="BS64" s="567"/>
      <c r="BT64" s="564">
        <v>10</v>
      </c>
      <c r="BU64" s="564"/>
      <c r="BV64" s="567"/>
      <c r="BW64" s="567"/>
      <c r="BX64" s="567"/>
      <c r="BY64" s="564">
        <v>10</v>
      </c>
      <c r="BZ64" s="564"/>
      <c r="CA64" s="567"/>
      <c r="CB64" s="564">
        <v>10</v>
      </c>
      <c r="CC64" s="564"/>
      <c r="CD64" s="567"/>
      <c r="CE64" s="567"/>
      <c r="CF64" s="567"/>
      <c r="CG64" s="564">
        <v>10</v>
      </c>
      <c r="CH64" s="564"/>
      <c r="CI64" s="567"/>
      <c r="CJ64" s="564">
        <v>10</v>
      </c>
      <c r="CK64" s="564"/>
      <c r="CL64" s="567"/>
      <c r="CM64" s="567"/>
      <c r="CN64" s="567"/>
      <c r="CO64" s="564">
        <v>10</v>
      </c>
      <c r="CP64" s="564"/>
      <c r="CQ64" s="567"/>
      <c r="CR64" s="564">
        <v>10</v>
      </c>
      <c r="CS64" s="564"/>
      <c r="CT64" s="567"/>
      <c r="CX64" s="422"/>
      <c r="CY64" s="422"/>
      <c r="CZ64" s="422"/>
      <c r="DA64" s="422"/>
      <c r="DB64" s="422"/>
      <c r="DC64" s="422"/>
      <c r="DD64" s="573"/>
      <c r="DE64" s="573"/>
      <c r="DF64" s="573"/>
      <c r="DG64" s="573"/>
      <c r="DH64" s="573"/>
      <c r="DI64" s="573"/>
      <c r="DJ64" s="573"/>
      <c r="DK64" s="573"/>
      <c r="DL64" s="573"/>
      <c r="DM64" s="573"/>
    </row>
    <row r="65" spans="1:118" s="53" customFormat="1" ht="16.5" customHeight="1">
      <c r="A65" s="26"/>
      <c r="B65" s="26"/>
      <c r="C65" s="278"/>
      <c r="D65" s="595" t="s">
        <v>1823</v>
      </c>
      <c r="E65" s="26"/>
      <c r="F65" s="7"/>
      <c r="H65" s="7"/>
      <c r="I65" s="26"/>
      <c r="J65" s="83"/>
      <c r="K65" s="26"/>
      <c r="L65" s="26"/>
      <c r="M65" s="26"/>
      <c r="N65" s="26"/>
      <c r="O65" s="833">
        <f t="shared" si="49"/>
        <v>1.9</v>
      </c>
      <c r="P65" s="797"/>
      <c r="Q65" s="964"/>
      <c r="R65" s="965"/>
      <c r="S65" s="26"/>
      <c r="T65" s="567"/>
      <c r="U65" s="584">
        <f>100-SUM(U61:U64)</f>
        <v>5</v>
      </c>
      <c r="V65" s="584"/>
      <c r="W65" s="567"/>
      <c r="X65" s="584">
        <f>100-SUM(X61:X64)</f>
        <v>5</v>
      </c>
      <c r="Y65" s="584"/>
      <c r="Z65" s="567"/>
      <c r="AA65" s="567"/>
      <c r="AB65" s="567"/>
      <c r="AC65" s="584">
        <f>100-SUM(AC61:AC64)</f>
        <v>4.5</v>
      </c>
      <c r="AD65" s="584"/>
      <c r="AE65" s="567"/>
      <c r="AF65" s="564">
        <f>100-SUM(AF61:AF64)</f>
        <v>0.5</v>
      </c>
      <c r="AG65" s="564"/>
      <c r="AH65" s="567"/>
      <c r="AI65" s="567"/>
      <c r="AJ65" s="567"/>
      <c r="AK65" s="584">
        <f>100-SUM(AK61:AK64)</f>
        <v>2</v>
      </c>
      <c r="AL65" s="584"/>
      <c r="AM65" s="567"/>
      <c r="AN65" s="584">
        <f>100-SUM(AN61:AN64)</f>
        <v>2</v>
      </c>
      <c r="AO65" s="584"/>
      <c r="AP65" s="567"/>
      <c r="AQ65" s="567"/>
      <c r="AR65" s="567"/>
      <c r="AS65" s="584">
        <f>100-SUM(AS61:AS64)</f>
        <v>2</v>
      </c>
      <c r="AT65" s="584"/>
      <c r="AU65" s="567"/>
      <c r="AV65" s="564">
        <f>100-SUM(AV61:AV64)</f>
        <v>3</v>
      </c>
      <c r="AW65" s="564"/>
      <c r="AX65" s="567"/>
      <c r="AY65" s="567"/>
      <c r="AZ65" s="567"/>
      <c r="BA65" s="584">
        <f>100-SUM(BA61:BA64)</f>
        <v>1</v>
      </c>
      <c r="BB65" s="584"/>
      <c r="BC65" s="567"/>
      <c r="BD65" s="584">
        <f>100-SUM(BD61:BD64)</f>
        <v>1</v>
      </c>
      <c r="BE65" s="584"/>
      <c r="BF65" s="567"/>
      <c r="BG65" s="567"/>
      <c r="BH65" s="567"/>
      <c r="BI65" s="584">
        <f>100-SUM(BI61:BI64)</f>
        <v>0.5</v>
      </c>
      <c r="BJ65" s="584"/>
      <c r="BK65" s="567"/>
      <c r="BL65" s="564">
        <f>100-SUM(BL61:BL64)</f>
        <v>0.5</v>
      </c>
      <c r="BM65" s="564"/>
      <c r="BN65" s="567"/>
      <c r="BO65" s="567"/>
      <c r="BP65" s="567"/>
      <c r="BQ65" s="584">
        <f>100-SUM(BQ61:BQ64)</f>
        <v>2</v>
      </c>
      <c r="BR65" s="584"/>
      <c r="BS65" s="567"/>
      <c r="BT65" s="584">
        <f>100-SUM(BT61:BT64)</f>
        <v>2</v>
      </c>
      <c r="BU65" s="584"/>
      <c r="BV65" s="567"/>
      <c r="BW65" s="567"/>
      <c r="BX65" s="567"/>
      <c r="BY65" s="584">
        <f>100-SUM(BY61:BY64)</f>
        <v>0.5</v>
      </c>
      <c r="BZ65" s="584"/>
      <c r="CA65" s="567"/>
      <c r="CB65" s="564">
        <f>100-SUM(CB61:CB64)</f>
        <v>2</v>
      </c>
      <c r="CC65" s="564"/>
      <c r="CD65" s="567"/>
      <c r="CE65" s="567"/>
      <c r="CF65" s="567"/>
      <c r="CG65" s="584">
        <f>100-SUM(CG61:CG64)</f>
        <v>0.5</v>
      </c>
      <c r="CH65" s="584"/>
      <c r="CI65" s="567"/>
      <c r="CJ65" s="584">
        <f>100-SUM(CJ61:CJ64)</f>
        <v>0</v>
      </c>
      <c r="CK65" s="584"/>
      <c r="CL65" s="567"/>
      <c r="CM65" s="567"/>
      <c r="CN65" s="567"/>
      <c r="CO65" s="584">
        <f>100-SUM(CO61:CO64)</f>
        <v>0.5</v>
      </c>
      <c r="CP65" s="584"/>
      <c r="CQ65" s="567"/>
      <c r="CR65" s="564">
        <f>100-SUM(CR61:CR64)</f>
        <v>3</v>
      </c>
      <c r="CS65" s="564"/>
      <c r="CT65" s="567"/>
      <c r="CX65" s="422"/>
      <c r="CY65" s="422"/>
      <c r="CZ65" s="422"/>
      <c r="DA65" s="422"/>
      <c r="DB65" s="422"/>
      <c r="DC65" s="422"/>
      <c r="DD65" s="573"/>
      <c r="DE65" s="573"/>
      <c r="DF65" s="573"/>
      <c r="DG65" s="573"/>
      <c r="DH65" s="573"/>
      <c r="DI65" s="573"/>
      <c r="DJ65" s="573"/>
      <c r="DK65" s="573"/>
      <c r="DL65" s="573"/>
      <c r="DM65" s="573"/>
    </row>
    <row r="66" spans="1:118" ht="14.25">
      <c r="O66" s="77"/>
      <c r="P66" s="77"/>
      <c r="Q66" s="77"/>
      <c r="R66" s="77"/>
      <c r="S66" s="77"/>
      <c r="T66" s="53"/>
      <c r="U66" s="53"/>
      <c r="V66" s="53"/>
      <c r="W66" s="53"/>
      <c r="X66" s="53"/>
      <c r="Y66" s="53"/>
      <c r="Z66" s="53"/>
      <c r="AA66" s="53"/>
      <c r="AB66" s="77"/>
      <c r="AC66" s="77"/>
      <c r="AD66" s="77"/>
      <c r="AE66" s="77"/>
      <c r="AF66" s="77"/>
      <c r="AG66" s="77"/>
      <c r="AH66" s="77"/>
      <c r="AI66" s="77"/>
      <c r="AJ66" s="53"/>
      <c r="AK66" s="53"/>
      <c r="AL66" s="53"/>
      <c r="AM66" s="53"/>
      <c r="AN66" s="53"/>
      <c r="AO66" s="53"/>
      <c r="AP66" s="53"/>
      <c r="AQ66" s="53"/>
      <c r="AR66" s="77"/>
      <c r="AS66" s="77"/>
      <c r="AT66" s="77"/>
      <c r="AU66" s="77"/>
      <c r="AV66" s="77"/>
      <c r="AW66" s="77"/>
      <c r="AX66" s="77"/>
      <c r="AY66" s="77"/>
      <c r="AZ66" s="53"/>
      <c r="BA66" s="53"/>
      <c r="BB66" s="53"/>
      <c r="BC66" s="53"/>
      <c r="BD66" s="53"/>
      <c r="BE66" s="53"/>
      <c r="BF66" s="53"/>
      <c r="BG66" s="53"/>
      <c r="BH66" s="77"/>
      <c r="BI66" s="77"/>
      <c r="BJ66" s="77"/>
      <c r="BK66" s="77"/>
      <c r="BL66" s="77"/>
      <c r="BM66" s="77"/>
      <c r="BN66" s="77"/>
      <c r="BO66" s="77"/>
      <c r="BP66" s="53"/>
      <c r="BQ66" s="53"/>
      <c r="BR66" s="53"/>
      <c r="BS66" s="53"/>
      <c r="BT66" s="53"/>
      <c r="BU66" s="53"/>
      <c r="BV66" s="53"/>
      <c r="BW66" s="53"/>
      <c r="BX66" s="77"/>
      <c r="BY66" s="77"/>
      <c r="BZ66" s="77"/>
      <c r="CA66" s="77"/>
      <c r="CB66" s="77"/>
      <c r="CC66" s="77"/>
      <c r="CD66" s="77"/>
      <c r="CE66" s="77"/>
      <c r="CF66" s="53"/>
      <c r="CG66" s="53"/>
      <c r="CH66" s="53"/>
      <c r="CI66" s="53"/>
      <c r="CJ66" s="53"/>
      <c r="CK66" s="53"/>
      <c r="CL66" s="53"/>
      <c r="CM66" s="53"/>
      <c r="CN66" s="77"/>
      <c r="CO66" s="77"/>
      <c r="CP66" s="77"/>
    </row>
    <row r="67" spans="1:118" ht="14.25">
      <c r="O67" s="77"/>
      <c r="P67" s="77"/>
      <c r="Q67" s="77"/>
      <c r="R67" s="77"/>
      <c r="S67" s="77"/>
      <c r="T67" s="53"/>
      <c r="U67" s="53"/>
      <c r="V67" s="53"/>
      <c r="W67" s="53"/>
      <c r="X67" s="53"/>
      <c r="Y67" s="53"/>
      <c r="Z67" s="53"/>
      <c r="AA67" s="53"/>
      <c r="AB67" s="77"/>
      <c r="AC67" s="77"/>
      <c r="AD67" s="77"/>
      <c r="AE67" s="77"/>
      <c r="AF67" s="77"/>
      <c r="AG67" s="77"/>
      <c r="AH67" s="77"/>
      <c r="AI67" s="77"/>
      <c r="AJ67" s="53"/>
      <c r="AK67" s="53"/>
      <c r="AL67" s="53"/>
      <c r="AM67" s="53"/>
      <c r="AN67" s="53"/>
      <c r="AO67" s="53"/>
      <c r="AP67" s="53"/>
      <c r="AQ67" s="53"/>
      <c r="AR67" s="77"/>
      <c r="AS67" s="77"/>
      <c r="AT67" s="77"/>
      <c r="AU67" s="77"/>
      <c r="AV67" s="77"/>
      <c r="AW67" s="77"/>
      <c r="AX67" s="77"/>
      <c r="AY67" s="77"/>
      <c r="AZ67" s="53"/>
      <c r="BA67" s="53"/>
      <c r="BB67" s="53"/>
      <c r="BC67" s="53"/>
      <c r="BD67" s="53"/>
      <c r="BE67" s="53"/>
      <c r="BF67" s="53"/>
      <c r="BG67" s="53"/>
      <c r="BH67" s="77"/>
      <c r="BI67" s="77"/>
      <c r="BJ67" s="77"/>
      <c r="BK67" s="77"/>
      <c r="BL67" s="77"/>
      <c r="BM67" s="77"/>
      <c r="BN67" s="77"/>
      <c r="BO67" s="77"/>
      <c r="BP67" s="53"/>
      <c r="BQ67" s="53"/>
      <c r="BR67" s="53"/>
      <c r="BS67" s="53"/>
      <c r="BT67" s="53"/>
      <c r="BU67" s="53"/>
      <c r="BV67" s="53"/>
      <c r="BW67" s="53"/>
      <c r="BX67" s="77"/>
      <c r="BY67" s="77"/>
      <c r="BZ67" s="77"/>
      <c r="CA67" s="77"/>
      <c r="CB67" s="77"/>
      <c r="CC67" s="77"/>
      <c r="CD67" s="77"/>
      <c r="CE67" s="77"/>
      <c r="CF67" s="53"/>
      <c r="CG67" s="53"/>
      <c r="CH67" s="53"/>
      <c r="CI67" s="53"/>
      <c r="CJ67" s="53"/>
      <c r="CK67" s="53"/>
      <c r="CL67" s="53"/>
      <c r="CM67" s="53"/>
      <c r="CN67" s="77"/>
      <c r="CO67" s="77"/>
      <c r="CP67" s="77"/>
    </row>
    <row r="68" spans="1:118" ht="14.25">
      <c r="O68" s="77"/>
      <c r="P68" s="77"/>
      <c r="Q68" s="77"/>
      <c r="R68" s="77"/>
      <c r="S68" s="77"/>
      <c r="T68" s="53"/>
      <c r="U68" s="53"/>
      <c r="V68" s="53"/>
      <c r="W68" s="53"/>
      <c r="X68" s="53"/>
      <c r="Y68" s="53"/>
      <c r="Z68" s="53"/>
      <c r="AA68" s="53"/>
      <c r="AB68" s="77"/>
      <c r="AC68" s="77"/>
      <c r="AD68" s="77"/>
      <c r="AE68" s="77"/>
      <c r="AF68" s="77"/>
      <c r="AG68" s="77"/>
      <c r="AH68" s="77"/>
      <c r="AI68" s="77"/>
      <c r="AJ68" s="53"/>
      <c r="AK68" s="53"/>
      <c r="AL68" s="53"/>
      <c r="AM68" s="53"/>
      <c r="AN68" s="53"/>
      <c r="AO68" s="53"/>
      <c r="AP68" s="53"/>
      <c r="AQ68" s="53"/>
      <c r="AR68" s="77"/>
      <c r="AS68" s="77"/>
      <c r="AT68" s="77"/>
      <c r="AU68" s="77"/>
      <c r="AV68" s="77"/>
      <c r="AW68" s="77"/>
      <c r="AX68" s="77"/>
      <c r="AY68" s="77"/>
      <c r="AZ68" s="53"/>
      <c r="BA68" s="53"/>
      <c r="BB68" s="53"/>
      <c r="BC68" s="53"/>
      <c r="BD68" s="53"/>
      <c r="BE68" s="53"/>
      <c r="BF68" s="53"/>
      <c r="BG68" s="53"/>
      <c r="BH68" s="77"/>
      <c r="BI68" s="77"/>
      <c r="BJ68" s="77"/>
      <c r="BK68" s="77"/>
      <c r="BL68" s="77"/>
      <c r="BM68" s="77"/>
      <c r="BN68" s="77"/>
      <c r="BO68" s="77"/>
      <c r="BP68" s="53"/>
      <c r="BQ68" s="53"/>
      <c r="BR68" s="53"/>
      <c r="BS68" s="53"/>
      <c r="BT68" s="53"/>
      <c r="BU68" s="53"/>
      <c r="BV68" s="53"/>
      <c r="BW68" s="53"/>
      <c r="BX68" s="77"/>
      <c r="BY68" s="77"/>
      <c r="BZ68" s="77"/>
      <c r="CA68" s="77"/>
      <c r="CB68" s="77"/>
      <c r="CC68" s="77"/>
      <c r="CD68" s="77"/>
      <c r="CE68" s="77"/>
      <c r="CF68" s="53"/>
      <c r="CG68" s="53"/>
      <c r="CH68" s="53"/>
      <c r="CI68" s="53"/>
      <c r="CJ68" s="53"/>
      <c r="CK68" s="53"/>
      <c r="CL68" s="53"/>
      <c r="CM68" s="53"/>
      <c r="CN68" s="77"/>
      <c r="CO68" s="77"/>
      <c r="CP68" s="77"/>
    </row>
    <row r="69" spans="1:118" s="53" customFormat="1" ht="16.5" customHeight="1">
      <c r="A69" s="24"/>
      <c r="B69" s="24"/>
      <c r="C69" s="278"/>
      <c r="D69" s="863" t="s">
        <v>1897</v>
      </c>
      <c r="E69" s="24"/>
      <c r="F69" s="24"/>
      <c r="G69" s="94"/>
      <c r="H69" s="24"/>
      <c r="I69" s="26"/>
      <c r="J69" s="83"/>
      <c r="K69" s="26"/>
      <c r="L69" s="26"/>
      <c r="M69" s="26"/>
      <c r="N69" s="26"/>
      <c r="CV69" s="77"/>
      <c r="CW69" s="77"/>
      <c r="CX69" s="422"/>
      <c r="CY69" s="422"/>
      <c r="CZ69" s="422"/>
      <c r="DA69" s="422"/>
      <c r="DB69" s="422"/>
      <c r="DC69" s="422"/>
      <c r="DD69" s="573"/>
      <c r="DE69" s="573"/>
      <c r="DF69" s="573"/>
      <c r="DG69" s="573"/>
      <c r="DH69" s="573"/>
      <c r="DI69" s="573"/>
      <c r="DJ69" s="573"/>
      <c r="DK69" s="573"/>
      <c r="DL69" s="573"/>
      <c r="DM69" s="573"/>
      <c r="DN69" s="77"/>
    </row>
    <row r="70" spans="1:118" s="53" customFormat="1" ht="16.5" customHeight="1">
      <c r="A70" s="24"/>
      <c r="B70" s="24"/>
      <c r="C70" s="278"/>
      <c r="D70" s="876" t="s">
        <v>1944</v>
      </c>
      <c r="E70" s="24"/>
      <c r="F70" s="24"/>
      <c r="G70" s="94"/>
      <c r="H70" s="24"/>
      <c r="I70" s="26"/>
      <c r="J70" s="83"/>
      <c r="K70" s="26"/>
      <c r="L70" s="26"/>
      <c r="M70" s="26"/>
      <c r="N70" s="26"/>
      <c r="CV70" s="77"/>
      <c r="CW70" s="77"/>
      <c r="CX70" s="422"/>
      <c r="CY70" s="422"/>
      <c r="CZ70" s="422"/>
      <c r="DA70" s="422"/>
      <c r="DB70" s="422"/>
      <c r="DC70" s="422"/>
      <c r="DD70" s="573"/>
      <c r="DE70" s="573"/>
      <c r="DF70" s="573"/>
      <c r="DG70" s="573"/>
      <c r="DH70" s="573"/>
      <c r="DI70" s="573"/>
      <c r="DJ70" s="573"/>
      <c r="DK70" s="573"/>
      <c r="DL70" s="573"/>
      <c r="DM70" s="573"/>
      <c r="DN70" s="77"/>
    </row>
    <row r="71" spans="1:118" ht="14.25">
      <c r="O71" s="77"/>
      <c r="P71" s="77"/>
      <c r="Q71" s="77"/>
      <c r="R71" s="77"/>
      <c r="S71" s="77"/>
      <c r="T71" s="53"/>
      <c r="U71" s="53"/>
      <c r="V71" s="53"/>
      <c r="W71" s="53"/>
      <c r="X71" s="53"/>
      <c r="Y71" s="53"/>
      <c r="Z71" s="53"/>
      <c r="AA71" s="53"/>
      <c r="AB71" s="77"/>
      <c r="AC71" s="77"/>
      <c r="AD71" s="77"/>
      <c r="AE71" s="77"/>
      <c r="AF71" s="77"/>
      <c r="AG71" s="77"/>
      <c r="AH71" s="77"/>
      <c r="AI71" s="77"/>
      <c r="AJ71" s="53"/>
      <c r="AK71" s="53"/>
      <c r="AL71" s="53"/>
      <c r="AM71" s="53"/>
      <c r="AN71" s="53"/>
      <c r="AO71" s="53"/>
      <c r="AP71" s="53"/>
      <c r="AQ71" s="53"/>
      <c r="AR71" s="77"/>
      <c r="AS71" s="77"/>
      <c r="AT71" s="77"/>
      <c r="AU71" s="77"/>
      <c r="AV71" s="77"/>
      <c r="AW71" s="77"/>
      <c r="AX71" s="77"/>
      <c r="AY71" s="77"/>
      <c r="AZ71" s="53"/>
      <c r="BA71" s="53"/>
      <c r="BB71" s="53"/>
      <c r="BC71" s="53"/>
      <c r="BD71" s="53"/>
      <c r="BE71" s="53"/>
      <c r="BF71" s="53"/>
      <c r="BG71" s="53"/>
      <c r="BH71" s="77"/>
      <c r="BI71" s="77"/>
      <c r="BJ71" s="77"/>
      <c r="BK71" s="77"/>
      <c r="BL71" s="77"/>
      <c r="BM71" s="77"/>
      <c r="BN71" s="77"/>
      <c r="BO71" s="77"/>
      <c r="BP71" s="53"/>
      <c r="BQ71" s="53"/>
      <c r="BR71" s="53"/>
      <c r="BS71" s="53"/>
      <c r="BT71" s="53"/>
      <c r="BU71" s="53"/>
      <c r="BV71" s="53"/>
      <c r="BW71" s="53"/>
      <c r="BX71" s="77"/>
      <c r="BY71" s="77"/>
      <c r="BZ71" s="77"/>
      <c r="CA71" s="77"/>
      <c r="CB71" s="77"/>
      <c r="CC71" s="77"/>
      <c r="CD71" s="77"/>
      <c r="CE71" s="77"/>
      <c r="CF71" s="53"/>
      <c r="CG71" s="53"/>
      <c r="CH71" s="53"/>
      <c r="CI71" s="53"/>
      <c r="CJ71" s="53"/>
      <c r="CK71" s="53"/>
      <c r="CL71" s="53"/>
      <c r="CM71" s="53"/>
      <c r="CN71" s="77"/>
      <c r="CO71" s="77"/>
      <c r="CP71" s="77"/>
    </row>
    <row r="72" spans="1:118" ht="14.25">
      <c r="O72" s="53"/>
      <c r="P72" s="77"/>
      <c r="Q72" s="77"/>
      <c r="R72" s="77"/>
      <c r="S72" s="77"/>
      <c r="T72" s="53"/>
      <c r="U72" s="53"/>
      <c r="V72" s="53"/>
      <c r="W72" s="53"/>
      <c r="X72" s="53"/>
      <c r="Y72" s="53"/>
      <c r="Z72" s="53"/>
      <c r="AA72" s="53"/>
      <c r="AB72" s="77"/>
      <c r="AC72" s="77"/>
      <c r="AD72" s="77"/>
      <c r="AE72" s="77"/>
      <c r="AF72" s="77"/>
      <c r="AG72" s="77"/>
      <c r="AH72" s="77"/>
      <c r="AI72" s="77"/>
      <c r="AJ72" s="53"/>
      <c r="AK72" s="53"/>
      <c r="AL72" s="53"/>
      <c r="AM72" s="53"/>
      <c r="AN72" s="53"/>
      <c r="AO72" s="53"/>
      <c r="AP72" s="53"/>
      <c r="AQ72" s="53"/>
      <c r="AR72" s="77"/>
      <c r="AS72" s="77"/>
      <c r="AT72" s="77"/>
      <c r="AU72" s="77"/>
      <c r="AV72" s="77"/>
      <c r="AW72" s="77"/>
      <c r="AX72" s="77"/>
      <c r="AY72" s="77"/>
      <c r="AZ72" s="53"/>
      <c r="BA72" s="53"/>
      <c r="BB72" s="53"/>
      <c r="BC72" s="53"/>
      <c r="BD72" s="53"/>
      <c r="BE72" s="53"/>
      <c r="BF72" s="53"/>
      <c r="BG72" s="53"/>
      <c r="BH72" s="77"/>
      <c r="BI72" s="77"/>
      <c r="BJ72" s="77"/>
      <c r="BK72" s="77"/>
      <c r="BL72" s="77"/>
      <c r="BM72" s="77"/>
      <c r="BN72" s="77"/>
      <c r="BO72" s="77"/>
      <c r="BP72" s="53"/>
      <c r="BQ72" s="53"/>
      <c r="BR72" s="53"/>
      <c r="BS72" s="53"/>
      <c r="BT72" s="53"/>
      <c r="BU72" s="53"/>
      <c r="BV72" s="53"/>
      <c r="BW72" s="53"/>
      <c r="BX72" s="77"/>
      <c r="BY72" s="77"/>
      <c r="BZ72" s="77"/>
      <c r="CA72" s="77"/>
      <c r="CB72" s="77"/>
      <c r="CC72" s="77"/>
      <c r="CD72" s="77"/>
      <c r="CE72" s="77"/>
      <c r="CF72" s="53"/>
      <c r="CG72" s="53"/>
      <c r="CH72" s="53"/>
      <c r="CI72" s="53"/>
      <c r="CJ72" s="53"/>
      <c r="CK72" s="53"/>
      <c r="CL72" s="53"/>
      <c r="CM72" s="53"/>
      <c r="CN72" s="77"/>
      <c r="CO72" s="77"/>
      <c r="CP72" s="77"/>
    </row>
    <row r="73" spans="1:118" ht="14.25">
      <c r="O73" s="77"/>
      <c r="P73" s="77"/>
      <c r="Q73" s="77"/>
      <c r="R73" s="77"/>
      <c r="S73" s="77"/>
      <c r="T73" s="53"/>
      <c r="U73" s="53"/>
      <c r="V73" s="53"/>
      <c r="W73" s="53"/>
      <c r="X73" s="53"/>
      <c r="Y73" s="53"/>
      <c r="Z73" s="53"/>
      <c r="AA73" s="53"/>
      <c r="AB73" s="77"/>
      <c r="AC73" s="77"/>
      <c r="AD73" s="77"/>
      <c r="AE73" s="77"/>
      <c r="AF73" s="77"/>
      <c r="AG73" s="77"/>
      <c r="AH73" s="77"/>
      <c r="AI73" s="77"/>
      <c r="AJ73" s="53"/>
      <c r="AK73" s="53"/>
      <c r="AL73" s="53"/>
      <c r="AM73" s="53"/>
      <c r="AN73" s="53"/>
      <c r="AO73" s="53"/>
      <c r="AP73" s="53"/>
      <c r="AQ73" s="53"/>
      <c r="AR73" s="77"/>
      <c r="AS73" s="77"/>
      <c r="AT73" s="77"/>
      <c r="AU73" s="77"/>
      <c r="AV73" s="77"/>
      <c r="AW73" s="77"/>
      <c r="AX73" s="77"/>
      <c r="AY73" s="77"/>
      <c r="AZ73" s="53"/>
      <c r="BA73" s="53"/>
      <c r="BB73" s="53"/>
      <c r="BC73" s="53"/>
      <c r="BD73" s="53"/>
      <c r="BE73" s="53"/>
      <c r="BF73" s="53"/>
      <c r="BG73" s="53"/>
      <c r="BH73" s="77"/>
      <c r="BI73" s="77"/>
      <c r="BJ73" s="77"/>
      <c r="BK73" s="77"/>
      <c r="BL73" s="77"/>
      <c r="BM73" s="77"/>
      <c r="BN73" s="77"/>
      <c r="BO73" s="77"/>
      <c r="BP73" s="53"/>
      <c r="BQ73" s="53"/>
      <c r="BR73" s="53"/>
      <c r="BS73" s="53"/>
      <c r="BT73" s="53"/>
      <c r="BU73" s="53"/>
      <c r="BV73" s="53"/>
      <c r="BW73" s="53"/>
      <c r="BX73" s="77"/>
      <c r="BY73" s="77"/>
      <c r="BZ73" s="77"/>
      <c r="CA73" s="77"/>
      <c r="CB73" s="77"/>
      <c r="CC73" s="77"/>
      <c r="CD73" s="77"/>
      <c r="CE73" s="77"/>
      <c r="CF73" s="53"/>
      <c r="CG73" s="53"/>
      <c r="CH73" s="53"/>
      <c r="CI73" s="53"/>
      <c r="CJ73" s="53"/>
      <c r="CK73" s="53"/>
      <c r="CL73" s="53"/>
      <c r="CM73" s="53"/>
      <c r="CN73" s="77"/>
      <c r="CO73" s="77"/>
      <c r="CP73" s="77"/>
    </row>
    <row r="74" spans="1:118" ht="14.25">
      <c r="O74" s="77"/>
      <c r="P74" s="77"/>
      <c r="Q74" s="77"/>
      <c r="R74" s="77"/>
      <c r="S74" s="77"/>
      <c r="T74" s="53"/>
      <c r="U74" s="53"/>
      <c r="V74" s="53"/>
      <c r="W74" s="53"/>
      <c r="X74" s="53"/>
      <c r="Y74" s="53"/>
      <c r="Z74" s="53"/>
      <c r="AA74" s="53"/>
      <c r="AB74" s="77"/>
      <c r="AC74" s="77"/>
      <c r="AD74" s="77"/>
      <c r="AE74" s="77"/>
      <c r="AF74" s="77"/>
      <c r="AG74" s="77"/>
      <c r="AH74" s="77"/>
      <c r="AI74" s="77"/>
      <c r="AJ74" s="53"/>
      <c r="AK74" s="53"/>
      <c r="AL74" s="53"/>
      <c r="AM74" s="53"/>
      <c r="AN74" s="53"/>
      <c r="AO74" s="53"/>
      <c r="AP74" s="53"/>
      <c r="AQ74" s="53"/>
      <c r="AR74" s="77"/>
      <c r="AS74" s="77"/>
      <c r="AT74" s="77"/>
      <c r="AU74" s="77"/>
      <c r="AV74" s="77"/>
      <c r="AW74" s="77"/>
      <c r="AX74" s="77"/>
      <c r="AY74" s="77"/>
      <c r="AZ74" s="53"/>
      <c r="BA74" s="53"/>
      <c r="BB74" s="53"/>
      <c r="BC74" s="53"/>
      <c r="BD74" s="53"/>
      <c r="BE74" s="53"/>
      <c r="BF74" s="53"/>
      <c r="BG74" s="53"/>
      <c r="BH74" s="77"/>
      <c r="BI74" s="77"/>
      <c r="BJ74" s="77"/>
      <c r="BK74" s="77"/>
      <c r="BL74" s="77"/>
      <c r="BM74" s="77"/>
      <c r="BN74" s="77"/>
      <c r="BO74" s="77"/>
      <c r="BP74" s="53"/>
      <c r="BQ74" s="53"/>
      <c r="BR74" s="53"/>
      <c r="BS74" s="53"/>
      <c r="BT74" s="53"/>
      <c r="BU74" s="53"/>
      <c r="BV74" s="53"/>
      <c r="BW74" s="53"/>
      <c r="BX74" s="77"/>
      <c r="BY74" s="77"/>
      <c r="BZ74" s="77"/>
      <c r="CA74" s="77"/>
      <c r="CB74" s="77"/>
      <c r="CC74" s="77"/>
      <c r="CD74" s="77"/>
      <c r="CE74" s="77"/>
      <c r="CF74" s="53"/>
      <c r="CG74" s="53"/>
      <c r="CH74" s="53"/>
      <c r="CI74" s="53"/>
      <c r="CJ74" s="53"/>
      <c r="CK74" s="53"/>
      <c r="CL74" s="53"/>
      <c r="CM74" s="53"/>
      <c r="CN74" s="77"/>
      <c r="CO74" s="77"/>
      <c r="CP74" s="77"/>
    </row>
    <row r="75" spans="1:118" ht="14.25">
      <c r="O75" s="77"/>
      <c r="P75" s="77"/>
      <c r="Q75" s="77"/>
      <c r="R75" s="77"/>
      <c r="S75" s="77"/>
      <c r="T75" s="53"/>
      <c r="U75" s="53"/>
      <c r="V75" s="53"/>
      <c r="W75" s="53"/>
      <c r="X75" s="53"/>
      <c r="Y75" s="53"/>
      <c r="Z75" s="53"/>
      <c r="AA75" s="53"/>
      <c r="AB75" s="77"/>
      <c r="AC75" s="77"/>
      <c r="AD75" s="77"/>
      <c r="AE75" s="77"/>
      <c r="AF75" s="77"/>
      <c r="AG75" s="77"/>
      <c r="AH75" s="77"/>
      <c r="AI75" s="77"/>
      <c r="AJ75" s="53"/>
      <c r="AK75" s="53"/>
      <c r="AL75" s="53"/>
      <c r="AM75" s="53"/>
      <c r="AN75" s="53"/>
      <c r="AO75" s="53"/>
      <c r="AP75" s="53"/>
      <c r="AQ75" s="53"/>
      <c r="AR75" s="77"/>
      <c r="AS75" s="77"/>
      <c r="AT75" s="77"/>
      <c r="AU75" s="77"/>
      <c r="AV75" s="77"/>
      <c r="AW75" s="77"/>
      <c r="AX75" s="77"/>
      <c r="AY75" s="77"/>
      <c r="AZ75" s="53"/>
      <c r="BA75" s="53"/>
      <c r="BB75" s="53"/>
      <c r="BC75" s="53"/>
      <c r="BD75" s="53"/>
      <c r="BE75" s="53"/>
      <c r="BF75" s="53"/>
      <c r="BG75" s="53"/>
      <c r="BH75" s="77"/>
      <c r="BI75" s="77"/>
      <c r="BJ75" s="77"/>
      <c r="BK75" s="77"/>
      <c r="BL75" s="77"/>
      <c r="BM75" s="77"/>
      <c r="BN75" s="77"/>
      <c r="BO75" s="77"/>
      <c r="BP75" s="53"/>
      <c r="BQ75" s="53"/>
      <c r="BR75" s="53"/>
      <c r="BS75" s="53"/>
      <c r="BT75" s="53"/>
      <c r="BU75" s="53"/>
      <c r="BV75" s="53"/>
      <c r="BW75" s="53"/>
      <c r="BX75" s="77"/>
      <c r="BY75" s="77"/>
      <c r="BZ75" s="77"/>
      <c r="CA75" s="77"/>
      <c r="CB75" s="77"/>
      <c r="CC75" s="77"/>
      <c r="CD75" s="77"/>
      <c r="CE75" s="77"/>
      <c r="CF75" s="53"/>
      <c r="CG75" s="53"/>
      <c r="CH75" s="53"/>
      <c r="CI75" s="53"/>
      <c r="CJ75" s="53"/>
      <c r="CK75" s="53"/>
      <c r="CL75" s="53"/>
      <c r="CM75" s="53"/>
      <c r="CN75" s="77"/>
      <c r="CO75" s="77"/>
      <c r="CP75" s="77"/>
    </row>
    <row r="76" spans="1:118" ht="14.25">
      <c r="O76" s="77"/>
      <c r="P76" s="77"/>
      <c r="Q76" s="77"/>
      <c r="R76" s="77"/>
      <c r="S76" s="77"/>
      <c r="T76" s="53"/>
      <c r="U76" s="53"/>
      <c r="V76" s="53"/>
      <c r="W76" s="53"/>
      <c r="X76" s="53"/>
      <c r="Y76" s="53"/>
      <c r="Z76" s="53"/>
      <c r="AA76" s="53"/>
      <c r="AB76" s="77"/>
      <c r="AC76" s="77"/>
      <c r="AD76" s="77"/>
      <c r="AE76" s="77"/>
      <c r="AF76" s="77"/>
      <c r="AG76" s="77"/>
      <c r="AH76" s="77"/>
      <c r="AI76" s="77"/>
      <c r="AJ76" s="53"/>
      <c r="AK76" s="53"/>
      <c r="AL76" s="53"/>
      <c r="AM76" s="53"/>
      <c r="AN76" s="53"/>
      <c r="AO76" s="53"/>
      <c r="AP76" s="53"/>
      <c r="AQ76" s="53"/>
      <c r="AR76" s="77"/>
      <c r="AS76" s="77"/>
      <c r="AT76" s="77"/>
      <c r="AU76" s="77"/>
      <c r="AV76" s="77"/>
      <c r="AW76" s="77"/>
      <c r="AX76" s="77"/>
      <c r="AY76" s="77"/>
      <c r="AZ76" s="53"/>
      <c r="BA76" s="53"/>
      <c r="BB76" s="53"/>
      <c r="BC76" s="53"/>
      <c r="BD76" s="53"/>
      <c r="BE76" s="53"/>
      <c r="BF76" s="53"/>
      <c r="BG76" s="53"/>
      <c r="BH76" s="77"/>
      <c r="BI76" s="77"/>
      <c r="BJ76" s="77"/>
      <c r="BK76" s="77"/>
      <c r="BL76" s="77"/>
      <c r="BM76" s="77"/>
      <c r="BN76" s="77"/>
      <c r="BO76" s="77"/>
      <c r="BP76" s="53"/>
      <c r="BQ76" s="53"/>
      <c r="BR76" s="53"/>
      <c r="BS76" s="53"/>
      <c r="BT76" s="53"/>
      <c r="BU76" s="53"/>
      <c r="BV76" s="53"/>
      <c r="BW76" s="53"/>
      <c r="BX76" s="77"/>
      <c r="BY76" s="77"/>
      <c r="BZ76" s="77"/>
      <c r="CA76" s="77"/>
      <c r="CB76" s="77"/>
      <c r="CC76" s="77"/>
      <c r="CD76" s="77"/>
      <c r="CE76" s="77"/>
      <c r="CF76" s="53"/>
      <c r="CG76" s="53"/>
      <c r="CH76" s="53"/>
      <c r="CI76" s="53"/>
      <c r="CJ76" s="53"/>
      <c r="CK76" s="53"/>
      <c r="CL76" s="53"/>
      <c r="CM76" s="53"/>
      <c r="CN76" s="77"/>
      <c r="CO76" s="77"/>
      <c r="CP76" s="77"/>
    </row>
    <row r="77" spans="1:118" ht="14.25">
      <c r="O77" s="77"/>
      <c r="P77" s="77"/>
      <c r="Q77" s="77"/>
      <c r="R77" s="77"/>
      <c r="S77" s="77"/>
      <c r="T77" s="53"/>
      <c r="U77" s="53"/>
      <c r="V77" s="53"/>
      <c r="W77" s="53"/>
      <c r="X77" s="53"/>
      <c r="Y77" s="53"/>
      <c r="Z77" s="53"/>
      <c r="AA77" s="53"/>
      <c r="AB77" s="77"/>
      <c r="AC77" s="77"/>
      <c r="AD77" s="77"/>
      <c r="AE77" s="77"/>
      <c r="AF77" s="77"/>
      <c r="AG77" s="77"/>
      <c r="AH77" s="77"/>
      <c r="AI77" s="77"/>
      <c r="AJ77" s="53"/>
      <c r="AK77" s="53"/>
      <c r="AL77" s="53"/>
      <c r="AM77" s="53"/>
      <c r="AN77" s="53"/>
      <c r="AO77" s="53"/>
      <c r="AP77" s="53"/>
      <c r="AQ77" s="53"/>
      <c r="AR77" s="77"/>
      <c r="AS77" s="77"/>
      <c r="AT77" s="77"/>
      <c r="AU77" s="77"/>
      <c r="AV77" s="77"/>
      <c r="AW77" s="77"/>
      <c r="AX77" s="77"/>
      <c r="AY77" s="77"/>
      <c r="AZ77" s="53"/>
      <c r="BA77" s="53"/>
      <c r="BB77" s="53"/>
      <c r="BC77" s="53"/>
      <c r="BD77" s="53"/>
      <c r="BE77" s="53"/>
      <c r="BF77" s="53"/>
      <c r="BG77" s="53"/>
      <c r="BH77" s="77"/>
      <c r="BI77" s="77"/>
      <c r="BJ77" s="77"/>
      <c r="BK77" s="77"/>
      <c r="BL77" s="77"/>
      <c r="BM77" s="77"/>
      <c r="BN77" s="77"/>
      <c r="BO77" s="77"/>
      <c r="BP77" s="53"/>
      <c r="BQ77" s="53"/>
      <c r="BR77" s="53"/>
      <c r="BS77" s="53"/>
      <c r="BT77" s="53"/>
      <c r="BU77" s="53"/>
      <c r="BV77" s="53"/>
      <c r="BW77" s="53"/>
      <c r="BX77" s="77"/>
      <c r="BY77" s="77"/>
      <c r="BZ77" s="77"/>
      <c r="CA77" s="77"/>
      <c r="CB77" s="77"/>
      <c r="CC77" s="77"/>
      <c r="CD77" s="77"/>
      <c r="CE77" s="77"/>
      <c r="CF77" s="53"/>
      <c r="CG77" s="53"/>
      <c r="CH77" s="53"/>
      <c r="CI77" s="53"/>
      <c r="CJ77" s="53"/>
      <c r="CK77" s="53"/>
      <c r="CL77" s="53"/>
      <c r="CM77" s="53"/>
      <c r="CN77" s="77"/>
      <c r="CO77" s="77"/>
      <c r="CP77" s="77"/>
    </row>
    <row r="78" spans="1:118" ht="14.25">
      <c r="O78" s="77"/>
      <c r="P78" s="77"/>
      <c r="Q78" s="77"/>
      <c r="R78" s="77"/>
      <c r="S78" s="77"/>
      <c r="T78" s="53"/>
      <c r="U78" s="53"/>
      <c r="V78" s="53"/>
      <c r="W78" s="53"/>
      <c r="X78" s="53"/>
      <c r="Y78" s="53"/>
      <c r="Z78" s="53"/>
      <c r="AA78" s="53"/>
      <c r="AB78" s="77"/>
      <c r="AC78" s="77"/>
      <c r="AD78" s="77"/>
      <c r="AE78" s="77"/>
      <c r="AF78" s="77"/>
      <c r="AG78" s="77"/>
      <c r="AH78" s="77"/>
      <c r="AI78" s="77"/>
      <c r="AJ78" s="53"/>
      <c r="AK78" s="53"/>
      <c r="AL78" s="53"/>
      <c r="AM78" s="53"/>
      <c r="AN78" s="53"/>
      <c r="AO78" s="53"/>
      <c r="AP78" s="53"/>
      <c r="AQ78" s="53"/>
      <c r="AR78" s="77"/>
      <c r="AS78" s="77"/>
      <c r="AT78" s="77"/>
      <c r="AU78" s="77"/>
      <c r="AV78" s="77"/>
      <c r="AW78" s="77"/>
      <c r="AX78" s="77"/>
      <c r="AY78" s="77"/>
      <c r="AZ78" s="53"/>
      <c r="BA78" s="53"/>
      <c r="BB78" s="53"/>
      <c r="BC78" s="53"/>
      <c r="BD78" s="53"/>
      <c r="BE78" s="53"/>
      <c r="BF78" s="53"/>
      <c r="BG78" s="53"/>
      <c r="BH78" s="77"/>
      <c r="BI78" s="77"/>
      <c r="BJ78" s="77"/>
      <c r="BK78" s="77"/>
      <c r="BL78" s="77"/>
      <c r="BM78" s="77"/>
      <c r="BN78" s="77"/>
      <c r="BO78" s="77"/>
      <c r="BP78" s="53"/>
      <c r="BQ78" s="53"/>
      <c r="BR78" s="53"/>
      <c r="BS78" s="53"/>
      <c r="BT78" s="53"/>
      <c r="BU78" s="53"/>
      <c r="BV78" s="53"/>
      <c r="BW78" s="53"/>
      <c r="BX78" s="77"/>
      <c r="BY78" s="77"/>
      <c r="BZ78" s="77"/>
      <c r="CA78" s="77"/>
      <c r="CB78" s="77"/>
      <c r="CC78" s="77"/>
      <c r="CD78" s="77"/>
      <c r="CE78" s="77"/>
      <c r="CF78" s="53"/>
      <c r="CG78" s="53"/>
      <c r="CH78" s="53"/>
      <c r="CI78" s="53"/>
      <c r="CJ78" s="53"/>
      <c r="CK78" s="53"/>
      <c r="CL78" s="53"/>
      <c r="CM78" s="53"/>
      <c r="CN78" s="77"/>
      <c r="CO78" s="77"/>
      <c r="CP78" s="77"/>
    </row>
    <row r="79" spans="1:118" ht="14.25">
      <c r="O79" s="77"/>
      <c r="P79" s="77"/>
      <c r="Q79" s="77"/>
      <c r="R79" s="77"/>
      <c r="S79" s="77"/>
      <c r="T79" s="53"/>
      <c r="U79" s="53"/>
      <c r="V79" s="53"/>
      <c r="W79" s="53"/>
      <c r="X79" s="53"/>
      <c r="Y79" s="53"/>
      <c r="Z79" s="53"/>
      <c r="AA79" s="53"/>
      <c r="AB79" s="77"/>
      <c r="AC79" s="77"/>
      <c r="AD79" s="77"/>
      <c r="AE79" s="77"/>
      <c r="AF79" s="77"/>
      <c r="AG79" s="77"/>
      <c r="AH79" s="77"/>
      <c r="AI79" s="77"/>
      <c r="AJ79" s="53"/>
      <c r="AK79" s="53"/>
      <c r="AL79" s="53"/>
      <c r="AM79" s="53"/>
      <c r="AN79" s="53"/>
      <c r="AO79" s="53"/>
      <c r="AP79" s="53"/>
      <c r="AQ79" s="53"/>
      <c r="AR79" s="77"/>
      <c r="AS79" s="77"/>
      <c r="AT79" s="77"/>
      <c r="AU79" s="77"/>
      <c r="AV79" s="77"/>
      <c r="AW79" s="77"/>
      <c r="AX79" s="77"/>
      <c r="AY79" s="77"/>
      <c r="AZ79" s="53"/>
      <c r="BA79" s="53"/>
      <c r="BB79" s="53"/>
      <c r="BC79" s="53"/>
      <c r="BD79" s="53"/>
      <c r="BE79" s="53"/>
      <c r="BF79" s="53"/>
      <c r="BG79" s="53"/>
      <c r="BH79" s="77"/>
      <c r="BI79" s="77"/>
      <c r="BJ79" s="77"/>
      <c r="BK79" s="77"/>
      <c r="BL79" s="77"/>
      <c r="BM79" s="77"/>
      <c r="BN79" s="77"/>
      <c r="BO79" s="77"/>
      <c r="BP79" s="53"/>
      <c r="BQ79" s="53"/>
      <c r="BR79" s="53"/>
      <c r="BS79" s="53"/>
      <c r="BT79" s="53"/>
      <c r="BU79" s="53"/>
      <c r="BV79" s="53"/>
      <c r="BW79" s="53"/>
      <c r="BX79" s="77"/>
      <c r="BY79" s="77"/>
      <c r="BZ79" s="77"/>
      <c r="CA79" s="77"/>
      <c r="CB79" s="77"/>
      <c r="CC79" s="77"/>
      <c r="CD79" s="77"/>
      <c r="CE79" s="77"/>
      <c r="CF79" s="53"/>
      <c r="CG79" s="53"/>
      <c r="CH79" s="53"/>
      <c r="CI79" s="53"/>
      <c r="CJ79" s="53"/>
      <c r="CK79" s="53"/>
      <c r="CL79" s="53"/>
      <c r="CM79" s="53"/>
      <c r="CN79" s="77"/>
      <c r="CO79" s="77"/>
      <c r="CP79" s="77"/>
    </row>
    <row r="80" spans="1:118" ht="14.25">
      <c r="O80" s="77"/>
      <c r="P80" s="77"/>
      <c r="Q80" s="77"/>
      <c r="R80" s="77"/>
      <c r="S80" s="77"/>
      <c r="T80" s="53"/>
      <c r="U80" s="53"/>
      <c r="V80" s="53"/>
      <c r="W80" s="53"/>
      <c r="X80" s="53"/>
      <c r="Y80" s="53"/>
      <c r="Z80" s="53"/>
      <c r="AA80" s="53"/>
      <c r="AB80" s="77"/>
      <c r="AC80" s="77"/>
      <c r="AD80" s="77"/>
      <c r="AE80" s="77"/>
      <c r="AF80" s="77"/>
      <c r="AG80" s="77"/>
      <c r="AH80" s="77"/>
      <c r="AI80" s="77"/>
      <c r="AJ80" s="53"/>
      <c r="AK80" s="53"/>
      <c r="AL80" s="53"/>
      <c r="AM80" s="53"/>
      <c r="AN80" s="53"/>
      <c r="AO80" s="53"/>
      <c r="AP80" s="53"/>
      <c r="AQ80" s="53"/>
      <c r="AR80" s="77"/>
      <c r="AS80" s="77"/>
      <c r="AT80" s="77"/>
      <c r="AU80" s="77"/>
      <c r="AV80" s="77"/>
      <c r="AW80" s="77"/>
      <c r="AX80" s="77"/>
      <c r="AY80" s="77"/>
      <c r="AZ80" s="53"/>
      <c r="BA80" s="53"/>
      <c r="BB80" s="53"/>
      <c r="BC80" s="53"/>
      <c r="BD80" s="53"/>
      <c r="BE80" s="53"/>
      <c r="BF80" s="53"/>
      <c r="BG80" s="53"/>
      <c r="BH80" s="77"/>
      <c r="BI80" s="77"/>
      <c r="BJ80" s="77"/>
      <c r="BK80" s="77"/>
      <c r="BL80" s="77"/>
      <c r="BM80" s="77"/>
      <c r="BN80" s="77"/>
      <c r="BO80" s="77"/>
      <c r="BP80" s="53"/>
      <c r="BQ80" s="53"/>
      <c r="BR80" s="53"/>
      <c r="BS80" s="53"/>
      <c r="BT80" s="53"/>
      <c r="BU80" s="53"/>
      <c r="BV80" s="53"/>
      <c r="BW80" s="53"/>
      <c r="BX80" s="77"/>
      <c r="BY80" s="77"/>
      <c r="BZ80" s="77"/>
      <c r="CA80" s="77"/>
      <c r="CB80" s="77"/>
      <c r="CC80" s="77"/>
      <c r="CD80" s="77"/>
      <c r="CE80" s="77"/>
      <c r="CF80" s="53"/>
      <c r="CG80" s="53"/>
      <c r="CH80" s="53"/>
      <c r="CI80" s="53"/>
      <c r="CJ80" s="53"/>
      <c r="CK80" s="53"/>
      <c r="CL80" s="53"/>
      <c r="CM80" s="53"/>
      <c r="CN80" s="77"/>
      <c r="CO80" s="77"/>
      <c r="CP80" s="77"/>
    </row>
    <row r="81" spans="15:94" ht="14.25">
      <c r="O81" s="77"/>
      <c r="P81" s="77"/>
      <c r="Q81" s="77"/>
      <c r="R81" s="77"/>
      <c r="S81" s="77"/>
      <c r="T81" s="53"/>
      <c r="U81" s="53"/>
      <c r="V81" s="53"/>
      <c r="W81" s="53"/>
      <c r="X81" s="53"/>
      <c r="Y81" s="53"/>
      <c r="Z81" s="53"/>
      <c r="AA81" s="53"/>
      <c r="AB81" s="77"/>
      <c r="AC81" s="77"/>
      <c r="AD81" s="77"/>
      <c r="AE81" s="77"/>
      <c r="AF81" s="77"/>
      <c r="AG81" s="77"/>
      <c r="AH81" s="77"/>
      <c r="AI81" s="77"/>
      <c r="AJ81" s="53"/>
      <c r="AK81" s="53"/>
      <c r="AL81" s="53"/>
      <c r="AM81" s="53"/>
      <c r="AN81" s="53"/>
      <c r="AO81" s="53"/>
      <c r="AP81" s="53"/>
      <c r="AQ81" s="53"/>
      <c r="AR81" s="77"/>
      <c r="AS81" s="77"/>
      <c r="AT81" s="77"/>
      <c r="AU81" s="77"/>
      <c r="AV81" s="77"/>
      <c r="AW81" s="77"/>
      <c r="AX81" s="77"/>
      <c r="AY81" s="77"/>
      <c r="AZ81" s="53"/>
      <c r="BA81" s="53"/>
      <c r="BB81" s="53"/>
      <c r="BC81" s="53"/>
      <c r="BD81" s="53"/>
      <c r="BE81" s="53"/>
      <c r="BF81" s="53"/>
      <c r="BG81" s="53"/>
      <c r="BH81" s="77"/>
      <c r="BI81" s="77"/>
      <c r="BJ81" s="77"/>
      <c r="BK81" s="77"/>
      <c r="BL81" s="77"/>
      <c r="BM81" s="77"/>
      <c r="BN81" s="77"/>
      <c r="BO81" s="77"/>
      <c r="BP81" s="53"/>
      <c r="BQ81" s="53"/>
      <c r="BR81" s="53"/>
      <c r="BS81" s="53"/>
      <c r="BT81" s="53"/>
      <c r="BU81" s="53"/>
      <c r="BV81" s="53"/>
      <c r="BW81" s="53"/>
      <c r="BX81" s="77"/>
      <c r="BY81" s="77"/>
      <c r="BZ81" s="77"/>
      <c r="CA81" s="77"/>
      <c r="CB81" s="77"/>
      <c r="CC81" s="77"/>
      <c r="CD81" s="77"/>
      <c r="CE81" s="77"/>
      <c r="CF81" s="53"/>
      <c r="CG81" s="53"/>
      <c r="CH81" s="53"/>
      <c r="CI81" s="53"/>
      <c r="CJ81" s="53"/>
      <c r="CK81" s="53"/>
      <c r="CL81" s="53"/>
      <c r="CM81" s="53"/>
      <c r="CN81" s="77"/>
      <c r="CO81" s="77"/>
      <c r="CP81" s="77"/>
    </row>
    <row r="82" spans="15:94" ht="14.25">
      <c r="O82" s="77"/>
      <c r="P82" s="77"/>
      <c r="Q82" s="77"/>
      <c r="R82" s="77"/>
      <c r="S82" s="77"/>
      <c r="T82" s="53"/>
      <c r="U82" s="53"/>
      <c r="V82" s="53"/>
      <c r="W82" s="53"/>
      <c r="X82" s="53"/>
      <c r="Y82" s="53"/>
      <c r="Z82" s="53"/>
      <c r="AA82" s="53"/>
      <c r="AB82" s="77"/>
      <c r="AC82" s="77"/>
      <c r="AD82" s="77"/>
      <c r="AE82" s="77"/>
      <c r="AF82" s="77"/>
      <c r="AG82" s="77"/>
      <c r="AH82" s="77"/>
      <c r="AI82" s="77"/>
      <c r="AJ82" s="53"/>
      <c r="AK82" s="53"/>
      <c r="AL82" s="53"/>
      <c r="AM82" s="53"/>
      <c r="AN82" s="53"/>
      <c r="AO82" s="53"/>
      <c r="AP82" s="53"/>
      <c r="AQ82" s="53"/>
      <c r="AR82" s="77"/>
      <c r="AS82" s="77"/>
      <c r="AT82" s="77"/>
      <c r="AU82" s="77"/>
      <c r="AV82" s="77"/>
      <c r="AW82" s="77"/>
      <c r="AX82" s="77"/>
      <c r="AY82" s="77"/>
      <c r="AZ82" s="53"/>
      <c r="BA82" s="53"/>
      <c r="BB82" s="53"/>
      <c r="BC82" s="53"/>
      <c r="BD82" s="53"/>
      <c r="BE82" s="53"/>
      <c r="BF82" s="53"/>
      <c r="BG82" s="53"/>
      <c r="BH82" s="77"/>
      <c r="BI82" s="77"/>
      <c r="BJ82" s="77"/>
      <c r="BK82" s="77"/>
      <c r="BL82" s="77"/>
      <c r="BM82" s="77"/>
      <c r="BN82" s="77"/>
      <c r="BO82" s="77"/>
      <c r="BP82" s="53"/>
      <c r="BQ82" s="53"/>
      <c r="BR82" s="53"/>
      <c r="BS82" s="53"/>
      <c r="BT82" s="53"/>
      <c r="BU82" s="53"/>
      <c r="BV82" s="53"/>
      <c r="BW82" s="53"/>
      <c r="BX82" s="77"/>
      <c r="BY82" s="77"/>
      <c r="BZ82" s="77"/>
      <c r="CA82" s="77"/>
      <c r="CB82" s="77"/>
      <c r="CC82" s="77"/>
      <c r="CD82" s="77"/>
      <c r="CE82" s="77"/>
      <c r="CF82" s="53"/>
      <c r="CG82" s="53"/>
      <c r="CH82" s="53"/>
      <c r="CI82" s="53"/>
      <c r="CJ82" s="53"/>
      <c r="CK82" s="53"/>
      <c r="CL82" s="53"/>
      <c r="CM82" s="53"/>
      <c r="CN82" s="77"/>
      <c r="CO82" s="77"/>
      <c r="CP82" s="77"/>
    </row>
    <row r="83" spans="15:94" ht="14.25">
      <c r="O83" s="77"/>
      <c r="P83" s="77"/>
      <c r="Q83" s="77"/>
      <c r="R83" s="77"/>
      <c r="S83" s="77"/>
      <c r="T83" s="53"/>
      <c r="U83" s="53"/>
      <c r="V83" s="53"/>
      <c r="W83" s="53"/>
      <c r="X83" s="53"/>
      <c r="Y83" s="53"/>
      <c r="Z83" s="53"/>
      <c r="AA83" s="53"/>
      <c r="AB83" s="77"/>
      <c r="AC83" s="77"/>
      <c r="AD83" s="77"/>
      <c r="AE83" s="77"/>
      <c r="AF83" s="77"/>
      <c r="AG83" s="77"/>
      <c r="AH83" s="77"/>
      <c r="AI83" s="77"/>
      <c r="AJ83" s="53"/>
      <c r="AK83" s="53"/>
      <c r="AL83" s="53"/>
      <c r="AM83" s="53"/>
      <c r="AN83" s="53"/>
      <c r="AO83" s="53"/>
      <c r="AP83" s="53"/>
      <c r="AQ83" s="53"/>
      <c r="AR83" s="77"/>
      <c r="AS83" s="77"/>
      <c r="AT83" s="77"/>
      <c r="AU83" s="77"/>
      <c r="AV83" s="77"/>
      <c r="AW83" s="77"/>
      <c r="AX83" s="77"/>
      <c r="AY83" s="77"/>
      <c r="AZ83" s="53"/>
      <c r="BA83" s="53"/>
      <c r="BB83" s="53"/>
      <c r="BC83" s="53"/>
      <c r="BD83" s="53"/>
      <c r="BE83" s="53"/>
      <c r="BF83" s="53"/>
      <c r="BG83" s="53"/>
      <c r="BH83" s="77"/>
      <c r="BI83" s="77"/>
      <c r="BJ83" s="77"/>
      <c r="BK83" s="77"/>
      <c r="BL83" s="77"/>
      <c r="BM83" s="77"/>
      <c r="BN83" s="77"/>
      <c r="BO83" s="77"/>
      <c r="BP83" s="53"/>
      <c r="BQ83" s="53"/>
      <c r="BR83" s="53"/>
      <c r="BS83" s="53"/>
      <c r="BT83" s="53"/>
      <c r="BU83" s="53"/>
      <c r="BV83" s="53"/>
      <c r="BW83" s="53"/>
      <c r="BX83" s="77"/>
      <c r="BY83" s="77"/>
      <c r="BZ83" s="77"/>
      <c r="CA83" s="77"/>
      <c r="CB83" s="77"/>
      <c r="CC83" s="77"/>
      <c r="CD83" s="77"/>
      <c r="CE83" s="77"/>
      <c r="CF83" s="53"/>
      <c r="CG83" s="53"/>
      <c r="CH83" s="53"/>
      <c r="CI83" s="53"/>
      <c r="CJ83" s="53"/>
      <c r="CK83" s="53"/>
      <c r="CL83" s="53"/>
      <c r="CM83" s="53"/>
      <c r="CN83" s="77"/>
      <c r="CO83" s="77"/>
      <c r="CP83" s="77"/>
    </row>
    <row r="84" spans="15:94" ht="14.25">
      <c r="O84" s="77"/>
      <c r="P84" s="77"/>
      <c r="Q84" s="77"/>
      <c r="R84" s="77"/>
      <c r="S84" s="77"/>
      <c r="T84" s="53"/>
      <c r="U84" s="53"/>
      <c r="V84" s="53"/>
      <c r="W84" s="53"/>
      <c r="X84" s="53"/>
      <c r="Y84" s="53"/>
      <c r="Z84" s="53"/>
      <c r="AA84" s="53"/>
      <c r="AB84" s="77"/>
      <c r="AC84" s="77"/>
      <c r="AD84" s="77"/>
      <c r="AE84" s="77"/>
      <c r="AF84" s="77"/>
      <c r="AG84" s="77"/>
      <c r="AH84" s="77"/>
      <c r="AI84" s="77"/>
      <c r="AJ84" s="53"/>
      <c r="AK84" s="53"/>
      <c r="AL84" s="53"/>
      <c r="AM84" s="53"/>
      <c r="AN84" s="53"/>
      <c r="AO84" s="53"/>
      <c r="AP84" s="53"/>
      <c r="AQ84" s="53"/>
      <c r="AR84" s="77"/>
      <c r="AS84" s="77"/>
      <c r="AT84" s="77"/>
      <c r="AU84" s="77"/>
      <c r="AV84" s="77"/>
      <c r="AW84" s="77"/>
      <c r="AX84" s="77"/>
      <c r="AY84" s="77"/>
      <c r="AZ84" s="53"/>
      <c r="BA84" s="53"/>
      <c r="BB84" s="53"/>
      <c r="BC84" s="53"/>
      <c r="BD84" s="53"/>
      <c r="BE84" s="53"/>
      <c r="BF84" s="53"/>
      <c r="BG84" s="53"/>
      <c r="BH84" s="77"/>
      <c r="BI84" s="77"/>
      <c r="BJ84" s="77"/>
      <c r="BK84" s="77"/>
      <c r="BL84" s="77"/>
      <c r="BM84" s="77"/>
      <c r="BN84" s="77"/>
      <c r="BO84" s="77"/>
      <c r="BP84" s="53"/>
      <c r="BQ84" s="53"/>
      <c r="BR84" s="53"/>
      <c r="BS84" s="53"/>
      <c r="BT84" s="53"/>
      <c r="BU84" s="53"/>
      <c r="BV84" s="53"/>
      <c r="BW84" s="53"/>
      <c r="BX84" s="77"/>
      <c r="BY84" s="77"/>
      <c r="BZ84" s="77"/>
      <c r="CA84" s="77"/>
      <c r="CB84" s="77"/>
      <c r="CC84" s="77"/>
      <c r="CD84" s="77"/>
      <c r="CE84" s="77"/>
      <c r="CF84" s="53"/>
      <c r="CG84" s="53"/>
      <c r="CH84" s="53"/>
      <c r="CI84" s="53"/>
      <c r="CJ84" s="53"/>
      <c r="CK84" s="53"/>
      <c r="CL84" s="53"/>
      <c r="CM84" s="53"/>
      <c r="CN84" s="77"/>
      <c r="CO84" s="77"/>
      <c r="CP84" s="77"/>
    </row>
    <row r="85" spans="15:94" ht="14.25">
      <c r="P85" s="2"/>
      <c r="Q85" s="2"/>
      <c r="R85" s="2"/>
    </row>
    <row r="86" spans="15:94" ht="14.25">
      <c r="P86" s="313"/>
      <c r="Q86" s="313"/>
      <c r="R86" s="313"/>
    </row>
    <row r="87" spans="15:94" ht="14.25">
      <c r="P87" s="313"/>
      <c r="Q87" s="313"/>
      <c r="R87" s="313"/>
    </row>
    <row r="88" spans="15:94" ht="14.25">
      <c r="P88" s="313"/>
      <c r="Q88" s="313"/>
      <c r="R88" s="313"/>
    </row>
    <row r="89" spans="15:94" ht="14.25">
      <c r="P89" s="313"/>
      <c r="Q89" s="313"/>
      <c r="R89" s="313"/>
    </row>
    <row r="90" spans="15:94" ht="14.25">
      <c r="P90" s="313"/>
      <c r="Q90" s="313"/>
      <c r="R90" s="313"/>
    </row>
    <row r="91" spans="15:94" ht="14.25">
      <c r="P91" s="313"/>
      <c r="Q91" s="313"/>
      <c r="R91" s="313"/>
    </row>
    <row r="92" spans="15:94" ht="14.25">
      <c r="P92" s="313"/>
      <c r="Q92" s="313"/>
      <c r="R92" s="313"/>
    </row>
    <row r="93" spans="15:94" ht="14.25">
      <c r="P93" s="313"/>
      <c r="Q93" s="313"/>
      <c r="R93" s="313"/>
    </row>
    <row r="94" spans="15:94" ht="14.25">
      <c r="P94" s="313"/>
      <c r="Q94" s="313"/>
      <c r="R94" s="313"/>
    </row>
    <row r="95" spans="15:94" ht="14.25">
      <c r="P95" s="313"/>
      <c r="Q95" s="313"/>
      <c r="R95" s="313"/>
    </row>
    <row r="96" spans="15:94" ht="14.25">
      <c r="P96" s="313"/>
      <c r="Q96" s="313"/>
      <c r="R96" s="313"/>
    </row>
    <row r="97" spans="16:18" ht="14.25">
      <c r="P97" s="313"/>
      <c r="Q97" s="313"/>
      <c r="R97" s="313"/>
    </row>
    <row r="98" spans="16:18" ht="14.25">
      <c r="P98" s="313"/>
      <c r="Q98" s="313"/>
      <c r="R98" s="313"/>
    </row>
    <row r="99" spans="16:18" ht="14.25">
      <c r="P99" s="313"/>
      <c r="Q99" s="313"/>
      <c r="R99" s="313"/>
    </row>
    <row r="100" spans="16:18" ht="14.25">
      <c r="P100" s="313"/>
      <c r="Q100" s="313"/>
      <c r="R100" s="313"/>
    </row>
    <row r="101" spans="16:18" ht="14.25">
      <c r="P101" s="313"/>
      <c r="Q101" s="313"/>
      <c r="R101" s="313"/>
    </row>
    <row r="102" spans="16:18" ht="14.25">
      <c r="P102" s="313"/>
      <c r="Q102" s="313"/>
      <c r="R102" s="313"/>
    </row>
    <row r="103" spans="16:18" ht="14.25">
      <c r="P103" s="313"/>
      <c r="Q103" s="313"/>
      <c r="R103" s="313"/>
    </row>
    <row r="104" spans="16:18" ht="14.25">
      <c r="P104" s="313"/>
      <c r="Q104" s="313"/>
      <c r="R104" s="313"/>
    </row>
    <row r="105" spans="16:18" ht="14.25">
      <c r="P105" s="313"/>
      <c r="Q105" s="313"/>
      <c r="R105" s="313"/>
    </row>
    <row r="106" spans="16:18" ht="14.25">
      <c r="P106" s="313"/>
      <c r="Q106" s="313"/>
      <c r="R106" s="313"/>
    </row>
    <row r="107" spans="16:18" ht="14.25">
      <c r="P107" s="313"/>
      <c r="Q107" s="313"/>
      <c r="R107" s="313"/>
    </row>
    <row r="108" spans="16:18" ht="14.25">
      <c r="P108" s="313"/>
      <c r="Q108" s="313"/>
      <c r="R108" s="313"/>
    </row>
    <row r="109" spans="16:18" ht="14.25">
      <c r="P109" s="313"/>
      <c r="Q109" s="313"/>
      <c r="R109" s="313"/>
    </row>
    <row r="110" spans="16:18" ht="14.25">
      <c r="P110" s="313"/>
      <c r="Q110" s="313"/>
      <c r="R110" s="313"/>
    </row>
    <row r="111" spans="16:18" ht="14.25">
      <c r="P111" s="313"/>
      <c r="Q111" s="313"/>
      <c r="R111" s="313"/>
    </row>
    <row r="112" spans="16:18" ht="14.25">
      <c r="P112" s="313"/>
      <c r="Q112" s="313"/>
      <c r="R112" s="313"/>
    </row>
    <row r="113" spans="16:18" ht="14.25">
      <c r="P113" s="313"/>
      <c r="Q113" s="313"/>
      <c r="R113" s="313"/>
    </row>
    <row r="114" spans="16:18" ht="14.25">
      <c r="P114" s="313"/>
      <c r="Q114" s="313"/>
      <c r="R114" s="313"/>
    </row>
    <row r="115" spans="16:18" ht="14.25">
      <c r="P115" s="313"/>
      <c r="Q115" s="313"/>
      <c r="R115" s="313"/>
    </row>
    <row r="116" spans="16:18" ht="14.25">
      <c r="P116" s="313"/>
      <c r="Q116" s="313"/>
      <c r="R116" s="313"/>
    </row>
    <row r="117" spans="16:18" ht="14.25">
      <c r="P117" s="313"/>
      <c r="Q117" s="313"/>
      <c r="R117" s="313"/>
    </row>
    <row r="118" spans="16:18" ht="14.25">
      <c r="P118" s="313"/>
      <c r="Q118" s="313"/>
      <c r="R118" s="313"/>
    </row>
    <row r="119" spans="16:18" ht="14.25">
      <c r="P119" s="313"/>
      <c r="Q119" s="313"/>
      <c r="R119" s="313"/>
    </row>
    <row r="120" spans="16:18" ht="14.25">
      <c r="P120" s="313"/>
      <c r="Q120" s="313"/>
      <c r="R120" s="313"/>
    </row>
    <row r="121" spans="16:18" ht="14.25">
      <c r="P121" s="313"/>
      <c r="Q121" s="313"/>
      <c r="R121" s="313"/>
    </row>
    <row r="122" spans="16:18" ht="14.25">
      <c r="P122" s="313"/>
      <c r="Q122" s="313"/>
      <c r="R122" s="313"/>
    </row>
    <row r="123" spans="16:18" ht="14.25">
      <c r="P123" s="313"/>
      <c r="Q123" s="313"/>
      <c r="R123" s="313"/>
    </row>
    <row r="124" spans="16:18" ht="14.25">
      <c r="P124" s="313"/>
      <c r="Q124" s="313"/>
      <c r="R124" s="313"/>
    </row>
    <row r="125" spans="16:18" ht="14.25">
      <c r="P125" s="313"/>
      <c r="Q125" s="313"/>
      <c r="R125" s="313"/>
    </row>
    <row r="126" spans="16:18" ht="14.25">
      <c r="P126" s="313"/>
      <c r="Q126" s="313"/>
      <c r="R126" s="313"/>
    </row>
    <row r="127" spans="16:18" ht="14.25">
      <c r="P127" s="313"/>
      <c r="Q127" s="313"/>
      <c r="R127" s="313"/>
    </row>
    <row r="128" spans="16:18" ht="14.25">
      <c r="P128" s="313"/>
      <c r="Q128" s="313"/>
      <c r="R128" s="313"/>
    </row>
    <row r="129" spans="16:18" ht="14.25">
      <c r="P129" s="313"/>
      <c r="Q129" s="313"/>
      <c r="R129" s="313"/>
    </row>
    <row r="130" spans="16:18" ht="14.25">
      <c r="P130" s="313"/>
      <c r="Q130" s="313"/>
      <c r="R130" s="313"/>
    </row>
    <row r="131" spans="16:18" ht="14.25">
      <c r="P131" s="313"/>
      <c r="Q131" s="313"/>
      <c r="R131" s="313"/>
    </row>
    <row r="132" spans="16:18" ht="14.25">
      <c r="P132" s="313"/>
      <c r="Q132" s="313"/>
      <c r="R132" s="313"/>
    </row>
    <row r="133" spans="16:18" ht="14.25">
      <c r="P133" s="313"/>
      <c r="Q133" s="313"/>
      <c r="R133" s="313"/>
    </row>
    <row r="134" spans="16:18" ht="14.25">
      <c r="P134" s="313"/>
      <c r="Q134" s="313"/>
      <c r="R134" s="313"/>
    </row>
    <row r="135" spans="16:18" ht="14.25">
      <c r="P135" s="313"/>
      <c r="Q135" s="313"/>
      <c r="R135" s="313"/>
    </row>
    <row r="136" spans="16:18" ht="14.25">
      <c r="P136" s="313"/>
      <c r="Q136" s="313"/>
      <c r="R136" s="313"/>
    </row>
    <row r="137" spans="16:18" ht="14.25">
      <c r="P137" s="313"/>
      <c r="Q137" s="313"/>
      <c r="R137" s="313"/>
    </row>
    <row r="138" spans="16:18" ht="14.25">
      <c r="P138" s="313"/>
      <c r="Q138" s="313"/>
      <c r="R138" s="313"/>
    </row>
    <row r="139" spans="16:18" ht="14.25">
      <c r="P139" s="313"/>
      <c r="Q139" s="313"/>
      <c r="R139" s="313"/>
    </row>
    <row r="140" spans="16:18" ht="14.25">
      <c r="P140" s="313"/>
      <c r="Q140" s="313"/>
      <c r="R140" s="313"/>
    </row>
    <row r="141" spans="16:18" ht="14.25">
      <c r="P141" s="313"/>
      <c r="Q141" s="313"/>
      <c r="R141" s="313"/>
    </row>
    <row r="142" spans="16:18" ht="14.25">
      <c r="P142" s="313"/>
      <c r="Q142" s="313"/>
      <c r="R142" s="313"/>
    </row>
    <row r="143" spans="16:18" ht="14.25">
      <c r="P143" s="313"/>
      <c r="Q143" s="313"/>
      <c r="R143" s="313"/>
    </row>
    <row r="144" spans="16:18" ht="14.25">
      <c r="P144" s="313"/>
      <c r="Q144" s="313"/>
      <c r="R144" s="313"/>
    </row>
    <row r="145" spans="16:18" ht="14.25">
      <c r="P145" s="313"/>
      <c r="Q145" s="313"/>
      <c r="R145" s="313"/>
    </row>
    <row r="146" spans="16:18" ht="14.25">
      <c r="P146" s="313"/>
      <c r="Q146" s="313"/>
      <c r="R146" s="313"/>
    </row>
    <row r="147" spans="16:18" ht="14.25">
      <c r="P147" s="313"/>
      <c r="Q147" s="313"/>
      <c r="R147" s="313"/>
    </row>
    <row r="148" spans="16:18" ht="14.25">
      <c r="P148" s="313"/>
      <c r="Q148" s="313"/>
      <c r="R148" s="313"/>
    </row>
    <row r="149" spans="16:18" ht="14.25">
      <c r="P149" s="313"/>
      <c r="Q149" s="313"/>
      <c r="R149" s="313"/>
    </row>
    <row r="150" spans="16:18" ht="14.25">
      <c r="P150" s="313"/>
      <c r="Q150" s="313"/>
      <c r="R150" s="313"/>
    </row>
    <row r="151" spans="16:18" ht="14.25">
      <c r="P151" s="313"/>
      <c r="Q151" s="313"/>
      <c r="R151" s="313"/>
    </row>
    <row r="152" spans="16:18" ht="14.25">
      <c r="P152" s="313"/>
      <c r="Q152" s="313"/>
      <c r="R152" s="313"/>
    </row>
    <row r="153" spans="16:18" ht="14.25">
      <c r="P153" s="313"/>
      <c r="Q153" s="313"/>
      <c r="R153" s="313"/>
    </row>
    <row r="154" spans="16:18" ht="14.25">
      <c r="P154" s="313"/>
      <c r="Q154" s="313"/>
      <c r="R154" s="313"/>
    </row>
    <row r="155" spans="16:18" ht="14.25">
      <c r="P155" s="313"/>
      <c r="Q155" s="313"/>
      <c r="R155" s="313"/>
    </row>
    <row r="156" spans="16:18" ht="14.25">
      <c r="P156" s="313"/>
      <c r="Q156" s="313"/>
      <c r="R156" s="313"/>
    </row>
    <row r="157" spans="16:18" ht="14.25">
      <c r="P157" s="313"/>
      <c r="Q157" s="313"/>
      <c r="R157" s="313"/>
    </row>
    <row r="158" spans="16:18" ht="14.25">
      <c r="P158" s="313"/>
      <c r="Q158" s="313"/>
      <c r="R158" s="313"/>
    </row>
    <row r="159" spans="16:18" ht="14.25">
      <c r="P159" s="313"/>
      <c r="Q159" s="313"/>
      <c r="R159" s="313"/>
    </row>
    <row r="160" spans="16:18" ht="14.25">
      <c r="P160" s="313"/>
      <c r="Q160" s="313"/>
      <c r="R160" s="313"/>
    </row>
    <row r="161" spans="16:18" ht="14.25">
      <c r="P161" s="313"/>
      <c r="Q161" s="313"/>
      <c r="R161" s="313"/>
    </row>
    <row r="162" spans="16:18" ht="14.25">
      <c r="P162" s="313"/>
      <c r="Q162" s="313"/>
      <c r="R162" s="313"/>
    </row>
    <row r="163" spans="16:18" ht="14.25">
      <c r="P163" s="313"/>
      <c r="Q163" s="313"/>
      <c r="R163" s="313"/>
    </row>
    <row r="164" spans="16:18" ht="14.25">
      <c r="P164" s="313"/>
      <c r="Q164" s="313"/>
      <c r="R164" s="313"/>
    </row>
    <row r="165" spans="16:18" ht="14.25">
      <c r="P165" s="313"/>
      <c r="Q165" s="313"/>
      <c r="R165" s="313"/>
    </row>
    <row r="166" spans="16:18" ht="14.25">
      <c r="P166" s="313"/>
      <c r="Q166" s="313"/>
      <c r="R166" s="313"/>
    </row>
    <row r="167" spans="16:18" ht="14.25">
      <c r="P167" s="313"/>
      <c r="Q167" s="313"/>
      <c r="R167" s="313"/>
    </row>
    <row r="168" spans="16:18" ht="14.25">
      <c r="P168" s="313"/>
      <c r="Q168" s="313"/>
      <c r="R168" s="313"/>
    </row>
    <row r="169" spans="16:18" ht="14.25">
      <c r="P169" s="313"/>
      <c r="Q169" s="313"/>
      <c r="R169" s="313"/>
    </row>
    <row r="170" spans="16:18" ht="14.25">
      <c r="P170" s="313"/>
      <c r="Q170" s="313"/>
      <c r="R170" s="313"/>
    </row>
    <row r="171" spans="16:18" ht="14.25">
      <c r="P171" s="313"/>
      <c r="Q171" s="313"/>
      <c r="R171" s="313"/>
    </row>
    <row r="172" spans="16:18" ht="14.25">
      <c r="P172" s="313"/>
      <c r="Q172" s="313"/>
      <c r="R172" s="313"/>
    </row>
    <row r="173" spans="16:18" ht="14.25">
      <c r="P173" s="313"/>
      <c r="Q173" s="313"/>
      <c r="R173" s="313"/>
    </row>
    <row r="174" spans="16:18" ht="14.25">
      <c r="P174" s="313"/>
      <c r="Q174" s="313"/>
      <c r="R174" s="313"/>
    </row>
    <row r="175" spans="16:18" ht="14.25">
      <c r="P175" s="313"/>
      <c r="Q175" s="313"/>
      <c r="R175" s="313"/>
    </row>
    <row r="176" spans="16:18" ht="14.25">
      <c r="P176" s="313"/>
      <c r="Q176" s="313"/>
      <c r="R176" s="313"/>
    </row>
    <row r="177" spans="16:18" ht="14.25">
      <c r="P177" s="313"/>
      <c r="Q177" s="313"/>
      <c r="R177" s="313"/>
    </row>
    <row r="178" spans="16:18" ht="14.25">
      <c r="P178" s="313"/>
      <c r="Q178" s="313"/>
      <c r="R178" s="313"/>
    </row>
    <row r="179" spans="16:18" ht="14.25">
      <c r="P179" s="313"/>
      <c r="Q179" s="313"/>
      <c r="R179" s="313"/>
    </row>
    <row r="180" spans="16:18" ht="14.25">
      <c r="P180" s="313"/>
      <c r="Q180" s="313"/>
      <c r="R180" s="313"/>
    </row>
    <row r="181" spans="16:18" ht="14.25">
      <c r="P181" s="313"/>
      <c r="Q181" s="313"/>
      <c r="R181" s="313"/>
    </row>
    <row r="182" spans="16:18" ht="14.25">
      <c r="P182" s="313"/>
      <c r="Q182" s="313"/>
      <c r="R182" s="313"/>
    </row>
    <row r="183" spans="16:18" ht="14.25">
      <c r="P183" s="313"/>
      <c r="Q183" s="313"/>
      <c r="R183" s="313"/>
    </row>
    <row r="184" spans="16:18" ht="14.25">
      <c r="P184" s="313"/>
      <c r="Q184" s="313"/>
      <c r="R184" s="313"/>
    </row>
    <row r="185" spans="16:18" ht="14.25">
      <c r="P185" s="313"/>
      <c r="Q185" s="313"/>
      <c r="R185" s="313"/>
    </row>
    <row r="186" spans="16:18" ht="14.25">
      <c r="P186" s="313"/>
      <c r="Q186" s="313"/>
      <c r="R186" s="313"/>
    </row>
    <row r="187" spans="16:18" ht="14.25">
      <c r="P187" s="313"/>
      <c r="Q187" s="313"/>
      <c r="R187" s="313"/>
    </row>
    <row r="188" spans="16:18" ht="14.25">
      <c r="P188" s="313"/>
      <c r="Q188" s="313"/>
      <c r="R188" s="313"/>
    </row>
    <row r="189" spans="16:18" ht="14.25">
      <c r="P189" s="313"/>
      <c r="Q189" s="313"/>
      <c r="R189" s="313"/>
    </row>
    <row r="190" spans="16:18" ht="14.25">
      <c r="P190" s="313"/>
      <c r="Q190" s="313"/>
      <c r="R190" s="313"/>
    </row>
    <row r="191" spans="16:18" ht="14.25">
      <c r="P191" s="313"/>
      <c r="Q191" s="313"/>
      <c r="R191" s="313"/>
    </row>
    <row r="192" spans="16:18" ht="14.25">
      <c r="P192" s="313"/>
      <c r="Q192" s="313"/>
      <c r="R192" s="313"/>
    </row>
    <row r="193" spans="16:18" ht="14.25">
      <c r="P193" s="313"/>
      <c r="Q193" s="313"/>
      <c r="R193" s="313"/>
    </row>
    <row r="194" spans="16:18" ht="14.25">
      <c r="P194" s="313"/>
      <c r="Q194" s="313"/>
      <c r="R194" s="313"/>
    </row>
    <row r="195" spans="16:18" ht="14.25">
      <c r="P195" s="313"/>
      <c r="Q195" s="313"/>
      <c r="R195" s="313"/>
    </row>
    <row r="196" spans="16:18" ht="14.25">
      <c r="P196" s="313"/>
      <c r="Q196" s="313"/>
      <c r="R196" s="313"/>
    </row>
    <row r="197" spans="16:18" ht="14.25">
      <c r="P197" s="313"/>
      <c r="Q197" s="313"/>
      <c r="R197" s="313"/>
    </row>
    <row r="198" spans="16:18" ht="14.25">
      <c r="P198" s="313"/>
      <c r="Q198" s="313"/>
      <c r="R198" s="313"/>
    </row>
    <row r="199" spans="16:18" ht="14.25">
      <c r="P199" s="313"/>
      <c r="Q199" s="313"/>
      <c r="R199" s="313"/>
    </row>
    <row r="200" spans="16:18" ht="14.25">
      <c r="P200" s="313"/>
      <c r="Q200" s="313"/>
      <c r="R200" s="313"/>
    </row>
    <row r="201" spans="16:18" ht="14.25">
      <c r="P201" s="313"/>
      <c r="Q201" s="313"/>
      <c r="R201" s="313"/>
    </row>
    <row r="202" spans="16:18" ht="14.25">
      <c r="P202" s="313"/>
      <c r="Q202" s="313"/>
      <c r="R202" s="313"/>
    </row>
    <row r="203" spans="16:18" ht="14.25">
      <c r="P203" s="313"/>
      <c r="Q203" s="313"/>
      <c r="R203" s="313"/>
    </row>
    <row r="204" spans="16:18" ht="14.25">
      <c r="P204" s="313"/>
      <c r="Q204" s="313"/>
      <c r="R204" s="313"/>
    </row>
    <row r="205" spans="16:18" ht="14.25">
      <c r="P205" s="313"/>
      <c r="Q205" s="313"/>
      <c r="R205" s="313"/>
    </row>
  </sheetData>
  <mergeCells count="209">
    <mergeCell ref="AF35:AF36"/>
    <mergeCell ref="AK35:AK36"/>
    <mergeCell ref="A28:A31"/>
    <mergeCell ref="B28:B31"/>
    <mergeCell ref="A32:A34"/>
    <mergeCell ref="P53:P56"/>
    <mergeCell ref="Q53:Q56"/>
    <mergeCell ref="R53:R56"/>
    <mergeCell ref="K53:K56"/>
    <mergeCell ref="M53:M56"/>
    <mergeCell ref="O53:O56"/>
    <mergeCell ref="H53:H56"/>
    <mergeCell ref="N53:N56"/>
    <mergeCell ref="K50:K51"/>
    <mergeCell ref="M50:M51"/>
    <mergeCell ref="K46:K47"/>
    <mergeCell ref="M46:M47"/>
    <mergeCell ref="B32:B34"/>
    <mergeCell ref="A35:A36"/>
    <mergeCell ref="B35:B36"/>
    <mergeCell ref="K35:K36"/>
    <mergeCell ref="M35:M36"/>
    <mergeCell ref="X35:X36"/>
    <mergeCell ref="AC35:AC36"/>
    <mergeCell ref="A5:A8"/>
    <mergeCell ref="B5:B8"/>
    <mergeCell ref="T2:Z2"/>
    <mergeCell ref="AB2:AH2"/>
    <mergeCell ref="AJ2:AP2"/>
    <mergeCell ref="AR2:AX2"/>
    <mergeCell ref="AZ2:BF2"/>
    <mergeCell ref="A23:A27"/>
    <mergeCell ref="B23:B27"/>
    <mergeCell ref="K20:K21"/>
    <mergeCell ref="M20:M21"/>
    <mergeCell ref="A20:A21"/>
    <mergeCell ref="B20:B21"/>
    <mergeCell ref="I20:I21"/>
    <mergeCell ref="U20:U21"/>
    <mergeCell ref="A9:A11"/>
    <mergeCell ref="B9:B11"/>
    <mergeCell ref="A12:A14"/>
    <mergeCell ref="B12:B14"/>
    <mergeCell ref="A17:A19"/>
    <mergeCell ref="B17:B19"/>
    <mergeCell ref="K17:K19"/>
    <mergeCell ref="M17:M19"/>
    <mergeCell ref="CJ17:CJ19"/>
    <mergeCell ref="BT17:BT19"/>
    <mergeCell ref="BY17:BY19"/>
    <mergeCell ref="CB17:CB19"/>
    <mergeCell ref="CG17:CG19"/>
    <mergeCell ref="I17:I19"/>
    <mergeCell ref="U17:U19"/>
    <mergeCell ref="BX2:CD2"/>
    <mergeCell ref="CF2:CL2"/>
    <mergeCell ref="BH2:BN2"/>
    <mergeCell ref="BP2:BV2"/>
    <mergeCell ref="J2:O2"/>
    <mergeCell ref="CN2:CT2"/>
    <mergeCell ref="X17:X19"/>
    <mergeCell ref="AC17:AC19"/>
    <mergeCell ref="AF17:AF19"/>
    <mergeCell ref="AK17:AK19"/>
    <mergeCell ref="CO17:CO19"/>
    <mergeCell ref="CR17:CR19"/>
    <mergeCell ref="X20:X21"/>
    <mergeCell ref="AC20:AC21"/>
    <mergeCell ref="AF20:AF21"/>
    <mergeCell ref="BL17:BL19"/>
    <mergeCell ref="BQ17:BQ19"/>
    <mergeCell ref="AN17:AN19"/>
    <mergeCell ref="AS17:AS19"/>
    <mergeCell ref="AV17:AV19"/>
    <mergeCell ref="BA17:BA19"/>
    <mergeCell ref="BD17:BD19"/>
    <mergeCell ref="BI17:BI19"/>
    <mergeCell ref="CG20:CG21"/>
    <mergeCell ref="CJ20:CJ21"/>
    <mergeCell ref="CO20:CO21"/>
    <mergeCell ref="CR20:CR21"/>
    <mergeCell ref="BI20:BI21"/>
    <mergeCell ref="BL20:BL21"/>
    <mergeCell ref="BQ20:BQ21"/>
    <mergeCell ref="BT20:BT21"/>
    <mergeCell ref="BY20:BY21"/>
    <mergeCell ref="CB20:CB21"/>
    <mergeCell ref="AK20:AK21"/>
    <mergeCell ref="AN20:AN21"/>
    <mergeCell ref="AS20:AS21"/>
    <mergeCell ref="AV20:AV21"/>
    <mergeCell ref="BA20:BA21"/>
    <mergeCell ref="BD20:BD21"/>
    <mergeCell ref="CJ35:CJ36"/>
    <mergeCell ref="CO35:CO36"/>
    <mergeCell ref="CR35:CR36"/>
    <mergeCell ref="A38:A39"/>
    <mergeCell ref="B38:B39"/>
    <mergeCell ref="I38:I39"/>
    <mergeCell ref="U38:U39"/>
    <mergeCell ref="X38:X39"/>
    <mergeCell ref="AC38:AC39"/>
    <mergeCell ref="AF38:AF39"/>
    <mergeCell ref="BL35:BL36"/>
    <mergeCell ref="BQ35:BQ36"/>
    <mergeCell ref="BT35:BT36"/>
    <mergeCell ref="BY35:BY36"/>
    <mergeCell ref="CB35:CB36"/>
    <mergeCell ref="CG35:CG36"/>
    <mergeCell ref="AN35:AN36"/>
    <mergeCell ref="AS35:AS36"/>
    <mergeCell ref="AV35:AV36"/>
    <mergeCell ref="BA35:BA36"/>
    <mergeCell ref="BD35:BD36"/>
    <mergeCell ref="BI35:BI36"/>
    <mergeCell ref="I35:I36"/>
    <mergeCell ref="U35:U36"/>
    <mergeCell ref="CR38:CR39"/>
    <mergeCell ref="A40:A42"/>
    <mergeCell ref="B40:B42"/>
    <mergeCell ref="BI38:BI39"/>
    <mergeCell ref="BL38:BL39"/>
    <mergeCell ref="BQ38:BQ39"/>
    <mergeCell ref="BT38:BT39"/>
    <mergeCell ref="BY38:BY39"/>
    <mergeCell ref="CB38:CB39"/>
    <mergeCell ref="AK38:AK39"/>
    <mergeCell ref="AN38:AN39"/>
    <mergeCell ref="AS38:AS39"/>
    <mergeCell ref="AV38:AV39"/>
    <mergeCell ref="BA38:BA39"/>
    <mergeCell ref="BD38:BD39"/>
    <mergeCell ref="K38:K39"/>
    <mergeCell ref="M38:M39"/>
    <mergeCell ref="A43:A45"/>
    <mergeCell ref="B43:B45"/>
    <mergeCell ref="A46:A47"/>
    <mergeCell ref="B46:B47"/>
    <mergeCell ref="I46:I47"/>
    <mergeCell ref="U46:U47"/>
    <mergeCell ref="CG38:CG39"/>
    <mergeCell ref="CJ38:CJ39"/>
    <mergeCell ref="CO38:CO39"/>
    <mergeCell ref="BI46:BI47"/>
    <mergeCell ref="BL46:BL47"/>
    <mergeCell ref="BQ46:BQ47"/>
    <mergeCell ref="X46:X47"/>
    <mergeCell ref="AC46:AC47"/>
    <mergeCell ref="AF46:AF47"/>
    <mergeCell ref="AK46:AK47"/>
    <mergeCell ref="AN46:AN47"/>
    <mergeCell ref="AS46:AS47"/>
    <mergeCell ref="BD50:BD51"/>
    <mergeCell ref="BI50:BI51"/>
    <mergeCell ref="BL50:BL51"/>
    <mergeCell ref="G54:G56"/>
    <mergeCell ref="BL53:BL56"/>
    <mergeCell ref="CR46:CR47"/>
    <mergeCell ref="A50:A51"/>
    <mergeCell ref="B50:B51"/>
    <mergeCell ref="I50:I51"/>
    <mergeCell ref="U50:U51"/>
    <mergeCell ref="X50:X51"/>
    <mergeCell ref="AC50:AC51"/>
    <mergeCell ref="AF50:AF51"/>
    <mergeCell ref="AK50:AK51"/>
    <mergeCell ref="AN50:AN51"/>
    <mergeCell ref="BT46:BT47"/>
    <mergeCell ref="BY46:BY47"/>
    <mergeCell ref="CB46:CB47"/>
    <mergeCell ref="CG46:CG47"/>
    <mergeCell ref="CJ46:CJ47"/>
    <mergeCell ref="CO46:CO47"/>
    <mergeCell ref="AV46:AV47"/>
    <mergeCell ref="BA46:BA47"/>
    <mergeCell ref="BD46:BD47"/>
    <mergeCell ref="CB53:CB56"/>
    <mergeCell ref="CG53:CG56"/>
    <mergeCell ref="CJ53:CJ56"/>
    <mergeCell ref="CO53:CO56"/>
    <mergeCell ref="CR53:CR56"/>
    <mergeCell ref="CO50:CO51"/>
    <mergeCell ref="CR50:CR51"/>
    <mergeCell ref="A53:A56"/>
    <mergeCell ref="B53:B56"/>
    <mergeCell ref="I53:I56"/>
    <mergeCell ref="U53:U56"/>
    <mergeCell ref="X53:X56"/>
    <mergeCell ref="AC53:AC56"/>
    <mergeCell ref="AF53:AF56"/>
    <mergeCell ref="AK53:AK56"/>
    <mergeCell ref="BQ50:BQ51"/>
    <mergeCell ref="BT50:BT51"/>
    <mergeCell ref="BY50:BY51"/>
    <mergeCell ref="CB50:CB51"/>
    <mergeCell ref="CG50:CG51"/>
    <mergeCell ref="CJ50:CJ51"/>
    <mergeCell ref="AS50:AS51"/>
    <mergeCell ref="AV50:AV51"/>
    <mergeCell ref="BA50:BA51"/>
    <mergeCell ref="BQ53:BQ56"/>
    <mergeCell ref="BT53:BT56"/>
    <mergeCell ref="AN53:AN56"/>
    <mergeCell ref="AS53:AS56"/>
    <mergeCell ref="AV53:AV56"/>
    <mergeCell ref="BA53:BA56"/>
    <mergeCell ref="BD53:BD56"/>
    <mergeCell ref="BI53:BI56"/>
    <mergeCell ref="BY53:BY56"/>
  </mergeCells>
  <phoneticPr fontId="3" type="noConversion"/>
  <conditionalFormatting sqref="CT4:CT56 AP4:AP56 BF4:BF56 BN4:BN56 BV4:BV56 AX4:AX56 AH4:AH56 Z4:Z56 CD4:CD56 CL4:CL56">
    <cfRule type="cellIs" dxfId="165" priority="418" operator="lessThan">
      <formula>-0.3</formula>
    </cfRule>
    <cfRule type="cellIs" dxfId="164" priority="419" operator="greaterThan">
      <formula>0.3</formula>
    </cfRule>
  </conditionalFormatting>
  <conditionalFormatting sqref="U5:V5 AC5:AD5 AK5:AL5 AS5:AT5 BA5:BB5 BI5:BJ5 BQ5:BR5 CO5:CP5 BY5:BZ5 AF5:AG5 U9:V9 U12:V12 U15:V16 X5:Y5 BT5:BU5 CB5:CC5 CG5:CH5">
    <cfRule type="cellIs" dxfId="163" priority="417" operator="notEqual">
      <formula>$I$5</formula>
    </cfRule>
  </conditionalFormatting>
  <conditionalFormatting sqref="U9:V9 AC9:AD9 AK9:AL9 AS9:AT9 BA9:BB9 BI9:BJ9 BQ9:BR9 BY9:BZ9 CG9:CH9 CO9:CP9 U12:V12 U15:V16 AN9:AO9">
    <cfRule type="cellIs" dxfId="162" priority="406" operator="notEqual">
      <formula>$I$9</formula>
    </cfRule>
  </conditionalFormatting>
  <conditionalFormatting sqref="U12:V12 AC12:AD12 AK12:AL12 AS12:AT12 BA12:BB12 BI12:BJ12 BQ12:BR12 BY12:BZ12 CG12:CH12 CO12:CP12 U15:V16">
    <cfRule type="cellIs" dxfId="161" priority="396" operator="notEqual">
      <formula>$I$12</formula>
    </cfRule>
  </conditionalFormatting>
  <conditionalFormatting sqref="CO20:CP21 AC20:AD21 AK20:AL21 AS20:AT21 BA20:BB21 BI20:BJ21 BQ20:BR21 BY20:BZ21 CG20:CH21 U20:V20">
    <cfRule type="cellIs" dxfId="160" priority="386" operator="notEqual">
      <formula>$I$20</formula>
    </cfRule>
  </conditionalFormatting>
  <conditionalFormatting sqref="AC22:AD22 AK22:AL22 AS22:AT22 BA22:BB22 BI22:BJ22 BQ22:BR22 BY22:BZ22 CG22:CH22 CO22:CP22 U22:V22 X22:Y22 AF22:AG22 AN22:AO22 AV22:AW22 BD22:BE22 BL22:BM22 BT22:BU22 CB22:CC22 CJ22:CK22 CR22:CS22">
    <cfRule type="cellIs" dxfId="159" priority="376" operator="notEqual">
      <formula>$I$22</formula>
    </cfRule>
  </conditionalFormatting>
  <conditionalFormatting sqref="U23:V23 AC23:AD23 AK23:AL23 AS23:AT23 BA23:BB23 BI23:BJ23 BQ23:BR23 BY23:BZ23 CG23:CH23 CO23:CP23 X23:Y23 AF23:AG23 AN23:AO23 AV23:AW23 BD23:BE23 BL23:BM23 BT23:BU23 CB23:CC23 CJ23:CK23 CR23:CS23">
    <cfRule type="cellIs" dxfId="158" priority="365" operator="notEqual">
      <formula>$I$23</formula>
    </cfRule>
  </conditionalFormatting>
  <conditionalFormatting sqref="U28:V28 AC28:AD28 AK28:AL28 AS28:AT28 BA28:BB28 BI28:BJ28 BQ28:BR28 BY28:BZ28 CG28:CH28 CO28:CP28 X28:Y28 AF28:AG28 AN28:AO28 AV28:AW28 BD28:BE28 BL28:BM28 BT28:BU28 CB28:CC28 CJ28:CK28 CR28:CS28">
    <cfRule type="cellIs" dxfId="157" priority="355" operator="notEqual">
      <formula>$I$28</formula>
    </cfRule>
  </conditionalFormatting>
  <conditionalFormatting sqref="U32:V32 AC32:AD32 AK32:AL32 AS32:AT32 BA32:BB32 BI32:BJ32 BQ32:BR32 CG32:CH32 CO32:CP32 X32:Y32 AF32:AG32 AV32:AW32 BD32:BE32 BL32:BM32 BT32:BU32 CB32:CC32 CJ32:CK32 CR32:CS32 AN32:AO32 BY32:BZ32">
    <cfRule type="cellIs" dxfId="156" priority="345" operator="notEqual">
      <formula>$I$32</formula>
    </cfRule>
  </conditionalFormatting>
  <conditionalFormatting sqref="U35:V36 AC35:AD36 AK35:AL36 AS35:AT36 BA35:BB36 BI35:BJ36 BQ35:BR36 BY35:BZ36 CG35:CH36 CO35:CP36">
    <cfRule type="cellIs" dxfId="155" priority="335" operator="notEqual">
      <formula>$I$35</formula>
    </cfRule>
  </conditionalFormatting>
  <conditionalFormatting sqref="U38:V39 AC38:AD39 AK38:AL39 AS38:AT39 BA38:BB39 BI38:BJ39 BQ38:BR39 BY38:BZ39 CG38:CH39 CO38:CP39 X38:Y39 AF38:AG39 AN38:AO39 AV38:AW39 BD38:BE39 BL38:BM39 BT38:BU39 CB38:CC39 CJ38:CK39 CR38:CS39">
    <cfRule type="cellIs" dxfId="154" priority="325" operator="notEqual">
      <formula>$I$38</formula>
    </cfRule>
  </conditionalFormatting>
  <conditionalFormatting sqref="U40:V40 AC40:AD40 AK40:AL40 AS40:AT40 BA40:BB40 BI40:BJ40 BQ40:BR40 BY40:BZ40 CG40:CH40 CO40:CP40 X40:Y40 AF40:AG40 AN40:AO40 AV40:AW40 BD40:BE40 BL40:BM40 BT40:BU40 CB40:CC40 CJ40:CK40 CR40:CS40">
    <cfRule type="cellIs" dxfId="153" priority="315" operator="notEqual">
      <formula>$I$40</formula>
    </cfRule>
  </conditionalFormatting>
  <conditionalFormatting sqref="U43:V43 AC43:AD43 AK43:AL43 AS43:AT43 BA43:BB43 BI43:BJ43 BQ43:BR43 BY43:BZ43 CG43:CH43 CO43:CP43 X43:Y43 AF43:AG43 AN43:AO43 AV43:AW43 BD43:BE43 BL43:BM43 BT43:BU43 CB43:CC43 CJ43:CK43 CR43:CS43">
    <cfRule type="cellIs" dxfId="152" priority="305" operator="notEqual">
      <formula>$I$43</formula>
    </cfRule>
  </conditionalFormatting>
  <conditionalFormatting sqref="U46:V47 AC46:AD47 AK46:AL47 AS46:AT47 BA46:BB47 BI46:BJ47 BQ46:BR47 BY46:BZ47 CG46:CH47 CO46:CP47">
    <cfRule type="cellIs" dxfId="151" priority="295" operator="notEqual">
      <formula>$I$46</formula>
    </cfRule>
  </conditionalFormatting>
  <conditionalFormatting sqref="U48:V48 AC48:AD48 AK48:AL48 AS48:AT48 BA48:BB48 BI48:BJ48 BQ48:BR48 BY48:BZ48 CG48:CH48 CO48:CP48">
    <cfRule type="cellIs" dxfId="150" priority="285" operator="notEqual">
      <formula>$I$48</formula>
    </cfRule>
  </conditionalFormatting>
  <conditionalFormatting sqref="U50:V51 AC50:AD51 AK50:AL51 AS50:AT51 BA50:BB51 BI50:BJ51 BQ50:BR51 BY50:BZ51 CG50:CH51 CO50:CP51">
    <cfRule type="cellIs" dxfId="149" priority="275" operator="notEqual">
      <formula>$I$50</formula>
    </cfRule>
  </conditionalFormatting>
  <conditionalFormatting sqref="CT4:CT55 Z4:Z55 AH4:AH55 AX4:AX55 BV4:BV55 BN4:BN55 BF4:BF55 AP4:AP55 CD4:CD55 CL4:CL55">
    <cfRule type="cellIs" dxfId="148" priority="264" stopIfTrue="1" operator="lessThanOrEqual">
      <formula>-0.3</formula>
    </cfRule>
    <cfRule type="cellIs" dxfId="147" priority="265" stopIfTrue="1" operator="greaterThanOrEqual">
      <formula>0.3</formula>
    </cfRule>
  </conditionalFormatting>
  <conditionalFormatting sqref="X4:Y4 AF4:AG4 AN4:AO4 AV4:AW4 BD4:BE4 BL4:BM4 BT4:BU4 CB4:CC4 CJ4:CK4 CR4:CS4">
    <cfRule type="cellIs" dxfId="146" priority="125" operator="notEqual">
      <formula>$I$4</formula>
    </cfRule>
  </conditionalFormatting>
  <conditionalFormatting sqref="X37:Y37 AF37:AG37 AN37:AO37 AV37:AW37 BD37:BE37 BL37:BM37 BT37:BU37 CB37:CC37 CJ37:CK37 CR37:CS37">
    <cfRule type="cellIs" dxfId="145" priority="120" operator="notEqual">
      <formula>$I$37</formula>
    </cfRule>
  </conditionalFormatting>
  <conditionalFormatting sqref="X46:Y47 AF46:AG47 AN46:AO47 AV46:AW47 BD46:BE47 BL46:BM47 BT46:BU47 CB46:CC47 CJ46:CK47 CR46:CS47">
    <cfRule type="cellIs" dxfId="144" priority="88" operator="notEqual">
      <formula>6</formula>
    </cfRule>
  </conditionalFormatting>
  <conditionalFormatting sqref="X48:Y48 AF48:AG48 AN48:AO48 AV48:AW48 BD48:BE48 BL48:BM48 BT48:BU48 CB48:CC48 CJ48:CK48 CR48:CS48">
    <cfRule type="cellIs" dxfId="143" priority="78" operator="notEqual">
      <formula>5</formula>
    </cfRule>
  </conditionalFormatting>
  <conditionalFormatting sqref="X49:Y49 AF49:AG49 AN49:AO49 AV49:AW49 BD49:BE49 BL49:BM49 BT49:BU49 CB49:CC49 CJ49:CK49 CR49:CS49">
    <cfRule type="cellIs" dxfId="142" priority="68" operator="notEqual">
      <formula>"不扣分"</formula>
    </cfRule>
  </conditionalFormatting>
  <conditionalFormatting sqref="X50:Y51 AF50:AG51 AN50:AO51 AV50:AW51 BD50:BE51 BL50:BM51 BT50:BU51 CB50:CC51 CJ50:CK51 CR50:CS51">
    <cfRule type="cellIs" dxfId="141" priority="58" operator="notEqual">
      <formula>3</formula>
    </cfRule>
  </conditionalFormatting>
  <conditionalFormatting sqref="X52:Y52 AF52:AG52 AN52:AO52 AV52:AW52 BD52:BE52 BL52:BM52 BT52:BU52 CB52:CC52 CJ52:CK52 CR52:CS52">
    <cfRule type="cellIs" dxfId="140" priority="47" operator="notEqual">
      <formula>$I$52</formula>
    </cfRule>
  </conditionalFormatting>
  <conditionalFormatting sqref="O4:R48 P50:P53">
    <cfRule type="expression" dxfId="139" priority="36">
      <formula>$O4&lt;&gt;0</formula>
    </cfRule>
  </conditionalFormatting>
  <conditionalFormatting sqref="O50:R53">
    <cfRule type="expression" dxfId="138" priority="35">
      <formula>$O50&lt;&gt;0</formula>
    </cfRule>
  </conditionalFormatting>
  <conditionalFormatting sqref="U4:V4">
    <cfRule type="expression" dxfId="137" priority="33">
      <formula>$U4&lt;&gt;$I4</formula>
    </cfRule>
  </conditionalFormatting>
  <conditionalFormatting sqref="U5:V5">
    <cfRule type="expression" dxfId="136" priority="32">
      <formula>$U5&lt;&gt;$I5</formula>
    </cfRule>
  </conditionalFormatting>
  <conditionalFormatting sqref="U9:V9">
    <cfRule type="expression" dxfId="135" priority="30">
      <formula>$U9&lt;&gt;$I9</formula>
    </cfRule>
  </conditionalFormatting>
  <conditionalFormatting sqref="U12:V12">
    <cfRule type="expression" dxfId="134" priority="27">
      <formula>$U12&lt;&gt;$I12</formula>
    </cfRule>
  </conditionalFormatting>
  <conditionalFormatting sqref="U15:V16">
    <cfRule type="expression" dxfId="133" priority="23">
      <formula>$U15&lt;&gt;$I15</formula>
    </cfRule>
  </conditionalFormatting>
  <conditionalFormatting sqref="U17:V19">
    <cfRule type="expression" dxfId="132" priority="22">
      <formula>$U17&lt;&gt;$I17</formula>
    </cfRule>
  </conditionalFormatting>
  <conditionalFormatting sqref="AK17:AL19">
    <cfRule type="expression" dxfId="131" priority="15" stopIfTrue="1">
      <formula>AK$17&lt;&gt;I$17</formula>
    </cfRule>
  </conditionalFormatting>
  <conditionalFormatting sqref="P50:R53 P65:R65 P5:R48 P60:R61">
    <cfRule type="expression" dxfId="130" priority="8">
      <formula>$I5&gt;$M5</formula>
    </cfRule>
  </conditionalFormatting>
  <conditionalFormatting sqref="P4:R4 R50:R53 P50:P53 R65 R5:R48 P5:P48 R60:R61">
    <cfRule type="expression" dxfId="129" priority="6">
      <formula>$I4&gt;$M4</formula>
    </cfRule>
  </conditionalFormatting>
  <conditionalFormatting sqref="Q50:Q53 Q65 Q5:Q48 Q60:Q61">
    <cfRule type="expression" dxfId="128" priority="5">
      <formula>$I5&gt;$M5</formula>
    </cfRule>
  </conditionalFormatting>
  <conditionalFormatting sqref="R50:R53 R65 R5:R48 R60:R61">
    <cfRule type="expression" dxfId="127" priority="4">
      <formula>$I5&gt;$M5</formula>
    </cfRule>
  </conditionalFormatting>
  <conditionalFormatting sqref="N4:N56">
    <cfRule type="cellIs" dxfId="126" priority="2" operator="lessThan">
      <formula>0</formula>
    </cfRule>
    <cfRule type="cellIs" dxfId="125" priority="3" operator="greaterThan">
      <formula>0</formula>
    </cfRule>
  </conditionalFormatting>
  <conditionalFormatting sqref="CB9:CC9">
    <cfRule type="cellIs" dxfId="124" priority="1" operator="notEqual">
      <formula>$I$9</formula>
    </cfRule>
  </conditionalFormatting>
  <dataValidations disablePrompts="1" count="1">
    <dataValidation type="list" allowBlank="1" showInputMessage="1" showErrorMessage="1" sqref="A37:B37 A52:B52 A15:B16">
      <formula1>#REF!</formula1>
    </dataValidation>
  </dataValidations>
  <hyperlinks>
    <hyperlink ref="D69" location="权重!A1" display="权重!A1"/>
    <hyperlink ref="D70" location="目录!A1" display="目录!A1"/>
  </hyperlink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6"/>
  </sheetPr>
  <dimension ref="A1:BB176"/>
  <sheetViews>
    <sheetView zoomScale="96" zoomScaleNormal="96" workbookViewId="0">
      <pane xSplit="8" ySplit="3" topLeftCell="I19" activePane="bottomRight" state="frozenSplit"/>
      <selection activeCell="C1" sqref="C1"/>
      <selection pane="topRight" activeCell="M1" sqref="M1"/>
      <selection pane="bottomLeft" activeCell="C15" sqref="C15"/>
      <selection pane="bottomRight" activeCell="M36" sqref="M36"/>
    </sheetView>
  </sheetViews>
  <sheetFormatPr defaultColWidth="8.875" defaultRowHeight="16.5" outlineLevelCol="2"/>
  <cols>
    <col min="1" max="1" width="23.25" style="19" hidden="1" customWidth="1" outlineLevel="1"/>
    <col min="2" max="2" width="27.75" style="19" hidden="1" customWidth="1" outlineLevel="1"/>
    <col min="3" max="3" width="4.625" style="8" customWidth="1" collapsed="1"/>
    <col min="4" max="4" width="34.375" style="19" customWidth="1"/>
    <col min="5" max="5" width="13.125" style="2" hidden="1" customWidth="1" outlineLevel="1"/>
    <col min="6" max="6" width="11.75" style="95" hidden="1" customWidth="1" outlineLevel="2"/>
    <col min="7" max="7" width="13.25" hidden="1" customWidth="1" outlineLevel="1"/>
    <col min="8" max="8" width="8.25" style="1" customWidth="1" collapsed="1"/>
    <col min="9" max="9" width="17.5" style="2" hidden="1" customWidth="1" outlineLevel="2"/>
    <col min="10" max="10" width="15.25" style="25" customWidth="1" outlineLevel="1" collapsed="1"/>
    <col min="11" max="11" width="15.25" style="1558" customWidth="1" outlineLevel="1"/>
    <col min="12" max="12" width="15.625" style="25" customWidth="1" outlineLevel="1"/>
    <col min="13" max="13" width="15.625" style="1558" customWidth="1" outlineLevel="1"/>
    <col min="14" max="14" width="6.375" style="1" customWidth="1" outlineLevel="1"/>
    <col min="15" max="15" width="6.375" style="1579" customWidth="1" outlineLevel="1"/>
    <col min="16" max="16" width="7.125" style="1" customWidth="1" outlineLevel="1"/>
    <col min="17" max="17" width="7.125" style="1579" customWidth="1" outlineLevel="1"/>
    <col min="18" max="18" width="6.5" style="1" customWidth="1" outlineLevel="1"/>
    <col min="19" max="19" width="6.5" style="1579" customWidth="1" outlineLevel="1"/>
    <col min="20" max="20" width="7.25" style="1" customWidth="1" outlineLevel="1"/>
    <col min="21" max="21" width="7.25" style="1579" customWidth="1" outlineLevel="1"/>
    <col min="22" max="22" width="6.25" style="1" customWidth="1" outlineLevel="1"/>
    <col min="23" max="23" width="6.25" style="1579" customWidth="1" outlineLevel="1"/>
    <col min="24" max="24" width="7.5" style="1" bestFit="1" customWidth="1"/>
    <col min="25" max="25" width="11.125" style="1" customWidth="1"/>
    <col min="26" max="26" width="10.75" style="1" customWidth="1"/>
    <col min="27" max="27" width="10.125" style="1" customWidth="1"/>
    <col min="28" max="28" width="9.625" style="1" bestFit="1" customWidth="1"/>
    <col min="29" max="29" width="9.5" style="1" bestFit="1" customWidth="1"/>
    <col min="30" max="30" width="12.125" style="1" customWidth="1"/>
    <col min="31" max="31" width="13.125" style="1" customWidth="1"/>
    <col min="36" max="36" width="10.625" style="19" customWidth="1"/>
    <col min="37" max="38" width="10.625" style="670" hidden="1" customWidth="1" outlineLevel="1"/>
    <col min="39" max="44" width="8.875" style="671" hidden="1" customWidth="1" outlineLevel="1"/>
    <col min="45" max="46" width="8.875" style="672" hidden="1" customWidth="1" outlineLevel="1"/>
    <col min="47" max="52" width="8.875" style="671" hidden="1" customWidth="1" outlineLevel="1"/>
    <col min="53" max="53" width="8.875" style="670" hidden="1" customWidth="1" outlineLevel="1"/>
    <col min="54" max="54" width="8.875" style="1" collapsed="1"/>
    <col min="55" max="16384" width="8.875" style="1"/>
  </cols>
  <sheetData>
    <row r="1" spans="1:53">
      <c r="A1" s="168"/>
      <c r="B1" s="168"/>
      <c r="C1" s="667" t="s">
        <v>0</v>
      </c>
      <c r="D1" s="168"/>
      <c r="F1" s="168"/>
      <c r="J1" s="1"/>
      <c r="K1" s="1554"/>
      <c r="L1" s="1"/>
      <c r="M1" s="1554"/>
    </row>
    <row r="2" spans="1:53">
      <c r="A2" s="43"/>
      <c r="B2" s="43"/>
      <c r="C2" s="35"/>
      <c r="D2" s="36"/>
      <c r="F2" s="43"/>
      <c r="J2" s="1"/>
      <c r="K2" s="1554"/>
      <c r="L2" s="1"/>
      <c r="M2" s="1554"/>
      <c r="R2" s="442"/>
      <c r="S2" s="1589"/>
      <c r="Z2" s="308" t="s">
        <v>1945</v>
      </c>
      <c r="AM2" s="671" t="s">
        <v>1171</v>
      </c>
    </row>
    <row r="3" spans="1:53" ht="22.5">
      <c r="A3" s="15" t="s">
        <v>470</v>
      </c>
      <c r="B3" s="15" t="s">
        <v>491</v>
      </c>
      <c r="C3" s="14" t="s">
        <v>228</v>
      </c>
      <c r="D3" s="15" t="s">
        <v>227</v>
      </c>
      <c r="E3" s="15" t="s">
        <v>1797</v>
      </c>
      <c r="F3" s="15" t="s">
        <v>1798</v>
      </c>
      <c r="G3" s="668" t="s">
        <v>1800</v>
      </c>
      <c r="H3" s="15" t="s">
        <v>571</v>
      </c>
      <c r="I3" s="15" t="s">
        <v>1799</v>
      </c>
      <c r="J3" s="15" t="s">
        <v>2348</v>
      </c>
      <c r="K3" s="1443" t="s">
        <v>2517</v>
      </c>
      <c r="L3" s="707" t="s">
        <v>2347</v>
      </c>
      <c r="M3" s="1443" t="s">
        <v>2517</v>
      </c>
      <c r="N3" s="15" t="s">
        <v>1628</v>
      </c>
      <c r="O3" s="1443" t="s">
        <v>2502</v>
      </c>
      <c r="P3" s="15" t="s">
        <v>1629</v>
      </c>
      <c r="Q3" s="1443" t="s">
        <v>2502</v>
      </c>
      <c r="R3" s="15" t="s">
        <v>1630</v>
      </c>
      <c r="S3" s="1443" t="s">
        <v>2502</v>
      </c>
      <c r="T3" s="15" t="s">
        <v>1631</v>
      </c>
      <c r="U3" s="1443" t="s">
        <v>2502</v>
      </c>
      <c r="V3" s="15" t="s">
        <v>1632</v>
      </c>
      <c r="W3" s="1443" t="s">
        <v>2502</v>
      </c>
      <c r="X3" s="15" t="s">
        <v>1189</v>
      </c>
      <c r="Y3" s="707" t="s">
        <v>2349</v>
      </c>
      <c r="Z3" s="15" t="s">
        <v>1826</v>
      </c>
      <c r="AA3" s="15" t="s">
        <v>1190</v>
      </c>
      <c r="AB3" s="15" t="s">
        <v>541</v>
      </c>
      <c r="AC3" s="751" t="s">
        <v>1886</v>
      </c>
      <c r="AD3" s="751" t="s">
        <v>1887</v>
      </c>
      <c r="AE3" s="751" t="s">
        <v>1888</v>
      </c>
      <c r="AK3" s="670" t="s">
        <v>1443</v>
      </c>
      <c r="AM3" s="671" t="s">
        <v>1633</v>
      </c>
      <c r="AN3" s="671" t="s">
        <v>1634</v>
      </c>
      <c r="AO3" s="671" t="s">
        <v>1635</v>
      </c>
      <c r="AP3" s="671" t="s">
        <v>1636</v>
      </c>
      <c r="AQ3" s="671" t="s">
        <v>1637</v>
      </c>
      <c r="AR3" s="671" t="s">
        <v>1638</v>
      </c>
      <c r="AS3" s="672" t="s">
        <v>1639</v>
      </c>
      <c r="AT3" s="672" t="s">
        <v>1640</v>
      </c>
      <c r="AU3" s="671" t="s">
        <v>1641</v>
      </c>
      <c r="AV3" s="671" t="s">
        <v>1642</v>
      </c>
      <c r="AW3" s="671" t="s">
        <v>1643</v>
      </c>
      <c r="AX3" s="671" t="s">
        <v>1644</v>
      </c>
      <c r="AY3" s="671" t="s">
        <v>1609</v>
      </c>
      <c r="AZ3" s="671" t="s">
        <v>1610</v>
      </c>
      <c r="BA3" s="670" t="s">
        <v>1437</v>
      </c>
    </row>
    <row r="4" spans="1:53" ht="16.5" customHeight="1">
      <c r="A4" s="1892" t="s">
        <v>1168</v>
      </c>
      <c r="B4" s="1953" t="s">
        <v>546</v>
      </c>
      <c r="C4" s="21">
        <v>1</v>
      </c>
      <c r="D4" s="20" t="s">
        <v>1</v>
      </c>
      <c r="E4" s="473"/>
      <c r="F4" s="630" t="s">
        <v>473</v>
      </c>
      <c r="G4" s="245" t="s">
        <v>1805</v>
      </c>
      <c r="H4" s="624">
        <v>9</v>
      </c>
      <c r="I4" s="5"/>
      <c r="J4" s="68">
        <f>IF(SUM(J6:J7)=0,"",J5*2/SUM(J6:J7))</f>
        <v>0.19276940256839753</v>
      </c>
      <c r="K4" s="1563"/>
      <c r="L4" s="68">
        <f>IF(SUM(L6:L7)=0,"",L5*2/SUM(L6:L7))</f>
        <v>0.25304814324531455</v>
      </c>
      <c r="M4" s="1563"/>
      <c r="N4" s="68">
        <f t="shared" ref="N4:V4" si="0">IF(SUM(N6:N7)=0,"",N5*2/SUM(N6:N7))</f>
        <v>0.25654792135239063</v>
      </c>
      <c r="O4" s="1585"/>
      <c r="P4" s="68">
        <f t="shared" si="0"/>
        <v>0.17094017094017094</v>
      </c>
      <c r="Q4" s="1585"/>
      <c r="R4" s="68">
        <f t="shared" si="0"/>
        <v>0.2339622641509434</v>
      </c>
      <c r="S4" s="1585"/>
      <c r="T4" s="68">
        <f t="shared" si="0"/>
        <v>7.8431372549019607E-2</v>
      </c>
      <c r="U4" s="1585"/>
      <c r="V4" s="68">
        <f t="shared" si="0"/>
        <v>7.2992700729927001E-2</v>
      </c>
      <c r="W4" s="1585"/>
      <c r="X4" s="665">
        <f t="shared" ref="X4:X23" si="1">IF(AND(J4=0,L4&lt;&gt;0),1,IF(AND(J4=0,L4=0),0,L4/J4-1))</f>
        <v>0.31269869530009675</v>
      </c>
      <c r="Y4" s="245" t="str">
        <f>G4</f>
        <v>行业排序评分</v>
      </c>
      <c r="Z4" s="245" t="str">
        <f>G4</f>
        <v>行业排序评分</v>
      </c>
      <c r="AA4" s="245" t="str">
        <f>"行业排序评分"</f>
        <v>行业排序评分</v>
      </c>
      <c r="AB4" s="566">
        <f>9</f>
        <v>9</v>
      </c>
      <c r="AC4" s="566">
        <f>AB4*0.3</f>
        <v>2.6999999999999997</v>
      </c>
      <c r="AD4" s="566">
        <f>AC4/9</f>
        <v>0.3</v>
      </c>
      <c r="AE4" s="566">
        <f>AD4/2</f>
        <v>0.15</v>
      </c>
      <c r="AJ4" s="393"/>
      <c r="AK4" s="671">
        <f>H4*(1-J4)</f>
        <v>7.2650753768844227</v>
      </c>
      <c r="AL4" s="673" t="s">
        <v>1596</v>
      </c>
      <c r="AM4" s="671">
        <v>0</v>
      </c>
      <c r="AO4" s="674">
        <v>1</v>
      </c>
      <c r="AP4" s="674">
        <v>7.5289036544850489</v>
      </c>
      <c r="AQ4" s="674">
        <v>1</v>
      </c>
      <c r="AR4" s="674">
        <v>8.3394495412844041</v>
      </c>
      <c r="AS4" s="675">
        <v>1</v>
      </c>
      <c r="AT4" s="675">
        <v>6.8951612903225801</v>
      </c>
      <c r="AU4" s="674">
        <v>1</v>
      </c>
      <c r="AV4" s="674">
        <v>9</v>
      </c>
      <c r="AW4" s="674">
        <v>1</v>
      </c>
      <c r="AX4" s="674">
        <v>8.8582677165354333</v>
      </c>
      <c r="AY4" s="674">
        <v>0</v>
      </c>
      <c r="AZ4" s="674"/>
      <c r="BA4" s="672">
        <f>SUM(AM4:AY4)</f>
        <v>45.621782202627472</v>
      </c>
    </row>
    <row r="5" spans="1:53">
      <c r="A5" s="1893"/>
      <c r="B5" s="1954"/>
      <c r="C5" s="22"/>
      <c r="D5" s="470" t="s">
        <v>2526</v>
      </c>
      <c r="E5" s="473" t="s">
        <v>528</v>
      </c>
      <c r="F5" s="630"/>
      <c r="G5" s="400"/>
      <c r="H5" s="73"/>
      <c r="I5" s="5" t="s">
        <v>721</v>
      </c>
      <c r="J5" s="1319">
        <v>1381</v>
      </c>
      <c r="K5" s="1560"/>
      <c r="L5" s="621">
        <v>1816</v>
      </c>
      <c r="M5" s="1560"/>
      <c r="N5" s="1027">
        <v>1768</v>
      </c>
      <c r="O5" s="45">
        <v>1798</v>
      </c>
      <c r="P5" s="1027">
        <v>10</v>
      </c>
      <c r="Q5" s="1583">
        <v>3</v>
      </c>
      <c r="R5" s="1027">
        <v>31</v>
      </c>
      <c r="S5" s="1583">
        <v>27</v>
      </c>
      <c r="T5" s="1027">
        <v>2</v>
      </c>
      <c r="U5" s="1583">
        <v>0</v>
      </c>
      <c r="V5" s="1027">
        <v>5</v>
      </c>
      <c r="W5" s="1583">
        <v>0</v>
      </c>
      <c r="X5" s="665">
        <f t="shared" si="1"/>
        <v>0.31498913830557562</v>
      </c>
      <c r="Y5" s="73"/>
      <c r="Z5" s="73"/>
      <c r="AA5" s="502">
        <f t="shared" ref="AA5:AA10" si="2">Y5-Z5</f>
        <v>0</v>
      </c>
      <c r="AB5" s="566">
        <f t="shared" ref="AB5:AB10" si="3">H5-Y5</f>
        <v>0</v>
      </c>
      <c r="AC5" s="566">
        <f t="shared" ref="AC5:AC36" si="4">AB5*0.3</f>
        <v>0</v>
      </c>
      <c r="AD5" s="566">
        <f t="shared" ref="AD5:AD41" si="5">AC5/9</f>
        <v>0</v>
      </c>
      <c r="AE5" s="566">
        <f t="shared" ref="AE5:AE41" si="6">AD5/2</f>
        <v>0</v>
      </c>
      <c r="AJ5" s="393"/>
      <c r="AK5" s="671">
        <f t="shared" ref="AK5:AK10" si="7">Z5</f>
        <v>0</v>
      </c>
      <c r="AL5" s="671"/>
      <c r="AM5" s="671">
        <v>0</v>
      </c>
      <c r="AO5" s="671">
        <v>0</v>
      </c>
      <c r="AQ5" s="671">
        <v>0</v>
      </c>
      <c r="AS5" s="672">
        <v>0</v>
      </c>
      <c r="AU5" s="671">
        <v>0</v>
      </c>
      <c r="AW5" s="671">
        <v>0</v>
      </c>
      <c r="AY5" s="671">
        <v>0</v>
      </c>
      <c r="BA5" s="672">
        <f t="shared" ref="BA5:BA36" si="8">SUM(AM5:AY5)</f>
        <v>0</v>
      </c>
    </row>
    <row r="6" spans="1:53">
      <c r="A6" s="1893"/>
      <c r="B6" s="1954"/>
      <c r="C6" s="22"/>
      <c r="D6" s="470" t="s">
        <v>229</v>
      </c>
      <c r="E6" s="473" t="s">
        <v>528</v>
      </c>
      <c r="F6" s="630"/>
      <c r="G6" s="400"/>
      <c r="H6" s="73"/>
      <c r="I6" s="5" t="s">
        <v>721</v>
      </c>
      <c r="J6" s="1319">
        <v>7119</v>
      </c>
      <c r="K6" s="1560"/>
      <c r="L6" s="621">
        <v>7209</v>
      </c>
      <c r="M6" s="1560"/>
      <c r="N6" s="1027">
        <v>6924</v>
      </c>
      <c r="O6" s="1702">
        <v>6859</v>
      </c>
      <c r="P6" s="1027">
        <v>56</v>
      </c>
      <c r="Q6" s="1583">
        <v>55</v>
      </c>
      <c r="R6" s="1027">
        <v>140</v>
      </c>
      <c r="S6" s="1583">
        <v>113</v>
      </c>
      <c r="T6" s="1027">
        <v>24</v>
      </c>
      <c r="U6" s="1583">
        <v>14</v>
      </c>
      <c r="V6" s="1027">
        <v>65</v>
      </c>
      <c r="W6" s="1583">
        <v>60</v>
      </c>
      <c r="X6" s="665">
        <f t="shared" si="1"/>
        <v>1.2642225031605614E-2</v>
      </c>
      <c r="Y6" s="73"/>
      <c r="Z6" s="73"/>
      <c r="AA6" s="502">
        <f t="shared" si="2"/>
        <v>0</v>
      </c>
      <c r="AB6" s="566">
        <f t="shared" si="3"/>
        <v>0</v>
      </c>
      <c r="AC6" s="566">
        <f t="shared" si="4"/>
        <v>0</v>
      </c>
      <c r="AD6" s="566">
        <f t="shared" si="5"/>
        <v>0</v>
      </c>
      <c r="AE6" s="566">
        <f t="shared" si="6"/>
        <v>0</v>
      </c>
      <c r="AJ6" s="393"/>
      <c r="AK6" s="671">
        <f t="shared" si="7"/>
        <v>0</v>
      </c>
      <c r="AL6" s="671"/>
      <c r="AM6" s="671">
        <v>0</v>
      </c>
      <c r="AO6" s="671">
        <v>0</v>
      </c>
      <c r="AQ6" s="671">
        <v>0</v>
      </c>
      <c r="AS6" s="672">
        <v>0</v>
      </c>
      <c r="AU6" s="671">
        <v>0</v>
      </c>
      <c r="AW6" s="671">
        <v>0</v>
      </c>
      <c r="AY6" s="671">
        <v>0</v>
      </c>
      <c r="BA6" s="672">
        <f t="shared" si="8"/>
        <v>0</v>
      </c>
    </row>
    <row r="7" spans="1:53">
      <c r="A7" s="1894"/>
      <c r="B7" s="1955"/>
      <c r="C7" s="22"/>
      <c r="D7" s="470" t="s">
        <v>234</v>
      </c>
      <c r="E7" s="473" t="s">
        <v>528</v>
      </c>
      <c r="F7" s="630"/>
      <c r="G7" s="400"/>
      <c r="H7" s="73"/>
      <c r="I7" s="5" t="s">
        <v>721</v>
      </c>
      <c r="J7" s="1319">
        <v>7209</v>
      </c>
      <c r="K7" s="1560"/>
      <c r="L7" s="621">
        <v>7144</v>
      </c>
      <c r="M7" s="1560"/>
      <c r="N7" s="1027">
        <v>6859</v>
      </c>
      <c r="O7" s="1702">
        <v>6920</v>
      </c>
      <c r="P7" s="1027">
        <v>61</v>
      </c>
      <c r="Q7" s="1583">
        <v>53</v>
      </c>
      <c r="R7" s="1027">
        <v>125</v>
      </c>
      <c r="S7" s="1583">
        <v>117</v>
      </c>
      <c r="T7" s="1027">
        <v>27</v>
      </c>
      <c r="U7" s="1583">
        <v>13</v>
      </c>
      <c r="V7" s="1027">
        <v>72</v>
      </c>
      <c r="W7" s="1583">
        <v>56</v>
      </c>
      <c r="X7" s="665">
        <f t="shared" si="1"/>
        <v>-9.0165071438479405E-3</v>
      </c>
      <c r="Y7" s="73"/>
      <c r="Z7" s="73"/>
      <c r="AA7" s="502">
        <f t="shared" si="2"/>
        <v>0</v>
      </c>
      <c r="AB7" s="566">
        <f t="shared" si="3"/>
        <v>0</v>
      </c>
      <c r="AC7" s="566">
        <f t="shared" si="4"/>
        <v>0</v>
      </c>
      <c r="AD7" s="566">
        <f t="shared" si="5"/>
        <v>0</v>
      </c>
      <c r="AE7" s="566">
        <f t="shared" si="6"/>
        <v>0</v>
      </c>
      <c r="AJ7" s="393"/>
      <c r="AK7" s="671">
        <f t="shared" si="7"/>
        <v>0</v>
      </c>
      <c r="AL7" s="671"/>
      <c r="AM7" s="671">
        <v>0</v>
      </c>
      <c r="AO7" s="671">
        <v>0</v>
      </c>
      <c r="AQ7" s="671">
        <v>0</v>
      </c>
      <c r="AS7" s="672">
        <v>0</v>
      </c>
      <c r="AU7" s="671">
        <v>0</v>
      </c>
      <c r="AW7" s="671">
        <v>0</v>
      </c>
      <c r="AY7" s="671">
        <v>0</v>
      </c>
      <c r="BA7" s="672">
        <f t="shared" si="8"/>
        <v>0</v>
      </c>
    </row>
    <row r="8" spans="1:53" s="2" customFormat="1" ht="16.5" customHeight="1">
      <c r="A8" s="1892" t="s">
        <v>286</v>
      </c>
      <c r="B8" s="1953" t="s">
        <v>287</v>
      </c>
      <c r="C8" s="21">
        <v>2</v>
      </c>
      <c r="D8" s="469" t="s">
        <v>1744</v>
      </c>
      <c r="E8" s="473"/>
      <c r="F8" s="630" t="s">
        <v>475</v>
      </c>
      <c r="G8" s="5" t="s">
        <v>1806</v>
      </c>
      <c r="H8" s="624">
        <v>6</v>
      </c>
      <c r="I8" s="5"/>
      <c r="J8" s="68">
        <f>IF(J9=0,"",J10/J9)</f>
        <v>1</v>
      </c>
      <c r="K8" s="1563"/>
      <c r="L8" s="68">
        <f>IF(L9=0,"",L10/L9)</f>
        <v>1</v>
      </c>
      <c r="M8" s="1563"/>
      <c r="N8" s="1027"/>
      <c r="O8" s="1583"/>
      <c r="P8" s="68">
        <f>IF(P9=0,"",P10/P9)</f>
        <v>1</v>
      </c>
      <c r="Q8" s="1585"/>
      <c r="R8" s="1027"/>
      <c r="S8" s="1583"/>
      <c r="T8" s="1027"/>
      <c r="U8" s="1583"/>
      <c r="V8" s="1027"/>
      <c r="W8" s="1583"/>
      <c r="X8" s="665">
        <f t="shared" si="1"/>
        <v>0</v>
      </c>
      <c r="Y8" s="626">
        <f>IF(L8=1,6,"行业水平得分")</f>
        <v>6</v>
      </c>
      <c r="Z8" s="626">
        <f>IF(J8=1,6,"行业水平得分")</f>
        <v>6</v>
      </c>
      <c r="AA8" s="502">
        <f t="shared" si="2"/>
        <v>0</v>
      </c>
      <c r="AB8" s="566">
        <f t="shared" si="3"/>
        <v>0</v>
      </c>
      <c r="AC8" s="566">
        <f t="shared" si="4"/>
        <v>0</v>
      </c>
      <c r="AD8" s="566">
        <f t="shared" si="5"/>
        <v>0</v>
      </c>
      <c r="AE8" s="566">
        <f t="shared" si="6"/>
        <v>0</v>
      </c>
      <c r="AJ8" s="393"/>
      <c r="AK8" s="671">
        <f t="shared" si="7"/>
        <v>6</v>
      </c>
      <c r="AL8" s="671"/>
      <c r="AM8" s="570">
        <v>0.5</v>
      </c>
      <c r="AN8" s="570">
        <f>$Y8</f>
        <v>6</v>
      </c>
      <c r="AO8" s="570">
        <v>0</v>
      </c>
      <c r="AP8" s="570"/>
      <c r="AQ8" s="570">
        <v>0</v>
      </c>
      <c r="AR8" s="570"/>
      <c r="AS8" s="570">
        <v>0</v>
      </c>
      <c r="AT8" s="570"/>
      <c r="AU8" s="570">
        <v>0</v>
      </c>
      <c r="AV8" s="570"/>
      <c r="AW8" s="570">
        <v>0</v>
      </c>
      <c r="AX8" s="570"/>
      <c r="AY8" s="570">
        <v>0</v>
      </c>
      <c r="AZ8" s="570"/>
      <c r="BA8" s="672">
        <f t="shared" si="8"/>
        <v>6.5</v>
      </c>
    </row>
    <row r="9" spans="1:53" s="2" customFormat="1" ht="15.6" customHeight="1">
      <c r="A9" s="1893"/>
      <c r="B9" s="1954"/>
      <c r="C9" s="22"/>
      <c r="D9" s="471" t="s">
        <v>1743</v>
      </c>
      <c r="E9" s="473" t="s">
        <v>253</v>
      </c>
      <c r="F9" s="630"/>
      <c r="G9" s="5"/>
      <c r="H9" s="74"/>
      <c r="I9" s="5" t="s">
        <v>269</v>
      </c>
      <c r="J9" s="1319">
        <v>8</v>
      </c>
      <c r="K9" s="1560"/>
      <c r="L9" s="621">
        <v>8</v>
      </c>
      <c r="M9" s="1560"/>
      <c r="N9" s="1027"/>
      <c r="O9" s="1583"/>
      <c r="P9" s="1027">
        <v>2</v>
      </c>
      <c r="Q9" s="1583"/>
      <c r="R9" s="1027"/>
      <c r="S9" s="1583"/>
      <c r="T9" s="1027"/>
      <c r="U9" s="1583"/>
      <c r="V9" s="1027"/>
      <c r="W9" s="1583"/>
      <c r="X9" s="665">
        <f t="shared" si="1"/>
        <v>0</v>
      </c>
      <c r="Y9" s="74"/>
      <c r="Z9" s="74"/>
      <c r="AA9" s="502">
        <f t="shared" si="2"/>
        <v>0</v>
      </c>
      <c r="AB9" s="566">
        <f t="shared" si="3"/>
        <v>0</v>
      </c>
      <c r="AC9" s="566">
        <f t="shared" si="4"/>
        <v>0</v>
      </c>
      <c r="AD9" s="566">
        <f t="shared" si="5"/>
        <v>0</v>
      </c>
      <c r="AE9" s="566">
        <f t="shared" si="6"/>
        <v>0</v>
      </c>
      <c r="AJ9" s="393"/>
      <c r="AK9" s="671">
        <f t="shared" si="7"/>
        <v>0</v>
      </c>
      <c r="AL9" s="671"/>
      <c r="AM9" s="570">
        <v>0</v>
      </c>
      <c r="AN9" s="570"/>
      <c r="AO9" s="570">
        <v>0</v>
      </c>
      <c r="AP9" s="570"/>
      <c r="AQ9" s="570">
        <v>0</v>
      </c>
      <c r="AR9" s="570"/>
      <c r="AS9" s="676">
        <v>0</v>
      </c>
      <c r="AT9" s="676"/>
      <c r="AU9" s="570">
        <v>0</v>
      </c>
      <c r="AV9" s="570"/>
      <c r="AW9" s="570">
        <v>0</v>
      </c>
      <c r="AX9" s="570"/>
      <c r="AY9" s="570">
        <v>0</v>
      </c>
      <c r="AZ9" s="570"/>
      <c r="BA9" s="672">
        <f t="shared" si="8"/>
        <v>0</v>
      </c>
    </row>
    <row r="10" spans="1:53" s="2" customFormat="1" ht="15.6" customHeight="1">
      <c r="A10" s="1894"/>
      <c r="B10" s="1955"/>
      <c r="C10" s="22"/>
      <c r="D10" s="471" t="s">
        <v>1745</v>
      </c>
      <c r="E10" s="473" t="s">
        <v>253</v>
      </c>
      <c r="F10" s="630"/>
      <c r="G10" s="5"/>
      <c r="H10" s="74"/>
      <c r="I10" s="5" t="s">
        <v>269</v>
      </c>
      <c r="J10" s="1319">
        <v>8</v>
      </c>
      <c r="K10" s="1560"/>
      <c r="L10" s="621">
        <v>8</v>
      </c>
      <c r="M10" s="1560"/>
      <c r="N10" s="1027"/>
      <c r="O10" s="1583"/>
      <c r="P10" s="1027">
        <v>2</v>
      </c>
      <c r="Q10" s="1583"/>
      <c r="R10" s="1027"/>
      <c r="S10" s="1583"/>
      <c r="T10" s="1027"/>
      <c r="U10" s="1583"/>
      <c r="V10" s="1027"/>
      <c r="W10" s="1583"/>
      <c r="X10" s="665">
        <f t="shared" si="1"/>
        <v>0</v>
      </c>
      <c r="Y10" s="74"/>
      <c r="Z10" s="74"/>
      <c r="AA10" s="502">
        <f t="shared" si="2"/>
        <v>0</v>
      </c>
      <c r="AB10" s="566">
        <f t="shared" si="3"/>
        <v>0</v>
      </c>
      <c r="AC10" s="566">
        <f t="shared" si="4"/>
        <v>0</v>
      </c>
      <c r="AD10" s="566">
        <f t="shared" si="5"/>
        <v>0</v>
      </c>
      <c r="AE10" s="566">
        <f t="shared" si="6"/>
        <v>0</v>
      </c>
      <c r="AJ10" s="393"/>
      <c r="AK10" s="671">
        <f t="shared" si="7"/>
        <v>0</v>
      </c>
      <c r="AL10" s="671"/>
      <c r="AM10" s="570">
        <v>0</v>
      </c>
      <c r="AN10" s="570"/>
      <c r="AO10" s="570">
        <v>0</v>
      </c>
      <c r="AP10" s="570"/>
      <c r="AQ10" s="570">
        <v>0</v>
      </c>
      <c r="AR10" s="570"/>
      <c r="AS10" s="676">
        <v>0</v>
      </c>
      <c r="AT10" s="676"/>
      <c r="AU10" s="570">
        <v>0</v>
      </c>
      <c r="AV10" s="570"/>
      <c r="AW10" s="570">
        <v>0</v>
      </c>
      <c r="AX10" s="570"/>
      <c r="AY10" s="570">
        <v>0</v>
      </c>
      <c r="AZ10" s="570"/>
      <c r="BA10" s="672">
        <f t="shared" si="8"/>
        <v>0</v>
      </c>
    </row>
    <row r="11" spans="1:53" s="2" customFormat="1" ht="15.6" customHeight="1">
      <c r="A11" s="1892" t="s">
        <v>288</v>
      </c>
      <c r="B11" s="1953" t="s">
        <v>542</v>
      </c>
      <c r="C11" s="21">
        <v>3</v>
      </c>
      <c r="D11" s="23" t="s">
        <v>2</v>
      </c>
      <c r="E11" s="473"/>
      <c r="F11" s="630" t="s">
        <v>475</v>
      </c>
      <c r="G11" s="5" t="s">
        <v>1804</v>
      </c>
      <c r="H11" s="624">
        <v>7</v>
      </c>
      <c r="I11" s="5"/>
      <c r="J11" s="68">
        <f>IF(J12=0,"",J13/J12)</f>
        <v>0.79678180052711889</v>
      </c>
      <c r="K11" s="1563"/>
      <c r="L11" s="68">
        <f>IF(L12=0,"",L13/L12)</f>
        <v>0.77043673012318026</v>
      </c>
      <c r="M11" s="1563"/>
      <c r="N11" s="68">
        <f t="shared" ref="N11:V11" si="9">IF(N12=0,"",N13/N12)</f>
        <v>0.76716722554308203</v>
      </c>
      <c r="O11" s="1585"/>
      <c r="P11" s="68">
        <f t="shared" si="9"/>
        <v>0.95081967213114749</v>
      </c>
      <c r="Q11" s="1585"/>
      <c r="R11" s="68">
        <f t="shared" si="9"/>
        <v>0.74399999999999999</v>
      </c>
      <c r="S11" s="1585"/>
      <c r="T11" s="68">
        <f t="shared" si="9"/>
        <v>0.92592592592592593</v>
      </c>
      <c r="U11" s="1585"/>
      <c r="V11" s="68">
        <f t="shared" si="9"/>
        <v>0.91666666666666663</v>
      </c>
      <c r="W11" s="1585"/>
      <c r="X11" s="665">
        <f t="shared" si="1"/>
        <v>-3.3064347587394405E-2</v>
      </c>
      <c r="Y11" s="245" t="str">
        <f>G11</f>
        <v>行业排序评分</v>
      </c>
      <c r="Z11" s="245" t="str">
        <f>G11</f>
        <v>行业排序评分</v>
      </c>
      <c r="AA11" s="245" t="str">
        <f>"行业排序评分"</f>
        <v>行业排序评分</v>
      </c>
      <c r="AB11" s="566">
        <f>7</f>
        <v>7</v>
      </c>
      <c r="AC11" s="566">
        <f t="shared" si="4"/>
        <v>2.1</v>
      </c>
      <c r="AD11" s="566">
        <f t="shared" si="5"/>
        <v>0.23333333333333334</v>
      </c>
      <c r="AE11" s="566">
        <f t="shared" si="6"/>
        <v>0.11666666666666667</v>
      </c>
      <c r="AJ11" s="393"/>
      <c r="AK11" s="671">
        <f>H11*J11</f>
        <v>5.5774726036898326</v>
      </c>
      <c r="AL11" s="673" t="s">
        <v>1596</v>
      </c>
      <c r="AM11" s="570">
        <v>0</v>
      </c>
      <c r="AN11" s="570"/>
      <c r="AO11" s="674">
        <v>1</v>
      </c>
      <c r="AP11" s="674">
        <v>5.8124083474337276</v>
      </c>
      <c r="AQ11" s="570">
        <v>1</v>
      </c>
      <c r="AR11" s="570">
        <v>7</v>
      </c>
      <c r="AS11" s="675">
        <v>1</v>
      </c>
      <c r="AT11" s="675">
        <v>4.7833333333333332</v>
      </c>
      <c r="AU11" s="674">
        <v>1</v>
      </c>
      <c r="AV11" s="674">
        <v>7</v>
      </c>
      <c r="AW11" s="674">
        <v>1</v>
      </c>
      <c r="AX11" s="674">
        <v>6.4776119402985071</v>
      </c>
      <c r="AY11" s="674">
        <v>0</v>
      </c>
      <c r="AZ11" s="674"/>
      <c r="BA11" s="672">
        <f t="shared" si="8"/>
        <v>36.073353621065571</v>
      </c>
    </row>
    <row r="12" spans="1:53" s="2" customFormat="1" ht="15.6" customHeight="1">
      <c r="A12" s="1893"/>
      <c r="B12" s="1954"/>
      <c r="C12" s="22"/>
      <c r="D12" s="470" t="s">
        <v>2528</v>
      </c>
      <c r="E12" s="473" t="s">
        <v>528</v>
      </c>
      <c r="F12" s="630"/>
      <c r="G12" s="5"/>
      <c r="H12" s="74"/>
      <c r="I12" s="5" t="s">
        <v>721</v>
      </c>
      <c r="J12" s="1319">
        <v>7209</v>
      </c>
      <c r="K12" s="1560"/>
      <c r="L12" s="621">
        <v>7144</v>
      </c>
      <c r="M12" s="1560"/>
      <c r="N12" s="1027">
        <v>6859</v>
      </c>
      <c r="O12" s="1704">
        <v>6920</v>
      </c>
      <c r="P12" s="1027">
        <v>61</v>
      </c>
      <c r="Q12" s="1583">
        <v>53</v>
      </c>
      <c r="R12" s="1027">
        <v>125</v>
      </c>
      <c r="S12" s="1705">
        <v>117</v>
      </c>
      <c r="T12" s="1027">
        <v>27</v>
      </c>
      <c r="U12" s="1583">
        <v>13</v>
      </c>
      <c r="V12" s="1027">
        <v>72</v>
      </c>
      <c r="W12" s="1583">
        <v>53</v>
      </c>
      <c r="X12" s="665">
        <f t="shared" si="1"/>
        <v>-9.0165071438479405E-3</v>
      </c>
      <c r="Y12" s="74"/>
      <c r="Z12" s="74"/>
      <c r="AA12" s="502">
        <f>Y12-Z12</f>
        <v>0</v>
      </c>
      <c r="AB12" s="566">
        <f>H12-Y12</f>
        <v>0</v>
      </c>
      <c r="AC12" s="566">
        <f t="shared" si="4"/>
        <v>0</v>
      </c>
      <c r="AD12" s="566">
        <f t="shared" si="5"/>
        <v>0</v>
      </c>
      <c r="AE12" s="566">
        <f t="shared" si="6"/>
        <v>0</v>
      </c>
      <c r="AJ12" s="393"/>
      <c r="AK12" s="671">
        <f t="shared" ref="AK12:AK37" si="10">Z12</f>
        <v>0</v>
      </c>
      <c r="AL12" s="671"/>
      <c r="AM12" s="570">
        <v>0</v>
      </c>
      <c r="AN12" s="570"/>
      <c r="AO12" s="570">
        <v>0</v>
      </c>
      <c r="AP12" s="570"/>
      <c r="AQ12" s="570">
        <v>0</v>
      </c>
      <c r="AR12" s="570"/>
      <c r="AS12" s="676">
        <v>0</v>
      </c>
      <c r="AT12" s="676"/>
      <c r="AU12" s="570">
        <v>0</v>
      </c>
      <c r="AV12" s="570"/>
      <c r="AW12" s="570">
        <v>0</v>
      </c>
      <c r="AX12" s="570"/>
      <c r="AY12" s="570">
        <v>0</v>
      </c>
      <c r="AZ12" s="570"/>
      <c r="BA12" s="672">
        <f t="shared" si="8"/>
        <v>0</v>
      </c>
    </row>
    <row r="13" spans="1:53" s="2" customFormat="1" ht="15.6" customHeight="1">
      <c r="A13" s="1894"/>
      <c r="B13" s="1955"/>
      <c r="C13" s="22"/>
      <c r="D13" s="470" t="s">
        <v>3</v>
      </c>
      <c r="E13" s="473" t="s">
        <v>528</v>
      </c>
      <c r="F13" s="630"/>
      <c r="G13" s="5"/>
      <c r="H13" s="74"/>
      <c r="I13" s="5" t="s">
        <v>721</v>
      </c>
      <c r="J13" s="1319">
        <v>5744</v>
      </c>
      <c r="K13" s="1560"/>
      <c r="L13" s="621">
        <v>5504</v>
      </c>
      <c r="M13" s="1560"/>
      <c r="N13" s="1027">
        <v>5262</v>
      </c>
      <c r="O13" s="1583">
        <v>5548</v>
      </c>
      <c r="P13" s="1027">
        <v>58</v>
      </c>
      <c r="Q13" s="1583">
        <v>53</v>
      </c>
      <c r="R13" s="1027">
        <v>93</v>
      </c>
      <c r="S13" s="1583">
        <v>81</v>
      </c>
      <c r="T13" s="1027">
        <v>25</v>
      </c>
      <c r="U13" s="1583">
        <v>12</v>
      </c>
      <c r="V13" s="1027">
        <v>66</v>
      </c>
      <c r="W13" s="1583">
        <v>53</v>
      </c>
      <c r="X13" s="665">
        <f t="shared" si="1"/>
        <v>-4.1782729805013963E-2</v>
      </c>
      <c r="Y13" s="74"/>
      <c r="Z13" s="74"/>
      <c r="AA13" s="502">
        <f>Y13-Z13</f>
        <v>0</v>
      </c>
      <c r="AB13" s="566">
        <f>H13-Y13</f>
        <v>0</v>
      </c>
      <c r="AC13" s="566">
        <f t="shared" si="4"/>
        <v>0</v>
      </c>
      <c r="AD13" s="566">
        <f t="shared" si="5"/>
        <v>0</v>
      </c>
      <c r="AE13" s="566">
        <f t="shared" si="6"/>
        <v>0</v>
      </c>
      <c r="AJ13" s="393"/>
      <c r="AK13" s="671">
        <f t="shared" si="10"/>
        <v>0</v>
      </c>
      <c r="AL13" s="671"/>
      <c r="AM13" s="570">
        <v>0</v>
      </c>
      <c r="AN13" s="570"/>
      <c r="AO13" s="570">
        <v>0</v>
      </c>
      <c r="AP13" s="570"/>
      <c r="AQ13" s="570">
        <v>0</v>
      </c>
      <c r="AR13" s="570"/>
      <c r="AS13" s="676">
        <v>0</v>
      </c>
      <c r="AT13" s="676"/>
      <c r="AU13" s="570">
        <v>0</v>
      </c>
      <c r="AV13" s="570"/>
      <c r="AW13" s="570">
        <v>0</v>
      </c>
      <c r="AX13" s="570"/>
      <c r="AY13" s="570">
        <v>0</v>
      </c>
      <c r="AZ13" s="570"/>
      <c r="BA13" s="672">
        <f t="shared" si="8"/>
        <v>0</v>
      </c>
    </row>
    <row r="14" spans="1:53" s="2" customFormat="1" ht="39.75" customHeight="1">
      <c r="A14" s="1892" t="s">
        <v>547</v>
      </c>
      <c r="B14" s="1895" t="s">
        <v>511</v>
      </c>
      <c r="C14" s="21">
        <v>4</v>
      </c>
      <c r="D14" s="20" t="s">
        <v>2399</v>
      </c>
      <c r="E14" s="473" t="s">
        <v>528</v>
      </c>
      <c r="F14" s="630" t="s">
        <v>472</v>
      </c>
      <c r="G14" s="1902" t="s">
        <v>1806</v>
      </c>
      <c r="H14" s="1960">
        <v>8</v>
      </c>
      <c r="I14" s="5" t="s">
        <v>722</v>
      </c>
      <c r="J14" s="1318">
        <v>4</v>
      </c>
      <c r="K14" s="1559"/>
      <c r="L14" s="1026">
        <v>0</v>
      </c>
      <c r="M14" s="1559"/>
      <c r="N14" s="1026">
        <v>0</v>
      </c>
      <c r="O14" s="1584"/>
      <c r="P14" s="1027">
        <v>0</v>
      </c>
      <c r="Q14" s="1583"/>
      <c r="R14" s="1027">
        <v>0</v>
      </c>
      <c r="S14" s="1583"/>
      <c r="T14" s="1027">
        <v>0</v>
      </c>
      <c r="U14" s="1583"/>
      <c r="V14" s="1027">
        <v>0</v>
      </c>
      <c r="W14" s="1583"/>
      <c r="X14" s="665">
        <f t="shared" si="1"/>
        <v>-1</v>
      </c>
      <c r="Y14" s="1958">
        <f>IF(L14=0,8,"行业水平得分")</f>
        <v>8</v>
      </c>
      <c r="Z14" s="1958" t="str">
        <f>IF(J14=0,8,"行业水平得分")</f>
        <v>行业水平得分</v>
      </c>
      <c r="AA14" s="1958" t="str">
        <f>IF(X14=0,8,"行业水平得分")</f>
        <v>行业水平得分</v>
      </c>
      <c r="AB14" s="1962">
        <v>8</v>
      </c>
      <c r="AC14" s="1907">
        <f t="shared" si="4"/>
        <v>2.4</v>
      </c>
      <c r="AD14" s="1907">
        <f t="shared" si="5"/>
        <v>0.26666666666666666</v>
      </c>
      <c r="AE14" s="1907">
        <f t="shared" si="6"/>
        <v>0.13333333333333333</v>
      </c>
      <c r="AJ14" s="393"/>
      <c r="AK14" s="671" t="str">
        <f t="shared" si="10"/>
        <v>行业水平得分</v>
      </c>
      <c r="AL14" s="671"/>
      <c r="AM14" s="570">
        <v>0</v>
      </c>
      <c r="AN14" s="570"/>
      <c r="AO14" s="674">
        <v>1</v>
      </c>
      <c r="AP14" s="674">
        <f>$Y14</f>
        <v>8</v>
      </c>
      <c r="AQ14" s="570">
        <v>1</v>
      </c>
      <c r="AR14" s="674">
        <f>$Y14</f>
        <v>8</v>
      </c>
      <c r="AS14" s="675">
        <v>1</v>
      </c>
      <c r="AT14" s="674">
        <f>$Y14</f>
        <v>8</v>
      </c>
      <c r="AU14" s="675">
        <v>1</v>
      </c>
      <c r="AV14" s="674">
        <f>$Y14</f>
        <v>8</v>
      </c>
      <c r="AW14" s="674">
        <v>1</v>
      </c>
      <c r="AX14" s="674">
        <f>$Y14</f>
        <v>8</v>
      </c>
      <c r="AY14" s="674">
        <v>0</v>
      </c>
      <c r="AZ14" s="674"/>
      <c r="BA14" s="672">
        <f t="shared" si="8"/>
        <v>45</v>
      </c>
    </row>
    <row r="15" spans="1:53" s="2" customFormat="1" ht="34.5" customHeight="1">
      <c r="A15" s="1894"/>
      <c r="B15" s="1897"/>
      <c r="C15" s="13">
        <v>5</v>
      </c>
      <c r="D15" s="20" t="s">
        <v>4</v>
      </c>
      <c r="E15" s="473" t="s">
        <v>1040</v>
      </c>
      <c r="F15" s="630" t="s">
        <v>472</v>
      </c>
      <c r="G15" s="1903"/>
      <c r="H15" s="1961"/>
      <c r="I15" s="5" t="s">
        <v>727</v>
      </c>
      <c r="J15" s="66">
        <v>892062784.09999979</v>
      </c>
      <c r="K15" s="1562"/>
      <c r="L15" s="66">
        <v>765323676.57999992</v>
      </c>
      <c r="M15" s="1562"/>
      <c r="N15" s="5"/>
      <c r="O15" s="1581"/>
      <c r="P15" s="1556" t="s">
        <v>2523</v>
      </c>
      <c r="Q15" s="1581"/>
      <c r="R15" s="5"/>
      <c r="S15" s="1581"/>
      <c r="T15" s="5"/>
      <c r="U15" s="1581"/>
      <c r="V15" s="5"/>
      <c r="W15" s="1581"/>
      <c r="X15" s="665">
        <f t="shared" si="1"/>
        <v>-0.14207420125464232</v>
      </c>
      <c r="Y15" s="1959"/>
      <c r="Z15" s="1959"/>
      <c r="AA15" s="1959"/>
      <c r="AB15" s="1963"/>
      <c r="AC15" s="1909"/>
      <c r="AD15" s="1909"/>
      <c r="AE15" s="1909"/>
      <c r="AJ15" s="393"/>
      <c r="AK15" s="671">
        <f t="shared" si="10"/>
        <v>0</v>
      </c>
      <c r="AL15" s="671"/>
      <c r="AM15" s="570">
        <v>0</v>
      </c>
      <c r="AN15" s="570"/>
      <c r="AO15" s="570">
        <v>0</v>
      </c>
      <c r="AP15" s="570"/>
      <c r="AQ15" s="570">
        <v>1</v>
      </c>
      <c r="AR15" s="570"/>
      <c r="AS15" s="570">
        <v>0</v>
      </c>
      <c r="AT15" s="570"/>
      <c r="AU15" s="674">
        <v>0</v>
      </c>
      <c r="AV15" s="674"/>
      <c r="AW15" s="570">
        <v>0</v>
      </c>
      <c r="AX15" s="570"/>
      <c r="AY15" s="570">
        <v>0</v>
      </c>
      <c r="AZ15" s="570"/>
      <c r="BA15" s="672">
        <f t="shared" si="8"/>
        <v>1</v>
      </c>
    </row>
    <row r="16" spans="1:53" s="2" customFormat="1" ht="15.6" customHeight="1">
      <c r="A16" s="1892" t="s">
        <v>2027</v>
      </c>
      <c r="B16" s="1953" t="s">
        <v>2028</v>
      </c>
      <c r="C16" s="21">
        <v>6</v>
      </c>
      <c r="D16" s="971" t="s">
        <v>2013</v>
      </c>
      <c r="E16" s="473"/>
      <c r="F16" s="630" t="s">
        <v>473</v>
      </c>
      <c r="G16" s="5" t="s">
        <v>1802</v>
      </c>
      <c r="H16" s="624">
        <v>7</v>
      </c>
      <c r="I16" s="5"/>
      <c r="J16" s="68">
        <f>IF(J18=0,"",J17/J18)</f>
        <v>0.97745456901298955</v>
      </c>
      <c r="K16" s="1563"/>
      <c r="L16" s="68">
        <f>IF(L18=0,"",L17/L18)</f>
        <v>0.98255074751194704</v>
      </c>
      <c r="M16" s="1563"/>
      <c r="N16" s="68">
        <f t="shared" ref="N16:V16" si="11">IF(N18=0,"",N17/N18)</f>
        <v>0.98705948866134807</v>
      </c>
      <c r="O16" s="1585"/>
      <c r="P16" s="68">
        <f t="shared" si="11"/>
        <v>1</v>
      </c>
      <c r="Q16" s="1585"/>
      <c r="R16" s="68">
        <f t="shared" si="11"/>
        <v>0.96816976127320953</v>
      </c>
      <c r="S16" s="1585"/>
      <c r="T16" s="68">
        <f t="shared" si="11"/>
        <v>0.97233134073441507</v>
      </c>
      <c r="U16" s="1585"/>
      <c r="V16" s="68">
        <f t="shared" si="11"/>
        <v>0.97530864197530864</v>
      </c>
      <c r="W16" s="1585"/>
      <c r="X16" s="665">
        <f t="shared" si="1"/>
        <v>5.2137241571272863E-3</v>
      </c>
      <c r="Y16" s="458">
        <f>70*L16-63</f>
        <v>5.7785523258362872</v>
      </c>
      <c r="Z16" s="458">
        <f>70*J16-63</f>
        <v>5.4218198309092713</v>
      </c>
      <c r="AA16" s="502">
        <f>Y16-Z16</f>
        <v>0.35673249492701586</v>
      </c>
      <c r="AB16" s="64">
        <f>H16-Y16</f>
        <v>1.2214476741637128</v>
      </c>
      <c r="AC16" s="566">
        <f t="shared" si="4"/>
        <v>0.36643430224911383</v>
      </c>
      <c r="AD16" s="566">
        <f t="shared" si="5"/>
        <v>4.0714922472123757E-2</v>
      </c>
      <c r="AE16" s="1022">
        <f t="shared" si="6"/>
        <v>2.0357461236061879E-2</v>
      </c>
      <c r="AJ16" s="393"/>
      <c r="AK16" s="671">
        <f t="shared" si="10"/>
        <v>5.4218198309092713</v>
      </c>
      <c r="AL16" s="673" t="s">
        <v>1596</v>
      </c>
      <c r="AM16" s="677">
        <v>1</v>
      </c>
      <c r="AN16" s="570">
        <f>$Y16</f>
        <v>5.7785523258362872</v>
      </c>
      <c r="AO16" s="674">
        <v>1</v>
      </c>
      <c r="AP16" s="674">
        <v>5.9884088514225482</v>
      </c>
      <c r="AQ16" s="570">
        <v>0</v>
      </c>
      <c r="AR16" s="570">
        <v>4.5862068965517295</v>
      </c>
      <c r="AS16" s="675">
        <v>1</v>
      </c>
      <c r="AT16" s="675">
        <v>4.1048744460856739</v>
      </c>
      <c r="AU16" s="675">
        <v>1</v>
      </c>
      <c r="AV16" s="675">
        <v>4.4384404924760616</v>
      </c>
      <c r="AW16" s="674">
        <v>1</v>
      </c>
      <c r="AX16" s="674">
        <v>7</v>
      </c>
      <c r="AY16" s="674">
        <v>0</v>
      </c>
      <c r="AZ16" s="674"/>
      <c r="BA16" s="672">
        <f t="shared" si="8"/>
        <v>36.8964830123723</v>
      </c>
    </row>
    <row r="17" spans="1:53" s="2" customFormat="1" ht="15.6" customHeight="1">
      <c r="A17" s="1893"/>
      <c r="B17" s="1954"/>
      <c r="C17" s="22"/>
      <c r="D17" s="1593" t="s">
        <v>5</v>
      </c>
      <c r="E17" s="1594" t="s">
        <v>253</v>
      </c>
      <c r="F17" s="1595"/>
      <c r="G17" s="1596"/>
      <c r="H17" s="1597"/>
      <c r="I17" s="1556" t="s">
        <v>270</v>
      </c>
      <c r="J17" s="1592">
        <v>30175</v>
      </c>
      <c r="K17" s="1592">
        <v>35324</v>
      </c>
      <c r="L17" s="1592">
        <v>22411</v>
      </c>
      <c r="M17" s="1592">
        <v>23657</v>
      </c>
      <c r="N17" s="1591">
        <v>15713</v>
      </c>
      <c r="O17" s="1591">
        <v>16206</v>
      </c>
      <c r="P17" s="1591">
        <v>38</v>
      </c>
      <c r="Q17" s="1591">
        <v>39</v>
      </c>
      <c r="R17" s="1591">
        <v>730</v>
      </c>
      <c r="S17" s="1591">
        <v>742</v>
      </c>
      <c r="T17" s="1591">
        <v>5693</v>
      </c>
      <c r="U17" s="1591">
        <v>6418</v>
      </c>
      <c r="V17" s="1591">
        <v>237</v>
      </c>
      <c r="W17" s="1591">
        <v>252</v>
      </c>
      <c r="X17" s="1573">
        <f t="shared" si="1"/>
        <v>-0.25729908864954432</v>
      </c>
      <c r="Y17" s="1568"/>
      <c r="Z17" s="1568"/>
      <c r="AA17" s="1571">
        <f>Y17-Z17</f>
        <v>0</v>
      </c>
      <c r="AB17" s="1572">
        <f>H17-Y17</f>
        <v>0</v>
      </c>
      <c r="AC17" s="566">
        <f t="shared" si="4"/>
        <v>0</v>
      </c>
      <c r="AD17" s="566">
        <f t="shared" si="5"/>
        <v>0</v>
      </c>
      <c r="AE17" s="566">
        <f t="shared" si="6"/>
        <v>0</v>
      </c>
      <c r="AJ17" s="393"/>
      <c r="AK17" s="671">
        <f t="shared" si="10"/>
        <v>0</v>
      </c>
      <c r="AL17" s="671"/>
      <c r="AM17" s="570">
        <v>0</v>
      </c>
      <c r="AN17" s="570"/>
      <c r="AO17" s="570">
        <v>0</v>
      </c>
      <c r="AP17" s="570"/>
      <c r="AQ17" s="570">
        <v>0</v>
      </c>
      <c r="AR17" s="570"/>
      <c r="AS17" s="676">
        <v>0</v>
      </c>
      <c r="AT17" s="676"/>
      <c r="AU17" s="570">
        <v>0</v>
      </c>
      <c r="AV17" s="570"/>
      <c r="AW17" s="570">
        <v>0</v>
      </c>
      <c r="AX17" s="570"/>
      <c r="AY17" s="570">
        <v>0</v>
      </c>
      <c r="AZ17" s="570"/>
      <c r="BA17" s="672">
        <f t="shared" si="8"/>
        <v>0</v>
      </c>
    </row>
    <row r="18" spans="1:53" s="2" customFormat="1" ht="15.6" customHeight="1">
      <c r="A18" s="1894"/>
      <c r="B18" s="1955"/>
      <c r="C18" s="22"/>
      <c r="D18" s="1593" t="s">
        <v>6</v>
      </c>
      <c r="E18" s="1594" t="s">
        <v>253</v>
      </c>
      <c r="F18" s="1595"/>
      <c r="G18" s="1596"/>
      <c r="H18" s="1597"/>
      <c r="I18" s="1556" t="s">
        <v>270</v>
      </c>
      <c r="J18" s="1592">
        <v>30871</v>
      </c>
      <c r="K18" s="1592">
        <v>35793</v>
      </c>
      <c r="L18" s="1592">
        <v>22809</v>
      </c>
      <c r="M18" s="1592">
        <v>23881</v>
      </c>
      <c r="N18" s="1591">
        <v>15919</v>
      </c>
      <c r="O18" s="1591">
        <v>16280</v>
      </c>
      <c r="P18" s="1591">
        <v>38</v>
      </c>
      <c r="Q18" s="1591">
        <v>39</v>
      </c>
      <c r="R18" s="1591">
        <v>754</v>
      </c>
      <c r="S18" s="1591">
        <v>747</v>
      </c>
      <c r="T18" s="1591">
        <v>5855</v>
      </c>
      <c r="U18" s="1591">
        <v>6561</v>
      </c>
      <c r="V18" s="1591">
        <v>243</v>
      </c>
      <c r="W18" s="1591">
        <v>254</v>
      </c>
      <c r="X18" s="1573">
        <f t="shared" si="1"/>
        <v>-0.26115124226620456</v>
      </c>
      <c r="Y18" s="1564"/>
      <c r="Z18" s="1564"/>
      <c r="AA18" s="1571">
        <f>Y18-Z18</f>
        <v>0</v>
      </c>
      <c r="AB18" s="1572">
        <f>H18-Y18</f>
        <v>0</v>
      </c>
      <c r="AC18" s="566">
        <f t="shared" si="4"/>
        <v>0</v>
      </c>
      <c r="AD18" s="566">
        <f t="shared" si="5"/>
        <v>0</v>
      </c>
      <c r="AE18" s="566">
        <f t="shared" si="6"/>
        <v>0</v>
      </c>
      <c r="AJ18" s="393"/>
      <c r="AK18" s="671">
        <f t="shared" si="10"/>
        <v>0</v>
      </c>
      <c r="AL18" s="671"/>
      <c r="AM18" s="570">
        <v>0</v>
      </c>
      <c r="AN18" s="570"/>
      <c r="AO18" s="570">
        <v>0</v>
      </c>
      <c r="AP18" s="570"/>
      <c r="AQ18" s="570">
        <v>0</v>
      </c>
      <c r="AR18" s="570"/>
      <c r="AS18" s="676">
        <v>0</v>
      </c>
      <c r="AT18" s="676"/>
      <c r="AU18" s="570">
        <v>0</v>
      </c>
      <c r="AV18" s="570"/>
      <c r="AW18" s="570">
        <v>0</v>
      </c>
      <c r="AX18" s="570"/>
      <c r="AY18" s="570">
        <v>0</v>
      </c>
      <c r="AZ18" s="570"/>
      <c r="BA18" s="672">
        <f t="shared" si="8"/>
        <v>0</v>
      </c>
    </row>
    <row r="19" spans="1:53" s="18" customFormat="1" ht="16.5" customHeight="1">
      <c r="A19" s="1892" t="s">
        <v>548</v>
      </c>
      <c r="B19" s="1953" t="s">
        <v>543</v>
      </c>
      <c r="C19" s="467">
        <v>7</v>
      </c>
      <c r="D19" s="20" t="s">
        <v>2014</v>
      </c>
      <c r="E19" s="468"/>
      <c r="F19" s="630" t="s">
        <v>473</v>
      </c>
      <c r="G19" s="58" t="s">
        <v>1804</v>
      </c>
      <c r="H19" s="624">
        <v>7</v>
      </c>
      <c r="I19" s="58"/>
      <c r="J19" s="68">
        <f>IF(J21=0,"",J20/J21)</f>
        <v>1.6541420249899953E-2</v>
      </c>
      <c r="K19" s="1563"/>
      <c r="L19" s="68">
        <f>IF(L21=0,"",L20/L21)</f>
        <v>1.7530466253852461E-2</v>
      </c>
      <c r="M19" s="1563"/>
      <c r="N19" s="68">
        <f t="shared" ref="N19:V19" si="12">IF(N21=0,"",N20/N21)</f>
        <v>1.6530356138301096E-2</v>
      </c>
      <c r="O19" s="1585"/>
      <c r="P19" s="68">
        <f>IF(P21=0,"",P20/P21)</f>
        <v>4.9180327868852458E-2</v>
      </c>
      <c r="Q19" s="1585"/>
      <c r="R19" s="68">
        <f t="shared" si="12"/>
        <v>2.4539877300613498E-2</v>
      </c>
      <c r="S19" s="1585"/>
      <c r="T19" s="68">
        <f t="shared" si="12"/>
        <v>1.9244935543278083E-2</v>
      </c>
      <c r="U19" s="1585"/>
      <c r="V19" s="68">
        <f t="shared" si="12"/>
        <v>5.5710306406685237E-3</v>
      </c>
      <c r="W19" s="1585"/>
      <c r="X19" s="167">
        <f t="shared" si="1"/>
        <v>5.9792084900236464E-2</v>
      </c>
      <c r="Y19" s="245" t="str">
        <f>G19</f>
        <v>行业排序评分</v>
      </c>
      <c r="Z19" s="245" t="str">
        <f>G19</f>
        <v>行业排序评分</v>
      </c>
      <c r="AA19" s="245" t="str">
        <f>"行业排序评分"</f>
        <v>行业排序评分</v>
      </c>
      <c r="AB19" s="64">
        <v>7</v>
      </c>
      <c r="AC19" s="566">
        <f t="shared" si="4"/>
        <v>2.1</v>
      </c>
      <c r="AD19" s="566">
        <f t="shared" si="5"/>
        <v>0.23333333333333334</v>
      </c>
      <c r="AE19" s="566">
        <f t="shared" si="6"/>
        <v>0.11666666666666667</v>
      </c>
      <c r="AJ19" s="393"/>
      <c r="AK19" s="671" t="str">
        <f t="shared" si="10"/>
        <v>行业排序评分</v>
      </c>
      <c r="AL19" s="673" t="s">
        <v>1596</v>
      </c>
      <c r="AM19" s="570">
        <v>0</v>
      </c>
      <c r="AN19" s="570"/>
      <c r="AO19" s="674">
        <v>1</v>
      </c>
      <c r="AP19" s="674">
        <v>5.8691374587735483</v>
      </c>
      <c r="AQ19" s="570">
        <v>1</v>
      </c>
      <c r="AR19" s="570">
        <v>3.3157894736842106</v>
      </c>
      <c r="AS19" s="675">
        <v>1</v>
      </c>
      <c r="AT19" s="675">
        <v>4.3621323529411766</v>
      </c>
      <c r="AU19" s="675">
        <v>1</v>
      </c>
      <c r="AV19" s="675">
        <v>6.1678747463032764</v>
      </c>
      <c r="AW19" s="674">
        <v>1</v>
      </c>
      <c r="AX19" s="674">
        <v>7</v>
      </c>
      <c r="AY19" s="674">
        <v>0</v>
      </c>
      <c r="AZ19" s="674"/>
      <c r="BA19" s="672">
        <f t="shared" si="8"/>
        <v>31.714934031702214</v>
      </c>
    </row>
    <row r="20" spans="1:53" s="2" customFormat="1" ht="15" customHeight="1">
      <c r="A20" s="1893"/>
      <c r="B20" s="1954"/>
      <c r="C20" s="22"/>
      <c r="D20" s="470" t="s">
        <v>2015</v>
      </c>
      <c r="E20" s="473" t="s">
        <v>253</v>
      </c>
      <c r="F20" s="630"/>
      <c r="G20" s="5"/>
      <c r="H20" s="74"/>
      <c r="I20" s="5"/>
      <c r="J20" s="62">
        <v>372</v>
      </c>
      <c r="K20" s="1561"/>
      <c r="L20" s="62">
        <v>620</v>
      </c>
      <c r="M20" s="1561"/>
      <c r="N20" s="1027">
        <v>382</v>
      </c>
      <c r="O20" s="1583"/>
      <c r="P20" s="1027">
        <v>3</v>
      </c>
      <c r="Q20" s="1583"/>
      <c r="R20" s="1027">
        <v>24</v>
      </c>
      <c r="S20" s="1583"/>
      <c r="T20" s="1027">
        <v>209</v>
      </c>
      <c r="U20" s="1583"/>
      <c r="V20" s="1027">
        <v>2</v>
      </c>
      <c r="W20" s="1583"/>
      <c r="X20" s="665">
        <f t="shared" si="1"/>
        <v>0.66666666666666674</v>
      </c>
      <c r="Y20" s="74"/>
      <c r="Z20" s="74"/>
      <c r="AA20" s="502">
        <f t="shared" ref="AA20:AA31" si="13">Y20-Z20</f>
        <v>0</v>
      </c>
      <c r="AB20" s="566">
        <f>H20-Y20</f>
        <v>0</v>
      </c>
      <c r="AC20" s="566">
        <f t="shared" si="4"/>
        <v>0</v>
      </c>
      <c r="AD20" s="566">
        <f t="shared" si="5"/>
        <v>0</v>
      </c>
      <c r="AE20" s="566">
        <f t="shared" si="6"/>
        <v>0</v>
      </c>
      <c r="AJ20" s="393"/>
      <c r="AK20" s="671">
        <f t="shared" si="10"/>
        <v>0</v>
      </c>
      <c r="AL20" s="671"/>
      <c r="AM20" s="570">
        <v>0</v>
      </c>
      <c r="AN20" s="570"/>
      <c r="AO20" s="570">
        <v>0</v>
      </c>
      <c r="AP20" s="570"/>
      <c r="AQ20" s="570">
        <v>0</v>
      </c>
      <c r="AR20" s="570"/>
      <c r="AS20" s="676">
        <v>0</v>
      </c>
      <c r="AT20" s="676"/>
      <c r="AU20" s="570">
        <v>0</v>
      </c>
      <c r="AV20" s="570"/>
      <c r="AW20" s="570">
        <v>0</v>
      </c>
      <c r="AX20" s="570"/>
      <c r="AY20" s="570">
        <v>0</v>
      </c>
      <c r="AZ20" s="570"/>
      <c r="BA20" s="672">
        <f t="shared" si="8"/>
        <v>0</v>
      </c>
    </row>
    <row r="21" spans="1:53" s="2" customFormat="1" ht="15.6" customHeight="1">
      <c r="A21" s="1894"/>
      <c r="B21" s="1955"/>
      <c r="C21" s="22"/>
      <c r="D21" s="470" t="s">
        <v>2016</v>
      </c>
      <c r="E21" s="473" t="s">
        <v>253</v>
      </c>
      <c r="F21" s="630"/>
      <c r="G21" s="5"/>
      <c r="H21" s="74"/>
      <c r="I21" s="5"/>
      <c r="J21" s="62">
        <v>22489</v>
      </c>
      <c r="K21" s="1561"/>
      <c r="L21" s="62">
        <v>35367</v>
      </c>
      <c r="M21" s="1561"/>
      <c r="N21" s="1027">
        <v>23109</v>
      </c>
      <c r="O21" s="1583"/>
      <c r="P21" s="1027">
        <v>61</v>
      </c>
      <c r="Q21" s="1583"/>
      <c r="R21" s="1027">
        <v>978</v>
      </c>
      <c r="S21" s="1583"/>
      <c r="T21" s="1027">
        <v>10860</v>
      </c>
      <c r="U21" s="1583"/>
      <c r="V21" s="1027">
        <v>359</v>
      </c>
      <c r="W21" s="1583"/>
      <c r="X21" s="665">
        <f t="shared" si="1"/>
        <v>0.57263551069411722</v>
      </c>
      <c r="Y21" s="74"/>
      <c r="Z21" s="74"/>
      <c r="AA21" s="502">
        <f t="shared" si="13"/>
        <v>0</v>
      </c>
      <c r="AB21" s="566">
        <f>H21-Y21</f>
        <v>0</v>
      </c>
      <c r="AC21" s="566">
        <f t="shared" si="4"/>
        <v>0</v>
      </c>
      <c r="AD21" s="566">
        <f t="shared" si="5"/>
        <v>0</v>
      </c>
      <c r="AE21" s="566">
        <f t="shared" si="6"/>
        <v>0</v>
      </c>
      <c r="AJ21" s="393"/>
      <c r="AK21" s="671">
        <f t="shared" si="10"/>
        <v>0</v>
      </c>
      <c r="AL21" s="671"/>
      <c r="AM21" s="570">
        <v>0</v>
      </c>
      <c r="AN21" s="570"/>
      <c r="AO21" s="570">
        <v>0</v>
      </c>
      <c r="AP21" s="570"/>
      <c r="AQ21" s="570">
        <v>0</v>
      </c>
      <c r="AR21" s="570"/>
      <c r="AS21" s="676">
        <v>0</v>
      </c>
      <c r="AT21" s="676"/>
      <c r="AU21" s="570">
        <v>0</v>
      </c>
      <c r="AV21" s="570"/>
      <c r="AW21" s="570">
        <v>0</v>
      </c>
      <c r="AX21" s="570"/>
      <c r="AY21" s="570">
        <v>0</v>
      </c>
      <c r="AZ21" s="570"/>
      <c r="BA21" s="672">
        <f t="shared" si="8"/>
        <v>0</v>
      </c>
    </row>
    <row r="22" spans="1:53" s="2" customFormat="1" ht="15.6" customHeight="1">
      <c r="A22" s="258" t="s">
        <v>1444</v>
      </c>
      <c r="B22" s="121" t="s">
        <v>289</v>
      </c>
      <c r="C22" s="21">
        <v>8</v>
      </c>
      <c r="D22" s="971" t="s">
        <v>2135</v>
      </c>
      <c r="E22" s="468" t="s">
        <v>530</v>
      </c>
      <c r="F22" s="630" t="s">
        <v>525</v>
      </c>
      <c r="G22" s="5" t="s">
        <v>1802</v>
      </c>
      <c r="H22" s="624">
        <v>4</v>
      </c>
      <c r="I22" s="49"/>
      <c r="J22" s="472">
        <v>7</v>
      </c>
      <c r="K22" s="1570"/>
      <c r="L22" s="472">
        <v>7</v>
      </c>
      <c r="M22" s="1570"/>
      <c r="N22" s="1029">
        <v>7</v>
      </c>
      <c r="O22" s="1583"/>
      <c r="P22" s="1027">
        <v>0</v>
      </c>
      <c r="Q22" s="1583"/>
      <c r="R22" s="1027">
        <v>0</v>
      </c>
      <c r="S22" s="1583"/>
      <c r="T22" s="1027">
        <v>0</v>
      </c>
      <c r="U22" s="1583"/>
      <c r="V22" s="1027"/>
      <c r="W22" s="1583"/>
      <c r="X22" s="665">
        <f t="shared" si="1"/>
        <v>0</v>
      </c>
      <c r="Y22" s="627">
        <f>$H$22-0.5*L22</f>
        <v>0.5</v>
      </c>
      <c r="Z22" s="627">
        <f>$H$22-0.5*J22</f>
        <v>0.5</v>
      </c>
      <c r="AA22" s="1012">
        <f t="shared" si="13"/>
        <v>0</v>
      </c>
      <c r="AB22" s="566">
        <f>H22-Y22</f>
        <v>3.5</v>
      </c>
      <c r="AC22" s="566">
        <f t="shared" si="4"/>
        <v>1.05</v>
      </c>
      <c r="AD22" s="566">
        <f t="shared" si="5"/>
        <v>0.11666666666666667</v>
      </c>
      <c r="AE22" s="1022">
        <f t="shared" si="6"/>
        <v>5.8333333333333334E-2</v>
      </c>
      <c r="AJ22" s="393"/>
      <c r="AK22" s="671">
        <f t="shared" si="10"/>
        <v>0.5</v>
      </c>
      <c r="AL22" s="673" t="s">
        <v>1596</v>
      </c>
      <c r="AM22" s="570">
        <v>0</v>
      </c>
      <c r="AN22" s="570"/>
      <c r="AO22" s="674">
        <v>1</v>
      </c>
      <c r="AP22" s="674">
        <v>3</v>
      </c>
      <c r="AQ22" s="570">
        <v>1</v>
      </c>
      <c r="AR22" s="570">
        <v>4</v>
      </c>
      <c r="AS22" s="675">
        <v>1</v>
      </c>
      <c r="AT22" s="675">
        <v>3.5</v>
      </c>
      <c r="AU22" s="675">
        <v>1</v>
      </c>
      <c r="AV22" s="675">
        <v>4</v>
      </c>
      <c r="AW22" s="674">
        <v>1</v>
      </c>
      <c r="AX22" s="674">
        <v>4</v>
      </c>
      <c r="AY22" s="674">
        <v>0</v>
      </c>
      <c r="AZ22" s="674"/>
      <c r="BA22" s="672">
        <f t="shared" si="8"/>
        <v>23.5</v>
      </c>
    </row>
    <row r="23" spans="1:53" s="2" customFormat="1" ht="15.6" customHeight="1">
      <c r="A23" s="1323" t="s">
        <v>2355</v>
      </c>
      <c r="B23" s="1353" t="s">
        <v>2398</v>
      </c>
      <c r="C23" s="21">
        <v>9</v>
      </c>
      <c r="D23" s="971" t="s">
        <v>2388</v>
      </c>
      <c r="E23" s="468" t="s">
        <v>530</v>
      </c>
      <c r="F23" s="630" t="s">
        <v>525</v>
      </c>
      <c r="G23" s="5" t="s">
        <v>1803</v>
      </c>
      <c r="H23" s="624">
        <v>4</v>
      </c>
      <c r="I23" s="49"/>
      <c r="J23" s="1319">
        <v>0</v>
      </c>
      <c r="K23" s="1560"/>
      <c r="L23" s="621">
        <v>2</v>
      </c>
      <c r="M23" s="1560"/>
      <c r="N23" s="1026">
        <v>2</v>
      </c>
      <c r="O23" s="1584"/>
      <c r="P23" s="1027">
        <v>0</v>
      </c>
      <c r="Q23" s="1583"/>
      <c r="R23" s="1027">
        <v>0</v>
      </c>
      <c r="S23" s="1583"/>
      <c r="T23" s="1027">
        <v>0</v>
      </c>
      <c r="U23" s="1583"/>
      <c r="V23" s="1027"/>
      <c r="W23" s="1583"/>
      <c r="X23" s="665">
        <f t="shared" si="1"/>
        <v>1</v>
      </c>
      <c r="Y23" s="626">
        <f>$H$23-0.5*L23</f>
        <v>3</v>
      </c>
      <c r="Z23" s="626">
        <f>$H$23-0.5*J23</f>
        <v>4</v>
      </c>
      <c r="AA23" s="502">
        <f t="shared" si="13"/>
        <v>-1</v>
      </c>
      <c r="AB23" s="566">
        <f>H23-Y23</f>
        <v>1</v>
      </c>
      <c r="AC23" s="566">
        <f t="shared" si="4"/>
        <v>0.3</v>
      </c>
      <c r="AD23" s="566">
        <f t="shared" si="5"/>
        <v>3.3333333333333333E-2</v>
      </c>
      <c r="AE23" s="566">
        <f t="shared" si="6"/>
        <v>1.6666666666666666E-2</v>
      </c>
      <c r="AJ23" s="393"/>
      <c r="AK23" s="671">
        <f t="shared" si="10"/>
        <v>4</v>
      </c>
      <c r="AL23" s="673" t="s">
        <v>1596</v>
      </c>
      <c r="AM23" s="570">
        <v>0</v>
      </c>
      <c r="AN23" s="570"/>
      <c r="AO23" s="674">
        <v>1</v>
      </c>
      <c r="AP23" s="674">
        <f>$Y23</f>
        <v>3</v>
      </c>
      <c r="AQ23" s="570">
        <v>0</v>
      </c>
      <c r="AR23" s="674">
        <f>$Y23</f>
        <v>3</v>
      </c>
      <c r="AS23" s="675">
        <v>1</v>
      </c>
      <c r="AT23" s="674">
        <f>$Y23</f>
        <v>3</v>
      </c>
      <c r="AU23" s="675">
        <v>1</v>
      </c>
      <c r="AV23" s="674">
        <f>$Y23</f>
        <v>3</v>
      </c>
      <c r="AW23" s="674">
        <v>1</v>
      </c>
      <c r="AX23" s="674">
        <f>$Y23</f>
        <v>3</v>
      </c>
      <c r="AY23" s="674">
        <v>0</v>
      </c>
      <c r="AZ23" s="674"/>
      <c r="BA23" s="672">
        <f t="shared" si="8"/>
        <v>19</v>
      </c>
    </row>
    <row r="24" spans="1:53" s="2" customFormat="1" ht="15.6" customHeight="1">
      <c r="A24" s="1892" t="s">
        <v>291</v>
      </c>
      <c r="B24" s="1953" t="s">
        <v>292</v>
      </c>
      <c r="C24" s="21">
        <v>10</v>
      </c>
      <c r="D24" s="20" t="s">
        <v>7</v>
      </c>
      <c r="E24" s="473"/>
      <c r="F24" s="630" t="s">
        <v>473</v>
      </c>
      <c r="G24" s="5" t="s">
        <v>1804</v>
      </c>
      <c r="H24" s="624">
        <v>3</v>
      </c>
      <c r="I24" s="5"/>
      <c r="J24" s="1319" t="s">
        <v>1547</v>
      </c>
      <c r="K24" s="1560"/>
      <c r="L24" s="621" t="s">
        <v>1547</v>
      </c>
      <c r="M24" s="1560"/>
      <c r="N24" s="5"/>
      <c r="O24" s="1581"/>
      <c r="P24" s="5"/>
      <c r="Q24" s="1581"/>
      <c r="R24" s="5"/>
      <c r="S24" s="1581"/>
      <c r="T24" s="5"/>
      <c r="U24" s="1581"/>
      <c r="V24" s="5"/>
      <c r="W24" s="1581"/>
      <c r="X24" s="665"/>
      <c r="Y24" s="822" t="s">
        <v>1940</v>
      </c>
      <c r="Z24" s="822" t="s">
        <v>1940</v>
      </c>
      <c r="AA24" s="502">
        <v>0</v>
      </c>
      <c r="AB24" s="566"/>
      <c r="AC24" s="566">
        <f t="shared" si="4"/>
        <v>0</v>
      </c>
      <c r="AD24" s="566">
        <f t="shared" si="5"/>
        <v>0</v>
      </c>
      <c r="AE24" s="566">
        <f t="shared" si="6"/>
        <v>0</v>
      </c>
      <c r="AJ24" s="393"/>
      <c r="AK24" s="671" t="str">
        <f t="shared" si="10"/>
        <v>&lt;不适用&gt;</v>
      </c>
      <c r="AL24" s="671"/>
      <c r="AM24" s="570">
        <v>0</v>
      </c>
      <c r="AN24" s="570"/>
      <c r="AO24" s="570">
        <v>0</v>
      </c>
      <c r="AP24" s="570"/>
      <c r="AQ24" s="570">
        <v>0</v>
      </c>
      <c r="AR24" s="570"/>
      <c r="AS24" s="570">
        <v>0</v>
      </c>
      <c r="AT24" s="570"/>
      <c r="AU24" s="570">
        <v>0</v>
      </c>
      <c r="AV24" s="570"/>
      <c r="AW24" s="570">
        <v>0</v>
      </c>
      <c r="AX24" s="570"/>
      <c r="AY24" s="570">
        <v>0</v>
      </c>
      <c r="AZ24" s="570"/>
      <c r="BA24" s="672">
        <f t="shared" si="8"/>
        <v>0</v>
      </c>
    </row>
    <row r="25" spans="1:53" s="2" customFormat="1" ht="15.6" customHeight="1">
      <c r="A25" s="1893"/>
      <c r="B25" s="1954"/>
      <c r="C25" s="22"/>
      <c r="D25" s="470" t="s">
        <v>8</v>
      </c>
      <c r="E25" s="473"/>
      <c r="F25" s="630"/>
      <c r="G25" s="5"/>
      <c r="H25" s="75"/>
      <c r="I25" s="5"/>
      <c r="J25" s="1319" t="s">
        <v>1547</v>
      </c>
      <c r="K25" s="1560"/>
      <c r="L25" s="621" t="s">
        <v>1547</v>
      </c>
      <c r="M25" s="1560"/>
      <c r="N25" s="5"/>
      <c r="O25" s="1581"/>
      <c r="P25" s="5"/>
      <c r="Q25" s="1581"/>
      <c r="R25" s="5"/>
      <c r="S25" s="1581"/>
      <c r="T25" s="5"/>
      <c r="U25" s="1581"/>
      <c r="V25" s="5"/>
      <c r="W25" s="1581"/>
      <c r="X25" s="665"/>
      <c r="Y25" s="75"/>
      <c r="Z25" s="75"/>
      <c r="AA25" s="502">
        <f t="shared" si="13"/>
        <v>0</v>
      </c>
      <c r="AB25" s="566">
        <f t="shared" ref="AB25:AB31" si="14">H25-Y25</f>
        <v>0</v>
      </c>
      <c r="AC25" s="566">
        <f t="shared" si="4"/>
        <v>0</v>
      </c>
      <c r="AD25" s="566">
        <f t="shared" si="5"/>
        <v>0</v>
      </c>
      <c r="AE25" s="566">
        <f t="shared" si="6"/>
        <v>0</v>
      </c>
      <c r="AJ25" s="393"/>
      <c r="AK25" s="671">
        <f t="shared" si="10"/>
        <v>0</v>
      </c>
      <c r="AL25" s="671"/>
      <c r="AM25" s="570">
        <v>0</v>
      </c>
      <c r="AN25" s="570"/>
      <c r="AO25" s="570">
        <v>0</v>
      </c>
      <c r="AP25" s="570"/>
      <c r="AQ25" s="570">
        <v>0</v>
      </c>
      <c r="AR25" s="570"/>
      <c r="AS25" s="676">
        <v>0</v>
      </c>
      <c r="AT25" s="676"/>
      <c r="AU25" s="570">
        <v>0</v>
      </c>
      <c r="AV25" s="570"/>
      <c r="AW25" s="570">
        <v>0</v>
      </c>
      <c r="AX25" s="570"/>
      <c r="AY25" s="570">
        <v>0</v>
      </c>
      <c r="AZ25" s="570"/>
      <c r="BA25" s="672">
        <f t="shared" si="8"/>
        <v>0</v>
      </c>
    </row>
    <row r="26" spans="1:53" s="2" customFormat="1" ht="15.6" customHeight="1">
      <c r="A26" s="1894"/>
      <c r="B26" s="1955"/>
      <c r="C26" s="22"/>
      <c r="D26" s="470" t="s">
        <v>9</v>
      </c>
      <c r="E26" s="473"/>
      <c r="F26" s="630"/>
      <c r="G26" s="5"/>
      <c r="H26" s="75"/>
      <c r="I26" s="5"/>
      <c r="J26" s="1319" t="s">
        <v>1547</v>
      </c>
      <c r="K26" s="1560"/>
      <c r="L26" s="621" t="s">
        <v>1547</v>
      </c>
      <c r="M26" s="1560"/>
      <c r="N26" s="5"/>
      <c r="O26" s="1581"/>
      <c r="P26" s="5"/>
      <c r="Q26" s="1581"/>
      <c r="R26" s="5"/>
      <c r="S26" s="1581"/>
      <c r="T26" s="5"/>
      <c r="U26" s="1581"/>
      <c r="V26" s="5"/>
      <c r="W26" s="1581"/>
      <c r="X26" s="665"/>
      <c r="Y26" s="75"/>
      <c r="Z26" s="75"/>
      <c r="AA26" s="502">
        <f t="shared" si="13"/>
        <v>0</v>
      </c>
      <c r="AB26" s="566">
        <f t="shared" si="14"/>
        <v>0</v>
      </c>
      <c r="AC26" s="566">
        <f t="shared" si="4"/>
        <v>0</v>
      </c>
      <c r="AD26" s="566">
        <f t="shared" si="5"/>
        <v>0</v>
      </c>
      <c r="AE26" s="566">
        <f t="shared" si="6"/>
        <v>0</v>
      </c>
      <c r="AJ26" s="393"/>
      <c r="AK26" s="671">
        <f t="shared" si="10"/>
        <v>0</v>
      </c>
      <c r="AL26" s="671"/>
      <c r="AM26" s="570">
        <v>0</v>
      </c>
      <c r="AN26" s="570"/>
      <c r="AO26" s="570">
        <v>0</v>
      </c>
      <c r="AP26" s="570"/>
      <c r="AQ26" s="570">
        <v>0</v>
      </c>
      <c r="AR26" s="570"/>
      <c r="AS26" s="676">
        <v>0</v>
      </c>
      <c r="AT26" s="676"/>
      <c r="AU26" s="570">
        <v>0</v>
      </c>
      <c r="AV26" s="570"/>
      <c r="AW26" s="570">
        <v>0</v>
      </c>
      <c r="AX26" s="570"/>
      <c r="AY26" s="570">
        <v>0</v>
      </c>
      <c r="AZ26" s="570"/>
      <c r="BA26" s="672">
        <f t="shared" si="8"/>
        <v>0</v>
      </c>
    </row>
    <row r="27" spans="1:53" s="2" customFormat="1" ht="15.6" customHeight="1">
      <c r="A27" s="1005" t="s">
        <v>2029</v>
      </c>
      <c r="B27" s="121" t="s">
        <v>290</v>
      </c>
      <c r="C27" s="21">
        <v>11</v>
      </c>
      <c r="D27" s="971" t="s">
        <v>1962</v>
      </c>
      <c r="E27" s="473" t="s">
        <v>1673</v>
      </c>
      <c r="F27" s="630" t="s">
        <v>525</v>
      </c>
      <c r="G27" s="5" t="s">
        <v>1803</v>
      </c>
      <c r="H27" s="624">
        <v>5</v>
      </c>
      <c r="I27" s="5" t="s">
        <v>1041</v>
      </c>
      <c r="J27" s="1319">
        <v>1</v>
      </c>
      <c r="K27" s="1560"/>
      <c r="L27" s="621">
        <v>1</v>
      </c>
      <c r="M27" s="1560"/>
      <c r="N27" s="5">
        <v>1</v>
      </c>
      <c r="O27" s="1581"/>
      <c r="P27" s="5">
        <v>0</v>
      </c>
      <c r="Q27" s="1581"/>
      <c r="R27" s="5">
        <v>0</v>
      </c>
      <c r="S27" s="1581"/>
      <c r="T27" s="5">
        <v>0</v>
      </c>
      <c r="U27" s="1581"/>
      <c r="V27" s="5">
        <v>0</v>
      </c>
      <c r="W27" s="1581"/>
      <c r="X27" s="665">
        <f>IF(AND(J27=0,L27&lt;&gt;0),1,IF(AND(J27=0,L27=0),0,L27/J27-1))</f>
        <v>0</v>
      </c>
      <c r="Y27" s="627">
        <f>MAX(5-L27*0.5,0)</f>
        <v>4.5</v>
      </c>
      <c r="Z27" s="627">
        <f>MAX(5-J27*0.5,0)</f>
        <v>4.5</v>
      </c>
      <c r="AA27" s="502">
        <f t="shared" si="13"/>
        <v>0</v>
      </c>
      <c r="AB27" s="566">
        <f t="shared" si="14"/>
        <v>0.5</v>
      </c>
      <c r="AC27" s="566">
        <f t="shared" si="4"/>
        <v>0.15</v>
      </c>
      <c r="AD27" s="566">
        <f t="shared" si="5"/>
        <v>1.6666666666666666E-2</v>
      </c>
      <c r="AE27" s="1022">
        <f t="shared" si="6"/>
        <v>8.3333333333333332E-3</v>
      </c>
      <c r="AJ27" s="393"/>
      <c r="AK27" s="671">
        <f t="shared" si="10"/>
        <v>4.5</v>
      </c>
      <c r="AL27" s="673" t="s">
        <v>1596</v>
      </c>
      <c r="AM27" s="570">
        <v>0</v>
      </c>
      <c r="AN27" s="570"/>
      <c r="AO27" s="674">
        <v>1</v>
      </c>
      <c r="AP27" s="674">
        <f>$Y27</f>
        <v>4.5</v>
      </c>
      <c r="AQ27" s="570">
        <v>1</v>
      </c>
      <c r="AR27" s="674">
        <f>$Y27</f>
        <v>4.5</v>
      </c>
      <c r="AS27" s="675">
        <v>1</v>
      </c>
      <c r="AT27" s="674">
        <f>$Y27</f>
        <v>4.5</v>
      </c>
      <c r="AU27" s="675">
        <v>1</v>
      </c>
      <c r="AV27" s="674">
        <f>$Y27</f>
        <v>4.5</v>
      </c>
      <c r="AW27" s="674">
        <v>1</v>
      </c>
      <c r="AX27" s="674">
        <f>$Y27</f>
        <v>4.5</v>
      </c>
      <c r="AY27" s="674">
        <v>0</v>
      </c>
      <c r="AZ27" s="674"/>
      <c r="BA27" s="672">
        <f t="shared" si="8"/>
        <v>27.5</v>
      </c>
    </row>
    <row r="28" spans="1:53" s="2" customFormat="1" ht="15.6" customHeight="1">
      <c r="A28" s="121" t="s">
        <v>293</v>
      </c>
      <c r="B28" s="121" t="s">
        <v>290</v>
      </c>
      <c r="C28" s="21">
        <v>12</v>
      </c>
      <c r="D28" s="20" t="s">
        <v>2137</v>
      </c>
      <c r="E28" s="473" t="s">
        <v>1673</v>
      </c>
      <c r="F28" s="630" t="s">
        <v>525</v>
      </c>
      <c r="G28" s="5" t="s">
        <v>1802</v>
      </c>
      <c r="H28" s="624">
        <v>5</v>
      </c>
      <c r="I28" s="5" t="s">
        <v>1041</v>
      </c>
      <c r="J28" s="62">
        <v>0</v>
      </c>
      <c r="K28" s="1561"/>
      <c r="L28" s="62">
        <v>0</v>
      </c>
      <c r="M28" s="1561"/>
      <c r="N28" s="5">
        <v>0</v>
      </c>
      <c r="O28" s="1581"/>
      <c r="P28" s="5">
        <v>0</v>
      </c>
      <c r="Q28" s="1581"/>
      <c r="R28" s="5">
        <v>0</v>
      </c>
      <c r="S28" s="1581"/>
      <c r="T28" s="5">
        <v>0</v>
      </c>
      <c r="U28" s="1581"/>
      <c r="V28" s="5">
        <v>0</v>
      </c>
      <c r="W28" s="1581"/>
      <c r="X28" s="665">
        <f>IF(AND(J28=0,L28&lt;&gt;0),1,IF(AND(J28=0,L28=0),0,L28/J28-1))</f>
        <v>0</v>
      </c>
      <c r="Y28" s="627">
        <f>MAX(5-L28*0.5,0)</f>
        <v>5</v>
      </c>
      <c r="Z28" s="627">
        <f>MAX(5-J28*0.5,0)</f>
        <v>5</v>
      </c>
      <c r="AA28" s="502">
        <f t="shared" si="13"/>
        <v>0</v>
      </c>
      <c r="AB28" s="566">
        <f t="shared" si="14"/>
        <v>0</v>
      </c>
      <c r="AC28" s="566">
        <f t="shared" si="4"/>
        <v>0</v>
      </c>
      <c r="AD28" s="566">
        <f t="shared" si="5"/>
        <v>0</v>
      </c>
      <c r="AE28" s="566">
        <f t="shared" si="6"/>
        <v>0</v>
      </c>
      <c r="AJ28" s="393"/>
      <c r="AK28" s="671">
        <f t="shared" si="10"/>
        <v>5</v>
      </c>
      <c r="AL28" s="673" t="s">
        <v>1596</v>
      </c>
      <c r="AM28" s="570">
        <v>0</v>
      </c>
      <c r="AN28" s="570"/>
      <c r="AO28" s="674">
        <v>1</v>
      </c>
      <c r="AP28" s="674">
        <f t="shared" ref="AP28:AX35" si="15">$Y28</f>
        <v>5</v>
      </c>
      <c r="AQ28" s="570">
        <v>1</v>
      </c>
      <c r="AR28" s="674">
        <f t="shared" si="15"/>
        <v>5</v>
      </c>
      <c r="AS28" s="678">
        <v>1</v>
      </c>
      <c r="AT28" s="674">
        <f t="shared" si="15"/>
        <v>5</v>
      </c>
      <c r="AU28" s="678">
        <v>1</v>
      </c>
      <c r="AV28" s="674">
        <f t="shared" si="15"/>
        <v>5</v>
      </c>
      <c r="AW28" s="674">
        <v>1</v>
      </c>
      <c r="AX28" s="674">
        <f t="shared" si="15"/>
        <v>5</v>
      </c>
      <c r="AY28" s="674">
        <v>0</v>
      </c>
      <c r="AZ28" s="674"/>
      <c r="BA28" s="672">
        <f t="shared" si="8"/>
        <v>30</v>
      </c>
    </row>
    <row r="29" spans="1:53" s="2" customFormat="1" ht="15.6" customHeight="1">
      <c r="A29" s="121" t="s">
        <v>294</v>
      </c>
      <c r="B29" s="121" t="s">
        <v>290</v>
      </c>
      <c r="C29" s="21">
        <v>13</v>
      </c>
      <c r="D29" s="20" t="s">
        <v>553</v>
      </c>
      <c r="E29" s="473" t="s">
        <v>529</v>
      </c>
      <c r="F29" s="630" t="s">
        <v>525</v>
      </c>
      <c r="G29" s="5" t="s">
        <v>1802</v>
      </c>
      <c r="H29" s="624">
        <v>5</v>
      </c>
      <c r="I29" s="5"/>
      <c r="J29" s="62">
        <v>0</v>
      </c>
      <c r="K29" s="1561"/>
      <c r="L29" s="62">
        <v>0</v>
      </c>
      <c r="M29" s="1561"/>
      <c r="N29" s="5">
        <v>0</v>
      </c>
      <c r="O29" s="1581"/>
      <c r="P29" s="5">
        <v>0</v>
      </c>
      <c r="Q29" s="1581"/>
      <c r="R29" s="5">
        <v>0</v>
      </c>
      <c r="S29" s="1581"/>
      <c r="T29" s="5">
        <v>0</v>
      </c>
      <c r="U29" s="1581"/>
      <c r="V29" s="5">
        <v>0</v>
      </c>
      <c r="W29" s="1581"/>
      <c r="X29" s="665">
        <f>IF(AND(J29=0,L29&lt;&gt;0),1,IF(AND(J29=0,L29=0),0,L29/J29-1))</f>
        <v>0</v>
      </c>
      <c r="Y29" s="627">
        <f>MAX(5-L29*0.5,0)</f>
        <v>5</v>
      </c>
      <c r="Z29" s="627">
        <f>MAX(5-J29*0.5,0)</f>
        <v>5</v>
      </c>
      <c r="AA29" s="502">
        <f t="shared" si="13"/>
        <v>0</v>
      </c>
      <c r="AB29" s="566">
        <f t="shared" si="14"/>
        <v>0</v>
      </c>
      <c r="AC29" s="566">
        <f t="shared" si="4"/>
        <v>0</v>
      </c>
      <c r="AD29" s="566">
        <f t="shared" si="5"/>
        <v>0</v>
      </c>
      <c r="AE29" s="566">
        <f t="shared" si="6"/>
        <v>0</v>
      </c>
      <c r="AJ29" s="393"/>
      <c r="AK29" s="671">
        <f t="shared" si="10"/>
        <v>5</v>
      </c>
      <c r="AL29" s="673" t="s">
        <v>1596</v>
      </c>
      <c r="AM29" s="570">
        <v>0</v>
      </c>
      <c r="AN29" s="570"/>
      <c r="AO29" s="674">
        <v>1</v>
      </c>
      <c r="AP29" s="674">
        <f t="shared" si="15"/>
        <v>5</v>
      </c>
      <c r="AQ29" s="570">
        <v>1</v>
      </c>
      <c r="AR29" s="674">
        <f t="shared" si="15"/>
        <v>5</v>
      </c>
      <c r="AS29" s="678">
        <v>1</v>
      </c>
      <c r="AT29" s="674">
        <f t="shared" si="15"/>
        <v>5</v>
      </c>
      <c r="AU29" s="678">
        <v>1</v>
      </c>
      <c r="AV29" s="674">
        <f t="shared" si="15"/>
        <v>5</v>
      </c>
      <c r="AW29" s="674">
        <v>1</v>
      </c>
      <c r="AX29" s="674">
        <f t="shared" si="15"/>
        <v>5</v>
      </c>
      <c r="AY29" s="674">
        <v>0</v>
      </c>
      <c r="AZ29" s="674"/>
      <c r="BA29" s="672">
        <f t="shared" si="8"/>
        <v>30</v>
      </c>
    </row>
    <row r="30" spans="1:53" s="2" customFormat="1" ht="15.6" customHeight="1">
      <c r="A30" s="121" t="s">
        <v>295</v>
      </c>
      <c r="B30" s="121" t="s">
        <v>290</v>
      </c>
      <c r="C30" s="21">
        <v>14</v>
      </c>
      <c r="D30" s="20" t="s">
        <v>2140</v>
      </c>
      <c r="E30" s="473" t="s">
        <v>529</v>
      </c>
      <c r="F30" s="630" t="s">
        <v>525</v>
      </c>
      <c r="G30" s="5" t="s">
        <v>1802</v>
      </c>
      <c r="H30" s="624">
        <v>5</v>
      </c>
      <c r="I30" s="5"/>
      <c r="J30" s="62">
        <v>0</v>
      </c>
      <c r="K30" s="1561"/>
      <c r="L30" s="62">
        <v>0</v>
      </c>
      <c r="M30" s="1561"/>
      <c r="N30" s="5">
        <v>0</v>
      </c>
      <c r="O30" s="1581"/>
      <c r="P30" s="5">
        <v>0</v>
      </c>
      <c r="Q30" s="1581"/>
      <c r="R30" s="5">
        <v>0</v>
      </c>
      <c r="S30" s="1581"/>
      <c r="T30" s="5">
        <v>0</v>
      </c>
      <c r="U30" s="1581"/>
      <c r="V30" s="5">
        <v>0</v>
      </c>
      <c r="W30" s="1581"/>
      <c r="X30" s="665">
        <f>IF(AND(J30=0,L30&lt;&gt;0),1,IF(AND(J30=0,L30=0),0,L30/J30-1))</f>
        <v>0</v>
      </c>
      <c r="Y30" s="627">
        <f>MAX(5-L30*0.5,0)</f>
        <v>5</v>
      </c>
      <c r="Z30" s="627">
        <f>MAX(5-J30*0.5,0)</f>
        <v>5</v>
      </c>
      <c r="AA30" s="502">
        <f t="shared" si="13"/>
        <v>0</v>
      </c>
      <c r="AB30" s="566">
        <f t="shared" si="14"/>
        <v>0</v>
      </c>
      <c r="AC30" s="566">
        <f t="shared" si="4"/>
        <v>0</v>
      </c>
      <c r="AD30" s="566">
        <f t="shared" si="5"/>
        <v>0</v>
      </c>
      <c r="AE30" s="566">
        <f t="shared" si="6"/>
        <v>0</v>
      </c>
      <c r="AJ30" s="393"/>
      <c r="AK30" s="671">
        <f t="shared" si="10"/>
        <v>5</v>
      </c>
      <c r="AL30" s="673" t="s">
        <v>1596</v>
      </c>
      <c r="AM30" s="570">
        <v>0</v>
      </c>
      <c r="AN30" s="570"/>
      <c r="AO30" s="674">
        <v>1</v>
      </c>
      <c r="AP30" s="674">
        <f t="shared" si="15"/>
        <v>5</v>
      </c>
      <c r="AQ30" s="570">
        <v>1</v>
      </c>
      <c r="AR30" s="674">
        <f t="shared" si="15"/>
        <v>5</v>
      </c>
      <c r="AS30" s="678">
        <v>1</v>
      </c>
      <c r="AT30" s="674">
        <f t="shared" si="15"/>
        <v>5</v>
      </c>
      <c r="AU30" s="678">
        <v>1</v>
      </c>
      <c r="AV30" s="674">
        <f t="shared" si="15"/>
        <v>5</v>
      </c>
      <c r="AW30" s="674">
        <v>1</v>
      </c>
      <c r="AX30" s="674">
        <f t="shared" si="15"/>
        <v>5</v>
      </c>
      <c r="AY30" s="674">
        <v>0</v>
      </c>
      <c r="AZ30" s="674"/>
      <c r="BA30" s="672">
        <f t="shared" si="8"/>
        <v>30</v>
      </c>
    </row>
    <row r="31" spans="1:53" s="77" customFormat="1" ht="15.6" customHeight="1">
      <c r="A31" s="1895" t="s">
        <v>296</v>
      </c>
      <c r="B31" s="1956" t="s">
        <v>297</v>
      </c>
      <c r="C31" s="21">
        <v>15</v>
      </c>
      <c r="D31" s="79" t="s">
        <v>10</v>
      </c>
      <c r="E31" s="473" t="s">
        <v>531</v>
      </c>
      <c r="F31" s="630" t="s">
        <v>475</v>
      </c>
      <c r="G31" s="1902" t="s">
        <v>1802</v>
      </c>
      <c r="H31" s="1960">
        <v>5</v>
      </c>
      <c r="I31" s="46"/>
      <c r="J31" s="62" t="s">
        <v>11</v>
      </c>
      <c r="K31" s="1561"/>
      <c r="L31" s="62" t="s">
        <v>11</v>
      </c>
      <c r="M31" s="1561"/>
      <c r="N31" s="46" t="s">
        <v>11</v>
      </c>
      <c r="O31" s="1582"/>
      <c r="P31" s="46" t="s">
        <v>12</v>
      </c>
      <c r="Q31" s="1582"/>
      <c r="R31" s="46"/>
      <c r="S31" s="1582"/>
      <c r="T31" s="46"/>
      <c r="U31" s="1582"/>
      <c r="V31" s="46"/>
      <c r="W31" s="1575"/>
      <c r="X31" s="1964">
        <v>0</v>
      </c>
      <c r="Y31" s="1958">
        <v>5</v>
      </c>
      <c r="Z31" s="1958">
        <v>5</v>
      </c>
      <c r="AA31" s="502">
        <f t="shared" si="13"/>
        <v>0</v>
      </c>
      <c r="AB31" s="566">
        <f t="shared" si="14"/>
        <v>0</v>
      </c>
      <c r="AC31" s="566">
        <f t="shared" si="4"/>
        <v>0</v>
      </c>
      <c r="AD31" s="566">
        <f t="shared" si="5"/>
        <v>0</v>
      </c>
      <c r="AE31" s="566">
        <f t="shared" si="6"/>
        <v>0</v>
      </c>
      <c r="AJ31" s="393"/>
      <c r="AK31" s="671">
        <f t="shared" si="10"/>
        <v>5</v>
      </c>
      <c r="AL31" s="671"/>
      <c r="AM31" s="602">
        <v>0</v>
      </c>
      <c r="AN31" s="602"/>
      <c r="AO31" s="602">
        <v>0</v>
      </c>
      <c r="AP31" s="674">
        <f t="shared" si="15"/>
        <v>5</v>
      </c>
      <c r="AQ31" s="602">
        <v>1</v>
      </c>
      <c r="AR31" s="674">
        <f t="shared" si="15"/>
        <v>5</v>
      </c>
      <c r="AS31" s="602">
        <v>0</v>
      </c>
      <c r="AT31" s="674">
        <f t="shared" si="15"/>
        <v>5</v>
      </c>
      <c r="AU31" s="602">
        <v>0</v>
      </c>
      <c r="AV31" s="674">
        <f t="shared" si="15"/>
        <v>5</v>
      </c>
      <c r="AW31" s="602">
        <v>0</v>
      </c>
      <c r="AX31" s="674">
        <f t="shared" si="15"/>
        <v>5</v>
      </c>
      <c r="AY31" s="602">
        <v>1</v>
      </c>
      <c r="AZ31" s="674">
        <f>$Y31</f>
        <v>5</v>
      </c>
      <c r="BA31" s="672">
        <f t="shared" si="8"/>
        <v>27</v>
      </c>
    </row>
    <row r="32" spans="1:53" s="77" customFormat="1" ht="15.6" customHeight="1">
      <c r="A32" s="1897"/>
      <c r="B32" s="1957"/>
      <c r="C32" s="21">
        <v>16</v>
      </c>
      <c r="D32" s="79" t="s">
        <v>13</v>
      </c>
      <c r="E32" s="473" t="s">
        <v>531</v>
      </c>
      <c r="F32" s="630" t="s">
        <v>475</v>
      </c>
      <c r="G32" s="1903"/>
      <c r="H32" s="1961"/>
      <c r="I32" s="46"/>
      <c r="J32" s="62" t="s">
        <v>14</v>
      </c>
      <c r="K32" s="1561"/>
      <c r="L32" s="62" t="s">
        <v>14</v>
      </c>
      <c r="M32" s="1561"/>
      <c r="N32" s="46" t="s">
        <v>14</v>
      </c>
      <c r="O32" s="1582"/>
      <c r="P32" s="46" t="s">
        <v>15</v>
      </c>
      <c r="Q32" s="1582"/>
      <c r="R32" s="46"/>
      <c r="S32" s="1582"/>
      <c r="T32" s="46"/>
      <c r="U32" s="1582"/>
      <c r="V32" s="46"/>
      <c r="W32" s="1576"/>
      <c r="X32" s="1965"/>
      <c r="Y32" s="1959"/>
      <c r="Z32" s="1959"/>
      <c r="AA32" s="502"/>
      <c r="AB32" s="566"/>
      <c r="AC32" s="566">
        <f t="shared" si="4"/>
        <v>0</v>
      </c>
      <c r="AD32" s="566">
        <f t="shared" si="5"/>
        <v>0</v>
      </c>
      <c r="AE32" s="566">
        <f t="shared" si="6"/>
        <v>0</v>
      </c>
      <c r="AJ32" s="393"/>
      <c r="AK32" s="671">
        <f t="shared" si="10"/>
        <v>0</v>
      </c>
      <c r="AL32" s="671"/>
      <c r="AM32" s="602">
        <v>0</v>
      </c>
      <c r="AN32" s="602"/>
      <c r="AO32" s="602">
        <v>0</v>
      </c>
      <c r="AP32" s="674">
        <f t="shared" si="15"/>
        <v>0</v>
      </c>
      <c r="AQ32" s="602">
        <v>1</v>
      </c>
      <c r="AR32" s="674">
        <f t="shared" si="15"/>
        <v>0</v>
      </c>
      <c r="AS32" s="602">
        <v>0</v>
      </c>
      <c r="AT32" s="674">
        <f t="shared" si="15"/>
        <v>0</v>
      </c>
      <c r="AU32" s="602">
        <v>0</v>
      </c>
      <c r="AV32" s="674">
        <f t="shared" si="15"/>
        <v>0</v>
      </c>
      <c r="AW32" s="602">
        <v>0</v>
      </c>
      <c r="AX32" s="674">
        <f t="shared" si="15"/>
        <v>0</v>
      </c>
      <c r="AY32" s="602">
        <v>1</v>
      </c>
      <c r="AZ32" s="602">
        <f t="shared" ref="AZ32:AZ35" si="16">Y32</f>
        <v>0</v>
      </c>
      <c r="BA32" s="672">
        <f t="shared" si="8"/>
        <v>2</v>
      </c>
    </row>
    <row r="33" spans="1:53" s="77" customFormat="1" ht="15.6" customHeight="1">
      <c r="A33" s="1892" t="s">
        <v>298</v>
      </c>
      <c r="B33" s="1953" t="s">
        <v>299</v>
      </c>
      <c r="C33" s="21">
        <v>17</v>
      </c>
      <c r="D33" s="79" t="s">
        <v>16</v>
      </c>
      <c r="E33" s="473" t="s">
        <v>531</v>
      </c>
      <c r="F33" s="630" t="s">
        <v>475</v>
      </c>
      <c r="G33" s="1902" t="s">
        <v>1802</v>
      </c>
      <c r="H33" s="1960">
        <v>5</v>
      </c>
      <c r="I33" s="46"/>
      <c r="J33" s="62" t="s">
        <v>19</v>
      </c>
      <c r="K33" s="1561"/>
      <c r="L33" s="62" t="s">
        <v>19</v>
      </c>
      <c r="M33" s="1561"/>
      <c r="N33" s="46" t="s">
        <v>17</v>
      </c>
      <c r="O33" s="1582"/>
      <c r="P33" s="46" t="s">
        <v>18</v>
      </c>
      <c r="Q33" s="1582"/>
      <c r="R33" s="46" t="s">
        <v>19</v>
      </c>
      <c r="S33" s="1582"/>
      <c r="T33" s="46"/>
      <c r="U33" s="1582"/>
      <c r="V33" s="46"/>
      <c r="W33" s="1575"/>
      <c r="X33" s="1964">
        <v>0</v>
      </c>
      <c r="Y33" s="1958">
        <v>5</v>
      </c>
      <c r="Z33" s="1958">
        <v>5</v>
      </c>
      <c r="AA33" s="502">
        <f>Y33-Z33</f>
        <v>0</v>
      </c>
      <c r="AB33" s="566">
        <f>H33-Y33</f>
        <v>0</v>
      </c>
      <c r="AC33" s="566">
        <f t="shared" si="4"/>
        <v>0</v>
      </c>
      <c r="AD33" s="566">
        <f t="shared" si="5"/>
        <v>0</v>
      </c>
      <c r="AE33" s="566">
        <f t="shared" si="6"/>
        <v>0</v>
      </c>
      <c r="AJ33" s="393"/>
      <c r="AK33" s="671">
        <f t="shared" si="10"/>
        <v>5</v>
      </c>
      <c r="AL33" s="671"/>
      <c r="AM33" s="602">
        <v>1</v>
      </c>
      <c r="AN33" s="602"/>
      <c r="AO33" s="602">
        <v>0</v>
      </c>
      <c r="AP33" s="674">
        <f t="shared" si="15"/>
        <v>5</v>
      </c>
      <c r="AQ33" s="602">
        <v>0</v>
      </c>
      <c r="AR33" s="674">
        <f t="shared" si="15"/>
        <v>5</v>
      </c>
      <c r="AS33" s="602">
        <v>0</v>
      </c>
      <c r="AT33" s="674">
        <f t="shared" si="15"/>
        <v>5</v>
      </c>
      <c r="AU33" s="602">
        <v>0</v>
      </c>
      <c r="AV33" s="674">
        <f t="shared" si="15"/>
        <v>5</v>
      </c>
      <c r="AW33" s="602">
        <v>0</v>
      </c>
      <c r="AX33" s="674">
        <f t="shared" si="15"/>
        <v>5</v>
      </c>
      <c r="AY33" s="602">
        <v>1</v>
      </c>
      <c r="AZ33" s="602">
        <f t="shared" si="16"/>
        <v>5</v>
      </c>
      <c r="BA33" s="672">
        <f t="shared" si="8"/>
        <v>27</v>
      </c>
    </row>
    <row r="34" spans="1:53" s="77" customFormat="1" ht="15.6" customHeight="1">
      <c r="A34" s="1894"/>
      <c r="B34" s="1955"/>
      <c r="C34" s="21">
        <v>18</v>
      </c>
      <c r="D34" s="79" t="s">
        <v>20</v>
      </c>
      <c r="E34" s="473" t="s">
        <v>531</v>
      </c>
      <c r="F34" s="630" t="s">
        <v>475</v>
      </c>
      <c r="G34" s="1903"/>
      <c r="H34" s="1961"/>
      <c r="I34" s="46"/>
      <c r="J34" s="62" t="s">
        <v>23</v>
      </c>
      <c r="K34" s="1561"/>
      <c r="L34" s="62" t="s">
        <v>23</v>
      </c>
      <c r="M34" s="1561"/>
      <c r="N34" s="46" t="s">
        <v>21</v>
      </c>
      <c r="O34" s="1582"/>
      <c r="P34" s="46" t="s">
        <v>22</v>
      </c>
      <c r="Q34" s="1582"/>
      <c r="R34" s="46" t="s">
        <v>23</v>
      </c>
      <c r="S34" s="1582"/>
      <c r="T34" s="46"/>
      <c r="U34" s="1582"/>
      <c r="V34" s="46"/>
      <c r="W34" s="1576"/>
      <c r="X34" s="1965"/>
      <c r="Y34" s="1959"/>
      <c r="Z34" s="1959"/>
      <c r="AA34" s="502"/>
      <c r="AB34" s="566"/>
      <c r="AC34" s="566">
        <f t="shared" si="4"/>
        <v>0</v>
      </c>
      <c r="AD34" s="566">
        <f t="shared" si="5"/>
        <v>0</v>
      </c>
      <c r="AE34" s="566">
        <f t="shared" si="6"/>
        <v>0</v>
      </c>
      <c r="AJ34" s="393"/>
      <c r="AK34" s="671">
        <f t="shared" si="10"/>
        <v>0</v>
      </c>
      <c r="AL34" s="671"/>
      <c r="AM34" s="602">
        <v>0</v>
      </c>
      <c r="AN34" s="602"/>
      <c r="AO34" s="602">
        <v>0</v>
      </c>
      <c r="AP34" s="674">
        <f t="shared" si="15"/>
        <v>0</v>
      </c>
      <c r="AQ34" s="602">
        <v>0</v>
      </c>
      <c r="AR34" s="674">
        <f t="shared" si="15"/>
        <v>0</v>
      </c>
      <c r="AS34" s="602">
        <v>0</v>
      </c>
      <c r="AT34" s="674">
        <f t="shared" si="15"/>
        <v>0</v>
      </c>
      <c r="AU34" s="602">
        <v>0</v>
      </c>
      <c r="AV34" s="674">
        <f t="shared" si="15"/>
        <v>0</v>
      </c>
      <c r="AW34" s="602">
        <v>0</v>
      </c>
      <c r="AX34" s="674">
        <f t="shared" si="15"/>
        <v>0</v>
      </c>
      <c r="AY34" s="602">
        <v>1</v>
      </c>
      <c r="AZ34" s="602">
        <f t="shared" si="16"/>
        <v>0</v>
      </c>
      <c r="BA34" s="672">
        <f t="shared" si="8"/>
        <v>1</v>
      </c>
    </row>
    <row r="35" spans="1:53" s="77" customFormat="1" ht="15.6" customHeight="1">
      <c r="A35" s="121" t="s">
        <v>300</v>
      </c>
      <c r="B35" s="121" t="s">
        <v>301</v>
      </c>
      <c r="C35" s="21">
        <v>19</v>
      </c>
      <c r="D35" s="79" t="s">
        <v>24</v>
      </c>
      <c r="E35" s="473" t="s">
        <v>531</v>
      </c>
      <c r="F35" s="630" t="s">
        <v>473</v>
      </c>
      <c r="G35" s="46" t="s">
        <v>1802</v>
      </c>
      <c r="H35" s="624">
        <v>5</v>
      </c>
      <c r="I35" s="46"/>
      <c r="J35" s="1319">
        <v>0</v>
      </c>
      <c r="K35" s="1560"/>
      <c r="L35" s="621">
        <v>0</v>
      </c>
      <c r="M35" s="1560"/>
      <c r="N35" s="46"/>
      <c r="O35" s="1582"/>
      <c r="P35" s="46"/>
      <c r="Q35" s="1582"/>
      <c r="R35" s="46"/>
      <c r="S35" s="1582"/>
      <c r="T35" s="46"/>
      <c r="U35" s="1582"/>
      <c r="V35" s="46"/>
      <c r="W35" s="1582"/>
      <c r="X35" s="665">
        <f>IF(AND(J35=0,L35&lt;&gt;0),1,IF(AND(J35=0,L35=0),0,L35/J35-1))</f>
        <v>0</v>
      </c>
      <c r="Y35" s="627">
        <f>MAX(5-L35,0)</f>
        <v>5</v>
      </c>
      <c r="Z35" s="627">
        <f>MAX(5-J35,0)</f>
        <v>5</v>
      </c>
      <c r="AA35" s="502">
        <f>Y35-Z35</f>
        <v>0</v>
      </c>
      <c r="AB35" s="566">
        <f>H35-Y35</f>
        <v>0</v>
      </c>
      <c r="AC35" s="566">
        <f t="shared" si="4"/>
        <v>0</v>
      </c>
      <c r="AD35" s="566">
        <f t="shared" si="5"/>
        <v>0</v>
      </c>
      <c r="AE35" s="566">
        <f t="shared" si="6"/>
        <v>0</v>
      </c>
      <c r="AJ35" s="393"/>
      <c r="AK35" s="671">
        <f t="shared" si="10"/>
        <v>5</v>
      </c>
      <c r="AL35" s="671"/>
      <c r="AM35" s="602">
        <v>0</v>
      </c>
      <c r="AN35" s="602"/>
      <c r="AO35" s="602">
        <v>0</v>
      </c>
      <c r="AP35" s="674">
        <f t="shared" si="15"/>
        <v>5</v>
      </c>
      <c r="AQ35" s="602">
        <v>0</v>
      </c>
      <c r="AR35" s="674">
        <f t="shared" si="15"/>
        <v>5</v>
      </c>
      <c r="AS35" s="602">
        <v>0</v>
      </c>
      <c r="AT35" s="674">
        <f t="shared" si="15"/>
        <v>5</v>
      </c>
      <c r="AU35" s="602">
        <v>0</v>
      </c>
      <c r="AV35" s="674">
        <f t="shared" si="15"/>
        <v>5</v>
      </c>
      <c r="AW35" s="602">
        <v>0</v>
      </c>
      <c r="AX35" s="674">
        <f t="shared" si="15"/>
        <v>5</v>
      </c>
      <c r="AY35" s="602">
        <v>1</v>
      </c>
      <c r="AZ35" s="602">
        <f t="shared" si="16"/>
        <v>5</v>
      </c>
      <c r="BA35" s="672">
        <f t="shared" si="8"/>
        <v>26</v>
      </c>
    </row>
    <row r="36" spans="1:53" s="77" customFormat="1" ht="16.5" customHeight="1">
      <c r="A36" s="1892" t="s">
        <v>2054</v>
      </c>
      <c r="B36" s="1895" t="s">
        <v>514</v>
      </c>
      <c r="C36" s="21">
        <v>20</v>
      </c>
      <c r="D36" s="1607" t="s">
        <v>2522</v>
      </c>
      <c r="E36" s="1608" t="s">
        <v>1223</v>
      </c>
      <c r="F36" s="1603" t="s">
        <v>472</v>
      </c>
      <c r="G36" s="1882" t="s">
        <v>2521</v>
      </c>
      <c r="H36" s="1952">
        <v>10</v>
      </c>
      <c r="I36" s="1600" t="s">
        <v>268</v>
      </c>
      <c r="J36" s="1606">
        <v>207</v>
      </c>
      <c r="K36" s="1606">
        <v>206</v>
      </c>
      <c r="L36" s="1606">
        <v>763</v>
      </c>
      <c r="M36" s="1606">
        <v>763</v>
      </c>
      <c r="N36" s="1604">
        <v>33</v>
      </c>
      <c r="O36" s="1604">
        <v>33</v>
      </c>
      <c r="P36" s="1604"/>
      <c r="Q36" s="1604"/>
      <c r="R36" s="1604">
        <v>50</v>
      </c>
      <c r="S36" s="1604">
        <v>50</v>
      </c>
      <c r="T36" s="1604">
        <v>680</v>
      </c>
      <c r="U36" s="1604">
        <v>680</v>
      </c>
      <c r="V36" s="1604"/>
      <c r="W36" s="1604"/>
      <c r="X36" s="1578">
        <f>IF(AND(J36=0,L36&lt;&gt;0),1,IF(AND(J36=0,L36=0),0,L36/J36-1))</f>
        <v>2.6859903381642511</v>
      </c>
      <c r="Y36" s="1966" t="str">
        <f>IF(L36=0,10,"行业排序得分")</f>
        <v>行业排序得分</v>
      </c>
      <c r="Z36" s="1966" t="str">
        <f>IF(J36=0,10,"行业排序得分")</f>
        <v>行业排序得分</v>
      </c>
      <c r="AA36" s="1577">
        <v>0</v>
      </c>
      <c r="AB36" s="1907">
        <v>10</v>
      </c>
      <c r="AC36" s="1907">
        <f t="shared" si="4"/>
        <v>3</v>
      </c>
      <c r="AD36" s="1907">
        <f t="shared" si="5"/>
        <v>0.33333333333333331</v>
      </c>
      <c r="AE36" s="1907">
        <f t="shared" si="6"/>
        <v>0.16666666666666666</v>
      </c>
      <c r="AJ36" s="393"/>
      <c r="AK36" s="671" t="str">
        <f t="shared" si="10"/>
        <v>行业排序得分</v>
      </c>
      <c r="AL36" s="673" t="s">
        <v>1596</v>
      </c>
      <c r="AM36" s="602">
        <v>0.5</v>
      </c>
      <c r="AN36" s="570">
        <f>10*(1-L36/L37*1000000*2)</f>
        <v>-9.9392759782270517</v>
      </c>
      <c r="AO36" s="674">
        <v>1</v>
      </c>
      <c r="AP36" s="674">
        <v>9.1829690586360808</v>
      </c>
      <c r="AQ36" s="602">
        <v>0</v>
      </c>
      <c r="AR36" s="602"/>
      <c r="AS36" s="678">
        <v>1</v>
      </c>
      <c r="AT36" s="678">
        <v>1.8006397469159219</v>
      </c>
      <c r="AU36" s="675">
        <v>1</v>
      </c>
      <c r="AV36" s="675">
        <v>0</v>
      </c>
      <c r="AW36" s="602">
        <v>0</v>
      </c>
      <c r="AX36" s="602">
        <v>0</v>
      </c>
      <c r="AY36" s="602">
        <v>0</v>
      </c>
      <c r="AZ36" s="602"/>
      <c r="BA36" s="672">
        <f t="shared" si="8"/>
        <v>4.5443328273249506</v>
      </c>
    </row>
    <row r="37" spans="1:53" s="77" customFormat="1">
      <c r="A37" s="1894"/>
      <c r="B37" s="1897"/>
      <c r="C37" s="13">
        <v>21</v>
      </c>
      <c r="D37" s="1602" t="s">
        <v>4</v>
      </c>
      <c r="E37" s="1605" t="s">
        <v>256</v>
      </c>
      <c r="F37" s="1603" t="s">
        <v>472</v>
      </c>
      <c r="G37" s="1882"/>
      <c r="H37" s="1952"/>
      <c r="I37" s="1598" t="s">
        <v>727</v>
      </c>
      <c r="J37" s="1601">
        <v>892062784.09999979</v>
      </c>
      <c r="K37" s="1601"/>
      <c r="L37" s="1601">
        <v>765323676.57999992</v>
      </c>
      <c r="M37" s="1601"/>
      <c r="N37" s="1599"/>
      <c r="O37" s="1599"/>
      <c r="P37" s="1599"/>
      <c r="Q37" s="1599"/>
      <c r="R37" s="1599"/>
      <c r="S37" s="1599"/>
      <c r="T37" s="1599"/>
      <c r="U37" s="1599"/>
      <c r="V37" s="1599"/>
      <c r="W37" s="1599"/>
      <c r="X37" s="1578">
        <f>IF(AND(J37=0,L37&lt;&gt;0),1,IF(AND(J37=0,L37=0),0,L37/J37-1))</f>
        <v>-0.14207420125464232</v>
      </c>
      <c r="Y37" s="1967"/>
      <c r="Z37" s="1967"/>
      <c r="AA37" s="1577"/>
      <c r="AB37" s="1909"/>
      <c r="AC37" s="1909"/>
      <c r="AD37" s="1909"/>
      <c r="AE37" s="1909"/>
      <c r="AJ37" s="393"/>
      <c r="AK37" s="671">
        <f t="shared" si="10"/>
        <v>0</v>
      </c>
      <c r="AL37" s="671"/>
      <c r="AM37" s="602"/>
      <c r="AN37" s="602"/>
      <c r="AO37" s="602"/>
      <c r="AP37" s="602"/>
      <c r="AQ37" s="602"/>
      <c r="AR37" s="602"/>
      <c r="AS37" s="678"/>
      <c r="AT37" s="678"/>
      <c r="AU37" s="602"/>
      <c r="AV37" s="602"/>
      <c r="AW37" s="602"/>
      <c r="AX37" s="602"/>
      <c r="AY37" s="602"/>
      <c r="AZ37" s="602"/>
      <c r="BA37" s="603"/>
    </row>
    <row r="38" spans="1:53" s="81" customFormat="1" ht="15.6" customHeight="1">
      <c r="A38" s="79"/>
      <c r="B38" s="79"/>
      <c r="C38" s="685"/>
      <c r="D38" s="595" t="s">
        <v>275</v>
      </c>
      <c r="E38" s="684"/>
      <c r="F38" s="71"/>
      <c r="G38" s="683"/>
      <c r="H38" s="682">
        <v>97</v>
      </c>
      <c r="I38" s="80"/>
      <c r="J38" s="190"/>
      <c r="K38" s="1566"/>
      <c r="L38" s="190"/>
      <c r="M38" s="1574"/>
      <c r="N38" s="684"/>
      <c r="O38" s="1590"/>
      <c r="P38" s="80"/>
      <c r="Q38" s="1586"/>
      <c r="R38" s="80"/>
      <c r="S38" s="1586"/>
      <c r="T38" s="80"/>
      <c r="U38" s="1586"/>
      <c r="V38" s="80"/>
      <c r="W38" s="1586"/>
      <c r="X38" s="80"/>
      <c r="Y38" s="769">
        <f>SUBTOTAL(9,Y4:Y37)</f>
        <v>57.778552325836287</v>
      </c>
      <c r="Z38" s="769">
        <f>SUBTOTAL(9,Z4:Z37)</f>
        <v>50.421819830909271</v>
      </c>
      <c r="AA38" s="704">
        <f>SUM(AA4:AA37)</f>
        <v>-0.64326750507298414</v>
      </c>
      <c r="AB38" s="835">
        <f>SUM(AB4:AB37)</f>
        <v>47.221447674163713</v>
      </c>
      <c r="AC38" s="836">
        <f>AB38*0.3</f>
        <v>14.166434302249113</v>
      </c>
      <c r="AD38" s="836">
        <f t="shared" si="5"/>
        <v>1.5740482558054572</v>
      </c>
      <c r="AE38" s="836">
        <f t="shared" si="6"/>
        <v>0.78702412790272858</v>
      </c>
      <c r="AF38" s="77" t="s">
        <v>1825</v>
      </c>
      <c r="AG38" s="77"/>
      <c r="AH38" s="77"/>
      <c r="AI38" s="77"/>
      <c r="AJ38" s="53"/>
      <c r="AK38" s="679"/>
      <c r="AL38" s="679"/>
      <c r="AM38" s="606"/>
      <c r="AN38" s="606"/>
      <c r="AO38" s="606"/>
      <c r="AP38" s="606"/>
      <c r="AQ38" s="606"/>
      <c r="AR38" s="606"/>
      <c r="AS38" s="680"/>
      <c r="AT38" s="680"/>
      <c r="AU38" s="606"/>
      <c r="AV38" s="606"/>
      <c r="AW38" s="606"/>
      <c r="AX38" s="606"/>
      <c r="AY38" s="606"/>
      <c r="AZ38" s="606"/>
      <c r="BA38" s="679"/>
    </row>
    <row r="39" spans="1:53" s="81" customFormat="1" ht="15.6" customHeight="1">
      <c r="A39" s="192"/>
      <c r="B39" s="192"/>
      <c r="C39" s="191"/>
      <c r="D39" s="595" t="s">
        <v>1807</v>
      </c>
      <c r="E39" s="194"/>
      <c r="F39" s="193"/>
      <c r="G39" s="194"/>
      <c r="H39" s="682">
        <v>50</v>
      </c>
      <c r="I39" s="194"/>
      <c r="J39" s="195"/>
      <c r="K39" s="1567"/>
      <c r="L39" s="195"/>
      <c r="M39" s="1567"/>
      <c r="N39" s="194"/>
      <c r="O39" s="1588"/>
      <c r="P39" s="194"/>
      <c r="Q39" s="1588"/>
      <c r="R39" s="194"/>
      <c r="S39" s="1588"/>
      <c r="T39" s="194"/>
      <c r="U39" s="1588"/>
      <c r="V39" s="194"/>
      <c r="W39" s="1588"/>
      <c r="X39" s="705">
        <f>H39-Y39-AB39</f>
        <v>0</v>
      </c>
      <c r="Y39" s="704">
        <f>Y16+SUM(Y22:Y23)+SUM(Y27:Y35)</f>
        <v>43.778552325836287</v>
      </c>
      <c r="Z39" s="704">
        <f>Z16+SUM(Z22:Z23)+SUM(Z27:Z35)</f>
        <v>44.421819830909271</v>
      </c>
      <c r="AA39" s="276"/>
      <c r="AB39" s="837">
        <f>AB16+SUM(AB22:AB23)+SUM(AB27:AB35)</f>
        <v>6.2214476741637128</v>
      </c>
      <c r="AC39" s="836">
        <f t="shared" ref="AC39:AC41" si="17">AB39*0.3</f>
        <v>1.8664343022491137</v>
      </c>
      <c r="AD39" s="836">
        <f t="shared" si="5"/>
        <v>0.2073815891387904</v>
      </c>
      <c r="AE39" s="836">
        <f t="shared" si="6"/>
        <v>0.1036907945693952</v>
      </c>
      <c r="AF39" s="834" t="s">
        <v>1812</v>
      </c>
      <c r="AG39" s="706"/>
      <c r="AH39" s="706"/>
      <c r="AI39" s="706"/>
      <c r="AJ39" s="688"/>
      <c r="AK39" s="679"/>
      <c r="AL39" s="679"/>
      <c r="AM39" s="606"/>
      <c r="AN39" s="606"/>
      <c r="AO39" s="606"/>
      <c r="AP39" s="606"/>
      <c r="AQ39" s="606"/>
      <c r="AR39" s="606"/>
      <c r="AS39" s="680"/>
      <c r="AT39" s="680"/>
      <c r="AU39" s="606"/>
      <c r="AV39" s="606"/>
      <c r="AW39" s="606"/>
      <c r="AX39" s="606"/>
      <c r="AY39" s="606"/>
      <c r="AZ39" s="606"/>
      <c r="BA39" s="679"/>
    </row>
    <row r="40" spans="1:53" s="81" customFormat="1" ht="15.6" customHeight="1">
      <c r="A40" s="192"/>
      <c r="B40" s="192"/>
      <c r="C40" s="191"/>
      <c r="D40" s="595" t="s">
        <v>1808</v>
      </c>
      <c r="E40" s="194"/>
      <c r="F40" s="193"/>
      <c r="H40" s="682">
        <v>33</v>
      </c>
      <c r="I40" s="194"/>
      <c r="J40" s="195"/>
      <c r="K40" s="1567"/>
      <c r="L40" s="195"/>
      <c r="M40" s="1567"/>
      <c r="N40" s="194"/>
      <c r="O40" s="1588"/>
      <c r="P40" s="194"/>
      <c r="Q40" s="1588"/>
      <c r="R40" s="194"/>
      <c r="S40" s="1588"/>
      <c r="T40" s="194"/>
      <c r="U40" s="1588"/>
      <c r="V40" s="194"/>
      <c r="W40" s="1588"/>
      <c r="X40" s="687">
        <f>H40-Y40-AB40</f>
        <v>-8</v>
      </c>
      <c r="Y40" s="704">
        <v>8</v>
      </c>
      <c r="Z40" s="704">
        <v>0</v>
      </c>
      <c r="AB40" s="837">
        <f>AB4+AB8+AB11+AB19+AB36</f>
        <v>33</v>
      </c>
      <c r="AC40" s="836">
        <f t="shared" si="17"/>
        <v>9.9</v>
      </c>
      <c r="AD40" s="836">
        <f t="shared" si="5"/>
        <v>1.1000000000000001</v>
      </c>
      <c r="AE40" s="836">
        <f t="shared" si="6"/>
        <v>0.55000000000000004</v>
      </c>
      <c r="AF40" s="834" t="s">
        <v>1810</v>
      </c>
      <c r="AG40" s="706"/>
      <c r="AH40" s="706"/>
      <c r="AI40" s="706"/>
      <c r="AJ40" s="53"/>
      <c r="AK40" s="679"/>
      <c r="AL40" s="679"/>
      <c r="AM40" s="606"/>
      <c r="AN40" s="606"/>
      <c r="AO40" s="606"/>
      <c r="AP40" s="606"/>
      <c r="AQ40" s="606"/>
      <c r="AR40" s="606"/>
      <c r="AS40" s="680"/>
      <c r="AT40" s="680"/>
      <c r="AU40" s="606"/>
      <c r="AV40" s="606"/>
      <c r="AW40" s="606"/>
      <c r="AX40" s="606"/>
      <c r="AY40" s="606"/>
      <c r="AZ40" s="606"/>
      <c r="BA40" s="679"/>
    </row>
    <row r="41" spans="1:53" s="81" customFormat="1" ht="15.6" customHeight="1">
      <c r="A41" s="192"/>
      <c r="B41" s="192"/>
      <c r="C41" s="191"/>
      <c r="D41" s="595" t="s">
        <v>1809</v>
      </c>
      <c r="E41" s="194"/>
      <c r="F41" s="193"/>
      <c r="H41" s="682">
        <v>14</v>
      </c>
      <c r="I41" s="194"/>
      <c r="J41" s="195"/>
      <c r="K41" s="1567"/>
      <c r="L41" s="195"/>
      <c r="M41" s="1567"/>
      <c r="N41" s="194"/>
      <c r="O41" s="1588"/>
      <c r="P41" s="194"/>
      <c r="Q41" s="1588"/>
      <c r="R41" s="194"/>
      <c r="S41" s="1588"/>
      <c r="T41" s="194"/>
      <c r="U41" s="1588"/>
      <c r="V41" s="194"/>
      <c r="W41" s="1588"/>
      <c r="X41" s="687">
        <f>H41-Y41-AB41</f>
        <v>0</v>
      </c>
      <c r="Y41" s="704">
        <v>6</v>
      </c>
      <c r="Z41" s="704">
        <v>6</v>
      </c>
      <c r="AB41" s="837">
        <f>AB8+AB14</f>
        <v>8</v>
      </c>
      <c r="AC41" s="836">
        <f t="shared" si="17"/>
        <v>2.4</v>
      </c>
      <c r="AD41" s="836">
        <f t="shared" si="5"/>
        <v>0.26666666666666666</v>
      </c>
      <c r="AE41" s="836">
        <f t="shared" si="6"/>
        <v>0.13333333333333333</v>
      </c>
      <c r="AF41" s="834" t="s">
        <v>1811</v>
      </c>
      <c r="AG41" s="706"/>
      <c r="AH41" s="706"/>
      <c r="AI41" s="706"/>
      <c r="AJ41" s="53"/>
      <c r="AK41" s="679"/>
      <c r="AL41" s="679"/>
      <c r="AM41" s="606"/>
      <c r="AN41" s="606"/>
      <c r="AO41" s="606"/>
      <c r="AP41" s="606"/>
      <c r="AQ41" s="606"/>
      <c r="AR41" s="606"/>
      <c r="AS41" s="680"/>
      <c r="AT41" s="680"/>
      <c r="AU41" s="606"/>
      <c r="AV41" s="606"/>
      <c r="AW41" s="606"/>
      <c r="AX41" s="606"/>
      <c r="AY41" s="606"/>
      <c r="AZ41" s="606"/>
      <c r="BA41" s="679"/>
    </row>
    <row r="42" spans="1:53" s="81" customFormat="1" ht="15.6" customHeight="1">
      <c r="A42" s="192"/>
      <c r="B42" s="192"/>
      <c r="C42" s="191"/>
      <c r="D42" s="554" t="s">
        <v>1824</v>
      </c>
      <c r="K42" s="1565"/>
      <c r="M42" s="1565"/>
      <c r="O42" s="1587"/>
      <c r="Q42" s="1587"/>
      <c r="S42" s="1587"/>
      <c r="U42" s="1587"/>
      <c r="W42" s="1587"/>
      <c r="Y42" s="704">
        <f>Y41+Y40</f>
        <v>14</v>
      </c>
      <c r="Z42" s="704">
        <f>Z41+Z40</f>
        <v>6</v>
      </c>
      <c r="AF42" s="77"/>
      <c r="AG42" s="77"/>
      <c r="AH42" s="77"/>
      <c r="AI42" s="77"/>
      <c r="AJ42" s="53"/>
      <c r="AK42" s="679"/>
      <c r="AL42" s="679"/>
      <c r="AM42" s="606"/>
      <c r="AN42" s="606"/>
      <c r="AO42" s="606"/>
      <c r="AP42" s="606"/>
      <c r="AQ42" s="606"/>
      <c r="AR42" s="606"/>
      <c r="AS42" s="680"/>
      <c r="AT42" s="680"/>
      <c r="AU42" s="606"/>
      <c r="AV42" s="606"/>
      <c r="AW42" s="606"/>
      <c r="AX42" s="606"/>
      <c r="AY42" s="606"/>
      <c r="AZ42" s="606"/>
      <c r="BA42" s="679"/>
    </row>
    <row r="43" spans="1:53" s="2" customFormat="1" ht="15.6" customHeight="1">
      <c r="A43" s="18"/>
      <c r="B43" s="18"/>
      <c r="C43" s="7"/>
      <c r="D43" s="554" t="s">
        <v>539</v>
      </c>
      <c r="F43" s="94"/>
      <c r="H43" s="686"/>
      <c r="J43" s="24"/>
      <c r="K43" s="1557"/>
      <c r="L43" s="24"/>
      <c r="M43" s="1557"/>
      <c r="O43" s="1580"/>
      <c r="Q43" s="1580"/>
      <c r="S43" s="1580"/>
      <c r="U43" s="1580"/>
      <c r="W43" s="1580"/>
      <c r="Y43" s="704">
        <f>$H$40+$H$41-Y42</f>
        <v>33</v>
      </c>
      <c r="Z43" s="704">
        <f>$H$40+$H$41-Z42</f>
        <v>41</v>
      </c>
      <c r="AJ43" s="18"/>
      <c r="AK43" s="572"/>
      <c r="AL43" s="572"/>
      <c r="AM43" s="570"/>
      <c r="AN43" s="570"/>
      <c r="AO43" s="570"/>
      <c r="AP43" s="570"/>
      <c r="AQ43" s="570"/>
      <c r="AR43" s="570"/>
      <c r="AS43" s="676"/>
      <c r="AT43" s="676"/>
      <c r="AU43" s="570"/>
      <c r="AV43" s="570"/>
      <c r="AW43" s="570"/>
      <c r="AX43" s="570"/>
      <c r="AY43" s="570"/>
      <c r="AZ43" s="570"/>
      <c r="BA43" s="572"/>
    </row>
    <row r="44" spans="1:53" s="2" customFormat="1" ht="15.6" customHeight="1">
      <c r="A44" s="18"/>
      <c r="B44" s="18"/>
      <c r="C44" s="7"/>
      <c r="D44" s="554" t="s">
        <v>538</v>
      </c>
      <c r="F44" s="94"/>
      <c r="H44" s="799">
        <v>3</v>
      </c>
      <c r="J44" s="24"/>
      <c r="K44" s="1557"/>
      <c r="L44" s="24"/>
      <c r="M44" s="1557"/>
      <c r="O44" s="1580"/>
      <c r="Q44" s="1580"/>
      <c r="S44" s="1580"/>
      <c r="U44" s="1580"/>
      <c r="W44" s="1580"/>
      <c r="Y44" s="704">
        <v>3</v>
      </c>
      <c r="Z44" s="704">
        <v>3</v>
      </c>
      <c r="AJ44" s="18"/>
      <c r="AK44" s="572"/>
      <c r="AL44" s="572"/>
      <c r="AM44" s="570"/>
      <c r="AN44" s="570"/>
      <c r="AO44" s="570"/>
      <c r="AP44" s="570"/>
      <c r="AQ44" s="570"/>
      <c r="AR44" s="570"/>
      <c r="AS44" s="676"/>
      <c r="AT44" s="676"/>
      <c r="AU44" s="570"/>
      <c r="AV44" s="570"/>
      <c r="AW44" s="570"/>
      <c r="AX44" s="570"/>
      <c r="AY44" s="570"/>
      <c r="AZ44" s="570"/>
      <c r="BA44" s="572"/>
    </row>
    <row r="45" spans="1:53" s="2" customFormat="1" ht="15.6" customHeight="1">
      <c r="A45" s="18"/>
      <c r="B45" s="18"/>
      <c r="C45" s="7"/>
      <c r="D45" s="554" t="s">
        <v>540</v>
      </c>
      <c r="F45" s="94"/>
      <c r="H45" s="686"/>
      <c r="J45" s="24"/>
      <c r="K45" s="1557"/>
      <c r="L45" s="24"/>
      <c r="M45" s="1557"/>
      <c r="O45" s="1580"/>
      <c r="Q45" s="1580"/>
      <c r="S45" s="1580"/>
      <c r="U45" s="1580"/>
      <c r="W45" s="1580"/>
      <c r="Y45" s="704">
        <f>100-SUM(Y39:Y41)-Y44</f>
        <v>39.221447674163713</v>
      </c>
      <c r="Z45" s="704">
        <f>100-SUM(Z39:Z41)-Z44</f>
        <v>46.578180169090729</v>
      </c>
      <c r="AJ45" s="18"/>
      <c r="AK45" s="572"/>
      <c r="AL45" s="572"/>
      <c r="AM45" s="570"/>
      <c r="AN45" s="570"/>
      <c r="AO45" s="570"/>
      <c r="AP45" s="570"/>
      <c r="AQ45" s="570"/>
      <c r="AR45" s="570"/>
      <c r="AS45" s="676"/>
      <c r="AT45" s="676"/>
      <c r="AU45" s="570"/>
      <c r="AV45" s="570"/>
      <c r="AW45" s="570"/>
      <c r="AX45" s="570"/>
      <c r="AY45" s="570"/>
      <c r="AZ45" s="570"/>
      <c r="BA45" s="572"/>
    </row>
    <row r="46" spans="1:53" s="2" customFormat="1" ht="14.25">
      <c r="A46" s="18"/>
      <c r="B46" s="18"/>
      <c r="C46" s="7"/>
      <c r="D46" s="18"/>
      <c r="F46" s="94"/>
      <c r="J46" s="24"/>
      <c r="K46" s="1557"/>
      <c r="L46" s="24"/>
      <c r="M46" s="1557"/>
      <c r="O46" s="1580"/>
      <c r="Q46" s="1580"/>
      <c r="S46" s="1580"/>
      <c r="U46" s="1580"/>
      <c r="W46" s="1580"/>
      <c r="AJ46" s="18"/>
      <c r="AK46" s="572" t="s">
        <v>1441</v>
      </c>
      <c r="AL46" s="572"/>
      <c r="AM46" s="570"/>
      <c r="AN46" s="570">
        <f>SUMPRODUCT(AM4:AM36,AN4:AN36)</f>
        <v>3.8089143367227614</v>
      </c>
      <c r="AO46" s="570"/>
      <c r="AP46" s="570">
        <f>SUMPRODUCT(AO4:AO36,AP4:AP36)</f>
        <v>67.881827370750955</v>
      </c>
      <c r="AQ46" s="570"/>
      <c r="AR46" s="570">
        <f>SUMPRODUCT(AQ4:AQ36,AR4:AR36)</f>
        <v>55.155239014968615</v>
      </c>
      <c r="AS46" s="676"/>
      <c r="AT46" s="570">
        <f>SUMPRODUCT(AS4:AS36,AT4:AT36)</f>
        <v>55.94614116959869</v>
      </c>
      <c r="AU46" s="570"/>
      <c r="AV46" s="570">
        <f>SUMPRODUCT(AU4:AU36,AV4:AV36)</f>
        <v>61.106315238779338</v>
      </c>
      <c r="AW46" s="570"/>
      <c r="AX46" s="570">
        <f>SUMPRODUCT(AW4:AW36,AX4:AX36)</f>
        <v>63.835879656833939</v>
      </c>
      <c r="AY46" s="570"/>
      <c r="AZ46" s="570">
        <f>SUMPRODUCT(AY4:AY36,AZ4:AZ36)</f>
        <v>15</v>
      </c>
      <c r="BA46" s="572"/>
    </row>
    <row r="47" spans="1:53" s="2" customFormat="1" ht="14.25">
      <c r="A47" s="18"/>
      <c r="B47" s="18"/>
      <c r="C47" s="7"/>
      <c r="D47" s="18"/>
      <c r="F47" s="94"/>
      <c r="J47" s="24"/>
      <c r="K47" s="1557"/>
      <c r="L47" s="443"/>
      <c r="M47" s="1569"/>
      <c r="O47" s="1580"/>
      <c r="Q47" s="1580"/>
      <c r="S47" s="1580"/>
      <c r="U47" s="1580"/>
      <c r="W47" s="1580"/>
      <c r="AJ47" s="18"/>
      <c r="AK47" s="572" t="s">
        <v>1440</v>
      </c>
      <c r="AL47" s="572"/>
      <c r="AM47" s="570"/>
      <c r="AN47" s="570">
        <f>SUMPRODUCT(AM4:AM36,$H$4:$H$36)</f>
        <v>20</v>
      </c>
      <c r="AO47" s="570"/>
      <c r="AP47" s="570">
        <f>SUMPRODUCT(AO4:AO36,$H$4:$H$36)</f>
        <v>76</v>
      </c>
      <c r="AQ47" s="570"/>
      <c r="AR47" s="570">
        <f>SUMPRODUCT(AQ4:AQ36,$H$4:$H$36)</f>
        <v>60</v>
      </c>
      <c r="AS47" s="570"/>
      <c r="AT47" s="570">
        <f>SUMPRODUCT(AS4:AS36,$H$4:$H$36)</f>
        <v>76</v>
      </c>
      <c r="AU47" s="570"/>
      <c r="AV47" s="570">
        <f>SUMPRODUCT(AU4:AU36,$H$4:$H$36)</f>
        <v>76</v>
      </c>
      <c r="AW47" s="570"/>
      <c r="AX47" s="570">
        <f>SUMPRODUCT(AW4:AW36,$H$4:$H$36)</f>
        <v>66</v>
      </c>
      <c r="AY47" s="570"/>
      <c r="AZ47" s="570">
        <f>SUMPRODUCT(AY4:AY36,$H$4:$H$36)</f>
        <v>15</v>
      </c>
      <c r="BA47" s="572"/>
    </row>
    <row r="48" spans="1:53" s="2" customFormat="1" ht="14.25">
      <c r="A48" s="24"/>
      <c r="B48" s="24"/>
      <c r="C48" s="7"/>
      <c r="D48" s="864" t="s">
        <v>1897</v>
      </c>
      <c r="F48" s="94"/>
      <c r="J48" s="24"/>
      <c r="K48" s="1557"/>
      <c r="L48" s="24"/>
      <c r="M48" s="1557"/>
      <c r="O48" s="1580"/>
      <c r="Q48" s="1580"/>
      <c r="S48" s="1580"/>
      <c r="U48" s="1580"/>
      <c r="W48" s="1580"/>
      <c r="AJ48" s="18"/>
      <c r="AK48" s="572"/>
      <c r="AL48" s="572"/>
      <c r="AM48" s="570"/>
      <c r="AN48" s="570"/>
      <c r="AO48" s="570"/>
      <c r="AP48" s="570"/>
      <c r="AQ48" s="570"/>
      <c r="AR48" s="570"/>
      <c r="AS48" s="676"/>
      <c r="AT48" s="676"/>
      <c r="AU48" s="570"/>
      <c r="AV48" s="570"/>
      <c r="AW48" s="570"/>
      <c r="AX48" s="570"/>
      <c r="AY48" s="570"/>
      <c r="AZ48" s="570"/>
      <c r="BA48" s="572"/>
    </row>
    <row r="49" spans="1:53" s="2" customFormat="1" ht="14.25">
      <c r="A49" s="24"/>
      <c r="B49" s="24"/>
      <c r="C49" s="7"/>
      <c r="D49" s="876" t="s">
        <v>1944</v>
      </c>
      <c r="F49" s="94"/>
      <c r="K49" s="1555"/>
      <c r="M49" s="1555"/>
      <c r="O49" s="1580"/>
      <c r="Q49" s="1580"/>
      <c r="S49" s="1580"/>
      <c r="U49" s="1580"/>
      <c r="W49" s="1580"/>
      <c r="AJ49" s="18"/>
      <c r="AK49" s="572"/>
      <c r="AL49" s="572"/>
      <c r="AM49" s="570"/>
      <c r="AN49" s="570"/>
      <c r="AO49" s="570"/>
      <c r="AP49" s="570"/>
      <c r="AQ49" s="570"/>
      <c r="AR49" s="570"/>
      <c r="AS49" s="676"/>
      <c r="AT49" s="676"/>
      <c r="AU49" s="570"/>
      <c r="AV49" s="570"/>
      <c r="AW49" s="570"/>
      <c r="AX49" s="570"/>
      <c r="AY49" s="570"/>
      <c r="AZ49" s="570"/>
      <c r="BA49" s="572"/>
    </row>
    <row r="50" spans="1:53" s="2" customFormat="1" ht="14.25">
      <c r="A50" s="24"/>
      <c r="B50" s="24"/>
      <c r="C50" s="7"/>
      <c r="D50" s="18"/>
      <c r="F50" s="94"/>
      <c r="K50" s="1555"/>
      <c r="M50" s="1555"/>
      <c r="O50" s="1580"/>
      <c r="Q50" s="1580"/>
      <c r="S50" s="1580"/>
      <c r="U50" s="1580"/>
      <c r="W50" s="1580"/>
      <c r="AJ50" s="18"/>
      <c r="AK50" s="572"/>
      <c r="AL50" s="572"/>
      <c r="AM50" s="570"/>
      <c r="AN50" s="570"/>
      <c r="AO50" s="570"/>
      <c r="AP50" s="570"/>
      <c r="AQ50" s="570"/>
      <c r="AR50" s="570"/>
      <c r="AS50" s="676"/>
      <c r="AT50" s="676"/>
      <c r="AU50" s="570"/>
      <c r="AV50" s="570"/>
      <c r="AW50" s="570"/>
      <c r="AX50" s="570"/>
      <c r="AY50" s="570"/>
      <c r="AZ50" s="570"/>
      <c r="BA50" s="572"/>
    </row>
    <row r="51" spans="1:53" s="2" customFormat="1" ht="14.25">
      <c r="A51" s="24"/>
      <c r="B51" s="24"/>
      <c r="C51" s="7"/>
      <c r="D51" s="24"/>
      <c r="F51" s="94"/>
      <c r="K51" s="1555"/>
      <c r="M51" s="1555"/>
      <c r="O51" s="1580"/>
      <c r="Q51" s="1580"/>
      <c r="S51" s="1580"/>
      <c r="U51" s="1580"/>
      <c r="W51" s="1580"/>
      <c r="AJ51" s="18"/>
      <c r="AK51" s="572"/>
      <c r="AL51" s="572"/>
      <c r="AM51" s="570"/>
      <c r="AN51" s="570"/>
      <c r="AO51" s="570"/>
      <c r="AP51" s="570"/>
      <c r="AQ51" s="570"/>
      <c r="AR51" s="570"/>
      <c r="AS51" s="676"/>
      <c r="AT51" s="676"/>
      <c r="AU51" s="570"/>
      <c r="AV51" s="570"/>
      <c r="AW51" s="570"/>
      <c r="AX51" s="570"/>
      <c r="AY51" s="570"/>
      <c r="AZ51" s="570"/>
      <c r="BA51" s="572"/>
    </row>
    <row r="52" spans="1:53" s="2" customFormat="1" ht="14.25">
      <c r="A52" s="24"/>
      <c r="B52" s="24"/>
      <c r="C52" s="7"/>
      <c r="D52" s="24"/>
      <c r="F52" s="94"/>
      <c r="K52" s="1555"/>
      <c r="M52" s="1555"/>
      <c r="O52" s="1580"/>
      <c r="Q52" s="1580"/>
      <c r="S52" s="1580"/>
      <c r="U52" s="1580"/>
      <c r="W52" s="1580"/>
      <c r="AJ52" s="18"/>
      <c r="AK52" s="572"/>
      <c r="AL52" s="572"/>
      <c r="AM52" s="570"/>
      <c r="AN52" s="570"/>
      <c r="AO52" s="570"/>
      <c r="AP52" s="570"/>
      <c r="AQ52" s="570"/>
      <c r="AR52" s="570"/>
      <c r="AS52" s="676"/>
      <c r="AT52" s="676"/>
      <c r="AU52" s="570"/>
      <c r="AV52" s="570"/>
      <c r="AW52" s="570"/>
      <c r="AX52" s="570"/>
      <c r="AY52" s="570"/>
      <c r="AZ52" s="570"/>
      <c r="BA52" s="572"/>
    </row>
    <row r="53" spans="1:53" s="2" customFormat="1" ht="14.25">
      <c r="A53" s="24"/>
      <c r="B53" s="24"/>
      <c r="C53" s="7"/>
      <c r="D53" s="24"/>
      <c r="F53" s="94"/>
      <c r="K53" s="1555"/>
      <c r="M53" s="1555"/>
      <c r="O53" s="1580"/>
      <c r="Q53" s="1580"/>
      <c r="S53" s="1580"/>
      <c r="U53" s="1580"/>
      <c r="W53" s="1580"/>
      <c r="AJ53" s="18"/>
      <c r="AK53" s="572"/>
      <c r="AL53" s="572"/>
      <c r="AM53" s="570"/>
      <c r="AN53" s="570"/>
      <c r="AO53" s="570"/>
      <c r="AP53" s="570"/>
      <c r="AQ53" s="570"/>
      <c r="AR53" s="570"/>
      <c r="AS53" s="676"/>
      <c r="AT53" s="676"/>
      <c r="AU53" s="570"/>
      <c r="AV53" s="570"/>
      <c r="AW53" s="570"/>
      <c r="AX53" s="570"/>
      <c r="AY53" s="570"/>
      <c r="AZ53" s="570"/>
      <c r="BA53" s="572"/>
    </row>
    <row r="54" spans="1:53" s="2" customFormat="1" ht="14.25">
      <c r="A54" s="24"/>
      <c r="B54" s="24"/>
      <c r="C54" s="7"/>
      <c r="D54" s="24"/>
      <c r="F54" s="94"/>
      <c r="K54" s="1555"/>
      <c r="M54" s="1555"/>
      <c r="O54" s="1580"/>
      <c r="Q54" s="1580"/>
      <c r="S54" s="1580"/>
      <c r="U54" s="1580"/>
      <c r="W54" s="1580"/>
      <c r="AJ54" s="18"/>
      <c r="AK54" s="572"/>
      <c r="AL54" s="572"/>
      <c r="AM54" s="570"/>
      <c r="AN54" s="570"/>
      <c r="AO54" s="570"/>
      <c r="AP54" s="570"/>
      <c r="AQ54" s="570"/>
      <c r="AR54" s="570"/>
      <c r="AS54" s="676"/>
      <c r="AT54" s="676"/>
      <c r="AU54" s="570"/>
      <c r="AV54" s="570"/>
      <c r="AW54" s="570"/>
      <c r="AX54" s="570"/>
      <c r="AY54" s="570"/>
      <c r="AZ54" s="570"/>
      <c r="BA54" s="572"/>
    </row>
    <row r="55" spans="1:53" s="2" customFormat="1" ht="14.25">
      <c r="A55" s="24"/>
      <c r="B55" s="24"/>
      <c r="C55" s="7"/>
      <c r="D55" s="24"/>
      <c r="F55" s="94"/>
      <c r="K55" s="1555"/>
      <c r="M55" s="1555"/>
      <c r="O55" s="1580"/>
      <c r="Q55" s="1580"/>
      <c r="S55" s="1580"/>
      <c r="U55" s="1580"/>
      <c r="W55" s="1580"/>
      <c r="AJ55" s="18"/>
      <c r="AK55" s="572"/>
      <c r="AL55" s="572"/>
      <c r="AM55" s="570"/>
      <c r="AN55" s="570"/>
      <c r="AO55" s="570"/>
      <c r="AP55" s="570"/>
      <c r="AQ55" s="570"/>
      <c r="AR55" s="570"/>
      <c r="AS55" s="676"/>
      <c r="AT55" s="676"/>
      <c r="AU55" s="570"/>
      <c r="AV55" s="570"/>
      <c r="AW55" s="570"/>
      <c r="AX55" s="570"/>
      <c r="AY55" s="570"/>
      <c r="AZ55" s="570"/>
      <c r="BA55" s="572"/>
    </row>
    <row r="56" spans="1:53" s="2" customFormat="1" ht="14.25">
      <c r="A56" s="24"/>
      <c r="B56" s="24"/>
      <c r="C56" s="7"/>
      <c r="D56" s="24"/>
      <c r="F56" s="94"/>
      <c r="K56" s="1555"/>
      <c r="M56" s="1555"/>
      <c r="O56" s="1580"/>
      <c r="Q56" s="1580"/>
      <c r="S56" s="1580"/>
      <c r="U56" s="1580"/>
      <c r="W56" s="1580"/>
      <c r="AJ56" s="18"/>
      <c r="AK56" s="572"/>
      <c r="AL56" s="572"/>
      <c r="AM56" s="570"/>
      <c r="AN56" s="570"/>
      <c r="AO56" s="570"/>
      <c r="AP56" s="570"/>
      <c r="AQ56" s="570"/>
      <c r="AR56" s="570"/>
      <c r="AS56" s="676"/>
      <c r="AT56" s="676"/>
      <c r="AU56" s="570"/>
      <c r="AV56" s="570"/>
      <c r="AW56" s="570"/>
      <c r="AX56" s="570"/>
      <c r="AY56" s="570"/>
      <c r="AZ56" s="570"/>
      <c r="BA56" s="572"/>
    </row>
    <row r="57" spans="1:53" s="2" customFormat="1" ht="14.25">
      <c r="A57" s="24"/>
      <c r="B57" s="24"/>
      <c r="C57" s="7"/>
      <c r="D57" s="24"/>
      <c r="F57" s="94"/>
      <c r="K57" s="1555"/>
      <c r="M57" s="1555"/>
      <c r="O57" s="1580"/>
      <c r="Q57" s="1580"/>
      <c r="S57" s="1580"/>
      <c r="U57" s="1580"/>
      <c r="W57" s="1580"/>
      <c r="AJ57" s="18"/>
      <c r="AK57" s="572"/>
      <c r="AL57" s="572"/>
      <c r="AM57" s="570"/>
      <c r="AN57" s="570"/>
      <c r="AO57" s="570"/>
      <c r="AP57" s="570"/>
      <c r="AQ57" s="570"/>
      <c r="AR57" s="570"/>
      <c r="AS57" s="676"/>
      <c r="AT57" s="676"/>
      <c r="AU57" s="570"/>
      <c r="AV57" s="570"/>
      <c r="AW57" s="570"/>
      <c r="AX57" s="570"/>
      <c r="AY57" s="570"/>
      <c r="AZ57" s="570"/>
      <c r="BA57" s="572"/>
    </row>
    <row r="58" spans="1:53" s="2" customFormat="1" ht="14.25">
      <c r="A58" s="24"/>
      <c r="B58" s="24"/>
      <c r="C58" s="7"/>
      <c r="D58" s="24"/>
      <c r="F58" s="94"/>
      <c r="K58" s="1555"/>
      <c r="M58" s="1555"/>
      <c r="O58" s="1580"/>
      <c r="Q58" s="1580"/>
      <c r="S58" s="1580"/>
      <c r="U58" s="1580"/>
      <c r="W58" s="1580"/>
      <c r="AJ58" s="18"/>
      <c r="AK58" s="572"/>
      <c r="AL58" s="572"/>
      <c r="AM58" s="570"/>
      <c r="AN58" s="570"/>
      <c r="AO58" s="570"/>
      <c r="AP58" s="570"/>
      <c r="AQ58" s="570"/>
      <c r="AR58" s="570"/>
      <c r="AS58" s="676"/>
      <c r="AT58" s="676"/>
      <c r="AU58" s="570"/>
      <c r="AV58" s="570"/>
      <c r="AW58" s="570"/>
      <c r="AX58" s="570"/>
      <c r="AY58" s="570"/>
      <c r="AZ58" s="570"/>
      <c r="BA58" s="572"/>
    </row>
    <row r="59" spans="1:53" s="2" customFormat="1" ht="14.25">
      <c r="A59" s="24"/>
      <c r="B59" s="24"/>
      <c r="C59" s="7"/>
      <c r="D59" s="24"/>
      <c r="F59" s="94"/>
      <c r="K59" s="1555"/>
      <c r="M59" s="1555"/>
      <c r="O59" s="1580"/>
      <c r="Q59" s="1580"/>
      <c r="S59" s="1580"/>
      <c r="U59" s="1580"/>
      <c r="W59" s="1580"/>
      <c r="AJ59" s="18"/>
      <c r="AK59" s="572"/>
      <c r="AL59" s="572"/>
      <c r="AM59" s="570"/>
      <c r="AN59" s="570"/>
      <c r="AO59" s="570"/>
      <c r="AP59" s="570"/>
      <c r="AQ59" s="570"/>
      <c r="AR59" s="570"/>
      <c r="AS59" s="676"/>
      <c r="AT59" s="676"/>
      <c r="AU59" s="570"/>
      <c r="AV59" s="570"/>
      <c r="AW59" s="570"/>
      <c r="AX59" s="570"/>
      <c r="AY59" s="570"/>
      <c r="AZ59" s="570"/>
      <c r="BA59" s="572"/>
    </row>
    <row r="60" spans="1:53" s="2" customFormat="1" ht="14.25">
      <c r="A60" s="24"/>
      <c r="B60" s="24"/>
      <c r="C60" s="7"/>
      <c r="D60" s="24"/>
      <c r="F60" s="94"/>
      <c r="K60" s="1555"/>
      <c r="M60" s="1555"/>
      <c r="O60" s="1580"/>
      <c r="Q60" s="1580"/>
      <c r="S60" s="1580"/>
      <c r="U60" s="1580"/>
      <c r="W60" s="1580"/>
      <c r="AJ60" s="18"/>
      <c r="AK60" s="572"/>
      <c r="AL60" s="572"/>
      <c r="AM60" s="570"/>
      <c r="AN60" s="570"/>
      <c r="AO60" s="570"/>
      <c r="AP60" s="570"/>
      <c r="AQ60" s="570"/>
      <c r="AR60" s="570"/>
      <c r="AS60" s="676"/>
      <c r="AT60" s="676"/>
      <c r="AU60" s="570"/>
      <c r="AV60" s="570"/>
      <c r="AW60" s="570"/>
      <c r="AX60" s="570"/>
      <c r="AY60" s="570"/>
      <c r="AZ60" s="570"/>
      <c r="BA60" s="572"/>
    </row>
    <row r="61" spans="1:53" s="2" customFormat="1" ht="14.25">
      <c r="A61" s="24"/>
      <c r="B61" s="24"/>
      <c r="C61" s="7"/>
      <c r="D61" s="24"/>
      <c r="F61" s="94"/>
      <c r="K61" s="1555"/>
      <c r="M61" s="1555"/>
      <c r="O61" s="1580"/>
      <c r="Q61" s="1580"/>
      <c r="S61" s="1580"/>
      <c r="U61" s="1580"/>
      <c r="W61" s="1580"/>
      <c r="AJ61" s="18"/>
      <c r="AK61" s="572"/>
      <c r="AL61" s="572"/>
      <c r="AM61" s="570"/>
      <c r="AN61" s="570"/>
      <c r="AO61" s="570"/>
      <c r="AP61" s="570"/>
      <c r="AQ61" s="570"/>
      <c r="AR61" s="570"/>
      <c r="AS61" s="676"/>
      <c r="AT61" s="676"/>
      <c r="AU61" s="570"/>
      <c r="AV61" s="570"/>
      <c r="AW61" s="570"/>
      <c r="AX61" s="570"/>
      <c r="AY61" s="570"/>
      <c r="AZ61" s="570"/>
      <c r="BA61" s="572"/>
    </row>
    <row r="62" spans="1:53" s="2" customFormat="1" ht="14.25">
      <c r="A62" s="24"/>
      <c r="B62" s="24"/>
      <c r="C62" s="7"/>
      <c r="D62" s="24"/>
      <c r="F62" s="94"/>
      <c r="K62" s="1555"/>
      <c r="M62" s="1555"/>
      <c r="O62" s="1580"/>
      <c r="Q62" s="1580"/>
      <c r="S62" s="1580"/>
      <c r="U62" s="1580"/>
      <c r="W62" s="1580"/>
      <c r="AJ62" s="18"/>
      <c r="AK62" s="572"/>
      <c r="AL62" s="572"/>
      <c r="AM62" s="570"/>
      <c r="AN62" s="570"/>
      <c r="AO62" s="570"/>
      <c r="AP62" s="570"/>
      <c r="AQ62" s="570"/>
      <c r="AR62" s="570"/>
      <c r="AS62" s="676"/>
      <c r="AT62" s="676"/>
      <c r="AU62" s="570"/>
      <c r="AV62" s="570"/>
      <c r="AW62" s="570"/>
      <c r="AX62" s="570"/>
      <c r="AY62" s="570"/>
      <c r="AZ62" s="570"/>
      <c r="BA62" s="572"/>
    </row>
    <row r="63" spans="1:53" s="2" customFormat="1" ht="14.25">
      <c r="A63" s="24"/>
      <c r="B63" s="24"/>
      <c r="C63" s="7"/>
      <c r="D63" s="24"/>
      <c r="F63" s="94"/>
      <c r="K63" s="1555"/>
      <c r="M63" s="1555"/>
      <c r="O63" s="1580"/>
      <c r="Q63" s="1580"/>
      <c r="S63" s="1580"/>
      <c r="U63" s="1580"/>
      <c r="W63" s="1580"/>
      <c r="AJ63" s="18"/>
      <c r="AK63" s="572"/>
      <c r="AL63" s="572"/>
      <c r="AM63" s="570"/>
      <c r="AN63" s="570"/>
      <c r="AO63" s="570"/>
      <c r="AP63" s="570"/>
      <c r="AQ63" s="570"/>
      <c r="AR63" s="570"/>
      <c r="AS63" s="676"/>
      <c r="AT63" s="676"/>
      <c r="AU63" s="570"/>
      <c r="AV63" s="570"/>
      <c r="AW63" s="570"/>
      <c r="AX63" s="570"/>
      <c r="AY63" s="570"/>
      <c r="AZ63" s="570"/>
      <c r="BA63" s="572"/>
    </row>
    <row r="64" spans="1:53" s="2" customFormat="1" ht="14.25">
      <c r="A64" s="24"/>
      <c r="B64" s="24"/>
      <c r="C64" s="7"/>
      <c r="D64" s="24"/>
      <c r="F64" s="94"/>
      <c r="K64" s="1555"/>
      <c r="M64" s="1555"/>
      <c r="O64" s="1580"/>
      <c r="Q64" s="1580"/>
      <c r="S64" s="1580"/>
      <c r="U64" s="1580"/>
      <c r="W64" s="1580"/>
      <c r="AJ64" s="18"/>
      <c r="AK64" s="572"/>
      <c r="AL64" s="572"/>
      <c r="AM64" s="570"/>
      <c r="AN64" s="570"/>
      <c r="AO64" s="570"/>
      <c r="AP64" s="570"/>
      <c r="AQ64" s="570"/>
      <c r="AR64" s="570"/>
      <c r="AS64" s="676"/>
      <c r="AT64" s="676"/>
      <c r="AU64" s="570"/>
      <c r="AV64" s="570"/>
      <c r="AW64" s="570"/>
      <c r="AX64" s="570"/>
      <c r="AY64" s="570"/>
      <c r="AZ64" s="570"/>
      <c r="BA64" s="572"/>
    </row>
    <row r="65" spans="1:53" s="2" customFormat="1" ht="14.25">
      <c r="A65" s="24"/>
      <c r="B65" s="24"/>
      <c r="C65" s="7"/>
      <c r="D65" s="24"/>
      <c r="F65" s="94"/>
      <c r="K65" s="1555"/>
      <c r="M65" s="1555"/>
      <c r="O65" s="1580"/>
      <c r="Q65" s="1580"/>
      <c r="S65" s="1580"/>
      <c r="U65" s="1580"/>
      <c r="W65" s="1580"/>
      <c r="AJ65" s="18"/>
      <c r="AK65" s="572"/>
      <c r="AL65" s="572"/>
      <c r="AM65" s="570"/>
      <c r="AN65" s="570"/>
      <c r="AO65" s="570"/>
      <c r="AP65" s="570"/>
      <c r="AQ65" s="570"/>
      <c r="AR65" s="570"/>
      <c r="AS65" s="676"/>
      <c r="AT65" s="676"/>
      <c r="AU65" s="570"/>
      <c r="AV65" s="570"/>
      <c r="AW65" s="570"/>
      <c r="AX65" s="570"/>
      <c r="AY65" s="570"/>
      <c r="AZ65" s="570"/>
      <c r="BA65" s="572"/>
    </row>
    <row r="66" spans="1:53" s="2" customFormat="1" ht="14.25">
      <c r="A66" s="24"/>
      <c r="B66" s="24"/>
      <c r="C66" s="7"/>
      <c r="D66" s="24"/>
      <c r="F66" s="94"/>
      <c r="K66" s="1555"/>
      <c r="M66" s="1555"/>
      <c r="O66" s="1580"/>
      <c r="Q66" s="1580"/>
      <c r="S66" s="1580"/>
      <c r="U66" s="1580"/>
      <c r="W66" s="1580"/>
      <c r="AJ66" s="18"/>
      <c r="AK66" s="572"/>
      <c r="AL66" s="572"/>
      <c r="AM66" s="570"/>
      <c r="AN66" s="570"/>
      <c r="AO66" s="570"/>
      <c r="AP66" s="570"/>
      <c r="AQ66" s="570"/>
      <c r="AR66" s="570"/>
      <c r="AS66" s="676"/>
      <c r="AT66" s="676"/>
      <c r="AU66" s="570"/>
      <c r="AV66" s="570"/>
      <c r="AW66" s="570"/>
      <c r="AX66" s="570"/>
      <c r="AY66" s="570"/>
      <c r="AZ66" s="570"/>
      <c r="BA66" s="572"/>
    </row>
    <row r="67" spans="1:53" s="2" customFormat="1" ht="14.25">
      <c r="A67" s="24"/>
      <c r="B67" s="24"/>
      <c r="C67" s="7"/>
      <c r="D67" s="24"/>
      <c r="F67" s="94"/>
      <c r="K67" s="1555"/>
      <c r="M67" s="1555"/>
      <c r="O67" s="1580"/>
      <c r="Q67" s="1580"/>
      <c r="S67" s="1580"/>
      <c r="U67" s="1580"/>
      <c r="W67" s="1580"/>
      <c r="AJ67" s="18"/>
      <c r="AK67" s="572"/>
      <c r="AL67" s="572"/>
      <c r="AM67" s="570"/>
      <c r="AN67" s="570"/>
      <c r="AO67" s="570"/>
      <c r="AP67" s="570"/>
      <c r="AQ67" s="570"/>
      <c r="AR67" s="570"/>
      <c r="AS67" s="676"/>
      <c r="AT67" s="676"/>
      <c r="AU67" s="570"/>
      <c r="AV67" s="570"/>
      <c r="AW67" s="570"/>
      <c r="AX67" s="570"/>
      <c r="AY67" s="570"/>
      <c r="AZ67" s="570"/>
      <c r="BA67" s="572"/>
    </row>
    <row r="68" spans="1:53" s="2" customFormat="1" ht="14.25">
      <c r="A68" s="24"/>
      <c r="B68" s="24"/>
      <c r="C68" s="7"/>
      <c r="D68" s="24"/>
      <c r="F68" s="94"/>
      <c r="K68" s="1555"/>
      <c r="M68" s="1555"/>
      <c r="O68" s="1580"/>
      <c r="Q68" s="1580"/>
      <c r="S68" s="1580"/>
      <c r="U68" s="1580"/>
      <c r="W68" s="1580"/>
      <c r="AJ68" s="18"/>
      <c r="AK68" s="572"/>
      <c r="AL68" s="572"/>
      <c r="AM68" s="570"/>
      <c r="AN68" s="570"/>
      <c r="AO68" s="570"/>
      <c r="AP68" s="570"/>
      <c r="AQ68" s="570"/>
      <c r="AR68" s="570"/>
      <c r="AS68" s="676"/>
      <c r="AT68" s="676"/>
      <c r="AU68" s="570"/>
      <c r="AV68" s="570"/>
      <c r="AW68" s="570"/>
      <c r="AX68" s="570"/>
      <c r="AY68" s="570"/>
      <c r="AZ68" s="570"/>
      <c r="BA68" s="572"/>
    </row>
    <row r="69" spans="1:53" s="2" customFormat="1" ht="14.25">
      <c r="A69" s="24"/>
      <c r="B69" s="24"/>
      <c r="C69" s="7"/>
      <c r="D69" s="24"/>
      <c r="F69" s="94"/>
      <c r="K69" s="1555"/>
      <c r="M69" s="1555"/>
      <c r="O69" s="1580"/>
      <c r="Q69" s="1580"/>
      <c r="S69" s="1580"/>
      <c r="U69" s="1580"/>
      <c r="W69" s="1580"/>
      <c r="AJ69" s="18"/>
      <c r="AK69" s="572"/>
      <c r="AL69" s="572"/>
      <c r="AM69" s="570"/>
      <c r="AN69" s="570"/>
      <c r="AO69" s="570"/>
      <c r="AP69" s="570"/>
      <c r="AQ69" s="570"/>
      <c r="AR69" s="570"/>
      <c r="AS69" s="676"/>
      <c r="AT69" s="676"/>
      <c r="AU69" s="570"/>
      <c r="AV69" s="570"/>
      <c r="AW69" s="570"/>
      <c r="AX69" s="570"/>
      <c r="AY69" s="570"/>
      <c r="AZ69" s="570"/>
      <c r="BA69" s="572"/>
    </row>
    <row r="70" spans="1:53" s="2" customFormat="1" ht="14.25">
      <c r="A70" s="24"/>
      <c r="B70" s="24"/>
      <c r="C70" s="7"/>
      <c r="D70" s="24"/>
      <c r="F70" s="94"/>
      <c r="K70" s="1555"/>
      <c r="M70" s="1555"/>
      <c r="O70" s="1580"/>
      <c r="Q70" s="1580"/>
      <c r="S70" s="1580"/>
      <c r="U70" s="1580"/>
      <c r="W70" s="1580"/>
      <c r="AJ70" s="18"/>
      <c r="AK70" s="572"/>
      <c r="AL70" s="572"/>
      <c r="AM70" s="570"/>
      <c r="AN70" s="570"/>
      <c r="AO70" s="570"/>
      <c r="AP70" s="570"/>
      <c r="AQ70" s="570"/>
      <c r="AR70" s="570"/>
      <c r="AS70" s="676"/>
      <c r="AT70" s="676"/>
      <c r="AU70" s="570"/>
      <c r="AV70" s="570"/>
      <c r="AW70" s="570"/>
      <c r="AX70" s="570"/>
      <c r="AY70" s="570"/>
      <c r="AZ70" s="570"/>
      <c r="BA70" s="572"/>
    </row>
    <row r="71" spans="1:53" s="2" customFormat="1" ht="14.25">
      <c r="A71" s="24"/>
      <c r="B71" s="24"/>
      <c r="C71" s="7"/>
      <c r="D71" s="24"/>
      <c r="F71" s="94"/>
      <c r="K71" s="1555"/>
      <c r="M71" s="1555"/>
      <c r="O71" s="1580"/>
      <c r="Q71" s="1580"/>
      <c r="S71" s="1580"/>
      <c r="U71" s="1580"/>
      <c r="W71" s="1580"/>
      <c r="AJ71" s="18"/>
      <c r="AK71" s="572"/>
      <c r="AL71" s="572"/>
      <c r="AM71" s="570"/>
      <c r="AN71" s="570"/>
      <c r="AO71" s="570"/>
      <c r="AP71" s="570"/>
      <c r="AQ71" s="570"/>
      <c r="AR71" s="570"/>
      <c r="AS71" s="676"/>
      <c r="AT71" s="676"/>
      <c r="AU71" s="570"/>
      <c r="AV71" s="570"/>
      <c r="AW71" s="570"/>
      <c r="AX71" s="570"/>
      <c r="AY71" s="570"/>
      <c r="AZ71" s="570"/>
      <c r="BA71" s="572"/>
    </row>
    <row r="72" spans="1:53" s="2" customFormat="1" ht="14.25">
      <c r="A72" s="24"/>
      <c r="B72" s="24"/>
      <c r="C72" s="7"/>
      <c r="D72" s="24"/>
      <c r="F72" s="94"/>
      <c r="K72" s="1555"/>
      <c r="M72" s="1555"/>
      <c r="O72" s="1580"/>
      <c r="Q72" s="1580"/>
      <c r="S72" s="1580"/>
      <c r="U72" s="1580"/>
      <c r="W72" s="1580"/>
      <c r="AJ72" s="18"/>
      <c r="AK72" s="572"/>
      <c r="AL72" s="572"/>
      <c r="AM72" s="570"/>
      <c r="AN72" s="570"/>
      <c r="AO72" s="570"/>
      <c r="AP72" s="570"/>
      <c r="AQ72" s="570"/>
      <c r="AR72" s="570"/>
      <c r="AS72" s="676"/>
      <c r="AT72" s="676"/>
      <c r="AU72" s="570"/>
      <c r="AV72" s="570"/>
      <c r="AW72" s="570"/>
      <c r="AX72" s="570"/>
      <c r="AY72" s="570"/>
      <c r="AZ72" s="570"/>
      <c r="BA72" s="572"/>
    </row>
    <row r="73" spans="1:53" s="2" customFormat="1" ht="14.25">
      <c r="A73" s="24"/>
      <c r="B73" s="24"/>
      <c r="C73" s="7"/>
      <c r="D73" s="24"/>
      <c r="F73" s="94"/>
      <c r="K73" s="1555"/>
      <c r="M73" s="1555"/>
      <c r="O73" s="1580"/>
      <c r="Q73" s="1580"/>
      <c r="S73" s="1580"/>
      <c r="U73" s="1580"/>
      <c r="W73" s="1580"/>
      <c r="AJ73" s="18"/>
      <c r="AK73" s="572"/>
      <c r="AL73" s="572"/>
      <c r="AM73" s="570"/>
      <c r="AN73" s="570"/>
      <c r="AO73" s="570"/>
      <c r="AP73" s="570"/>
      <c r="AQ73" s="570"/>
      <c r="AR73" s="570"/>
      <c r="AS73" s="676"/>
      <c r="AT73" s="676"/>
      <c r="AU73" s="570"/>
      <c r="AV73" s="570"/>
      <c r="AW73" s="570"/>
      <c r="AX73" s="570"/>
      <c r="AY73" s="570"/>
      <c r="AZ73" s="570"/>
      <c r="BA73" s="572"/>
    </row>
    <row r="74" spans="1:53" s="2" customFormat="1" ht="14.25">
      <c r="A74" s="24"/>
      <c r="B74" s="24"/>
      <c r="C74" s="7"/>
      <c r="D74" s="24"/>
      <c r="F74" s="94"/>
      <c r="K74" s="1555"/>
      <c r="M74" s="1555"/>
      <c r="O74" s="1580"/>
      <c r="Q74" s="1580"/>
      <c r="S74" s="1580"/>
      <c r="U74" s="1580"/>
      <c r="W74" s="1580"/>
      <c r="AJ74" s="18"/>
      <c r="AK74" s="572"/>
      <c r="AL74" s="572"/>
      <c r="AM74" s="570"/>
      <c r="AN74" s="570"/>
      <c r="AO74" s="570"/>
      <c r="AP74" s="570"/>
      <c r="AQ74" s="570"/>
      <c r="AR74" s="570"/>
      <c r="AS74" s="676"/>
      <c r="AT74" s="676"/>
      <c r="AU74" s="570"/>
      <c r="AV74" s="570"/>
      <c r="AW74" s="570"/>
      <c r="AX74" s="570"/>
      <c r="AY74" s="570"/>
      <c r="AZ74" s="570"/>
      <c r="BA74" s="572"/>
    </row>
    <row r="75" spans="1:53" s="2" customFormat="1" ht="14.25">
      <c r="A75" s="24"/>
      <c r="B75" s="24"/>
      <c r="C75" s="7"/>
      <c r="D75" s="24"/>
      <c r="F75" s="94"/>
      <c r="K75" s="1555"/>
      <c r="M75" s="1555"/>
      <c r="O75" s="1580"/>
      <c r="Q75" s="1580"/>
      <c r="S75" s="1580"/>
      <c r="U75" s="1580"/>
      <c r="W75" s="1580"/>
      <c r="AJ75" s="18"/>
      <c r="AK75" s="572"/>
      <c r="AL75" s="572"/>
      <c r="AM75" s="570"/>
      <c r="AN75" s="570"/>
      <c r="AO75" s="570"/>
      <c r="AP75" s="570"/>
      <c r="AQ75" s="570"/>
      <c r="AR75" s="570"/>
      <c r="AS75" s="676"/>
      <c r="AT75" s="676"/>
      <c r="AU75" s="570"/>
      <c r="AV75" s="570"/>
      <c r="AW75" s="570"/>
      <c r="AX75" s="570"/>
      <c r="AY75" s="570"/>
      <c r="AZ75" s="570"/>
      <c r="BA75" s="572"/>
    </row>
    <row r="76" spans="1:53" s="2" customFormat="1" ht="14.25">
      <c r="A76" s="18"/>
      <c r="B76" s="18"/>
      <c r="C76" s="7"/>
      <c r="D76" s="18"/>
      <c r="F76" s="94"/>
      <c r="K76" s="1555"/>
      <c r="M76" s="1555"/>
      <c r="O76" s="1580"/>
      <c r="Q76" s="1580"/>
      <c r="S76" s="1580"/>
      <c r="U76" s="1580"/>
      <c r="W76" s="1580"/>
      <c r="AJ76" s="18"/>
      <c r="AK76" s="572"/>
      <c r="AL76" s="572"/>
      <c r="AM76" s="570"/>
      <c r="AN76" s="570"/>
      <c r="AO76" s="570"/>
      <c r="AP76" s="570"/>
      <c r="AQ76" s="570"/>
      <c r="AR76" s="570"/>
      <c r="AS76" s="676"/>
      <c r="AT76" s="676"/>
      <c r="AU76" s="570"/>
      <c r="AV76" s="570"/>
      <c r="AW76" s="570"/>
      <c r="AX76" s="570"/>
      <c r="AY76" s="570"/>
      <c r="AZ76" s="570"/>
      <c r="BA76" s="572"/>
    </row>
    <row r="77" spans="1:53" s="2" customFormat="1" ht="14.25">
      <c r="A77" s="18"/>
      <c r="B77" s="18"/>
      <c r="C77" s="7"/>
      <c r="D77" s="18"/>
      <c r="F77" s="94"/>
      <c r="K77" s="1555"/>
      <c r="M77" s="1555"/>
      <c r="O77" s="1580"/>
      <c r="Q77" s="1580"/>
      <c r="S77" s="1580"/>
      <c r="U77" s="1580"/>
      <c r="W77" s="1580"/>
      <c r="AJ77" s="18"/>
      <c r="AK77" s="572"/>
      <c r="AL77" s="572"/>
      <c r="AM77" s="570"/>
      <c r="AN77" s="570"/>
      <c r="AO77" s="570"/>
      <c r="AP77" s="570"/>
      <c r="AQ77" s="570"/>
      <c r="AR77" s="570"/>
      <c r="AS77" s="676"/>
      <c r="AT77" s="676"/>
      <c r="AU77" s="570"/>
      <c r="AV77" s="570"/>
      <c r="AW77" s="570"/>
      <c r="AX77" s="570"/>
      <c r="AY77" s="570"/>
      <c r="AZ77" s="570"/>
      <c r="BA77" s="572"/>
    </row>
    <row r="78" spans="1:53" s="2" customFormat="1" ht="14.25">
      <c r="A78" s="18"/>
      <c r="B78" s="18"/>
      <c r="C78" s="7"/>
      <c r="D78" s="18"/>
      <c r="F78" s="94"/>
      <c r="K78" s="1555"/>
      <c r="M78" s="1555"/>
      <c r="O78" s="1580"/>
      <c r="Q78" s="1580"/>
      <c r="S78" s="1580"/>
      <c r="U78" s="1580"/>
      <c r="W78" s="1580"/>
      <c r="AJ78" s="18"/>
      <c r="AK78" s="572"/>
      <c r="AL78" s="572"/>
      <c r="AM78" s="570"/>
      <c r="AN78" s="570"/>
      <c r="AO78" s="570"/>
      <c r="AP78" s="570"/>
      <c r="AQ78" s="570"/>
      <c r="AR78" s="570"/>
      <c r="AS78" s="676"/>
      <c r="AT78" s="676"/>
      <c r="AU78" s="570"/>
      <c r="AV78" s="570"/>
      <c r="AW78" s="570"/>
      <c r="AX78" s="570"/>
      <c r="AY78" s="570"/>
      <c r="AZ78" s="570"/>
      <c r="BA78" s="572"/>
    </row>
    <row r="79" spans="1:53" s="2" customFormat="1" ht="14.25">
      <c r="A79" s="18"/>
      <c r="B79" s="18"/>
      <c r="C79" s="7"/>
      <c r="D79" s="18"/>
      <c r="F79" s="94"/>
      <c r="K79" s="1555"/>
      <c r="M79" s="1555"/>
      <c r="O79" s="1580"/>
      <c r="Q79" s="1580"/>
      <c r="S79" s="1580"/>
      <c r="U79" s="1580"/>
      <c r="W79" s="1580"/>
      <c r="AJ79" s="18"/>
      <c r="AK79" s="572"/>
      <c r="AL79" s="572"/>
      <c r="AM79" s="570"/>
      <c r="AN79" s="570"/>
      <c r="AO79" s="570"/>
      <c r="AP79" s="570"/>
      <c r="AQ79" s="570"/>
      <c r="AR79" s="570"/>
      <c r="AS79" s="676"/>
      <c r="AT79" s="676"/>
      <c r="AU79" s="570"/>
      <c r="AV79" s="570"/>
      <c r="AW79" s="570"/>
      <c r="AX79" s="570"/>
      <c r="AY79" s="570"/>
      <c r="AZ79" s="570"/>
      <c r="BA79" s="572"/>
    </row>
    <row r="80" spans="1:53" s="2" customFormat="1" ht="14.25">
      <c r="A80" s="18"/>
      <c r="B80" s="18"/>
      <c r="C80" s="7"/>
      <c r="D80" s="18"/>
      <c r="F80" s="94"/>
      <c r="K80" s="1555"/>
      <c r="M80" s="1555"/>
      <c r="O80" s="1580"/>
      <c r="Q80" s="1580"/>
      <c r="S80" s="1580"/>
      <c r="U80" s="1580"/>
      <c r="W80" s="1580"/>
      <c r="AJ80" s="18"/>
      <c r="AK80" s="572"/>
      <c r="AL80" s="572"/>
      <c r="AM80" s="570"/>
      <c r="AN80" s="570"/>
      <c r="AO80" s="570"/>
      <c r="AP80" s="570"/>
      <c r="AQ80" s="570"/>
      <c r="AR80" s="570"/>
      <c r="AS80" s="676"/>
      <c r="AT80" s="676"/>
      <c r="AU80" s="570"/>
      <c r="AV80" s="570"/>
      <c r="AW80" s="570"/>
      <c r="AX80" s="570"/>
      <c r="AY80" s="570"/>
      <c r="AZ80" s="570"/>
      <c r="BA80" s="572"/>
    </row>
    <row r="81" spans="1:53" s="2" customFormat="1" ht="14.25">
      <c r="A81" s="18"/>
      <c r="B81" s="18"/>
      <c r="C81" s="7"/>
      <c r="D81" s="18"/>
      <c r="F81" s="94"/>
      <c r="K81" s="1555"/>
      <c r="M81" s="1555"/>
      <c r="O81" s="1580"/>
      <c r="Q81" s="1580"/>
      <c r="S81" s="1580"/>
      <c r="U81" s="1580"/>
      <c r="W81" s="1580"/>
      <c r="AJ81" s="18"/>
      <c r="AK81" s="572"/>
      <c r="AL81" s="572"/>
      <c r="AM81" s="570"/>
      <c r="AN81" s="570"/>
      <c r="AO81" s="570"/>
      <c r="AP81" s="570"/>
      <c r="AQ81" s="570"/>
      <c r="AR81" s="570"/>
      <c r="AS81" s="676"/>
      <c r="AT81" s="676"/>
      <c r="AU81" s="570"/>
      <c r="AV81" s="570"/>
      <c r="AW81" s="570"/>
      <c r="AX81" s="570"/>
      <c r="AY81" s="570"/>
      <c r="AZ81" s="570"/>
      <c r="BA81" s="572"/>
    </row>
    <row r="82" spans="1:53" s="2" customFormat="1" ht="14.25">
      <c r="A82" s="18"/>
      <c r="B82" s="18"/>
      <c r="C82" s="7"/>
      <c r="D82" s="18"/>
      <c r="F82" s="94"/>
      <c r="K82" s="1555"/>
      <c r="M82" s="1555"/>
      <c r="O82" s="1580"/>
      <c r="Q82" s="1580"/>
      <c r="S82" s="1580"/>
      <c r="U82" s="1580"/>
      <c r="W82" s="1580"/>
      <c r="AJ82" s="18"/>
      <c r="AK82" s="572"/>
      <c r="AL82" s="572"/>
      <c r="AM82" s="570"/>
      <c r="AN82" s="570"/>
      <c r="AO82" s="570"/>
      <c r="AP82" s="570"/>
      <c r="AQ82" s="570"/>
      <c r="AR82" s="570"/>
      <c r="AS82" s="676"/>
      <c r="AT82" s="676"/>
      <c r="AU82" s="570"/>
      <c r="AV82" s="570"/>
      <c r="AW82" s="570"/>
      <c r="AX82" s="570"/>
      <c r="AY82" s="570"/>
      <c r="AZ82" s="570"/>
      <c r="BA82" s="572"/>
    </row>
    <row r="83" spans="1:53">
      <c r="A83" s="18"/>
      <c r="B83" s="18"/>
      <c r="C83" s="7"/>
      <c r="D83" s="18"/>
      <c r="F83" s="94"/>
      <c r="J83" s="24"/>
      <c r="K83" s="1557"/>
      <c r="L83" s="24"/>
      <c r="M83" s="1557"/>
    </row>
    <row r="84" spans="1:53">
      <c r="A84" s="18"/>
      <c r="B84" s="18"/>
      <c r="C84" s="7"/>
      <c r="D84" s="18"/>
      <c r="F84" s="94"/>
      <c r="J84" s="24"/>
      <c r="K84" s="1557"/>
      <c r="L84" s="24"/>
      <c r="M84" s="1557"/>
    </row>
    <row r="85" spans="1:53">
      <c r="A85" s="18"/>
      <c r="B85" s="18"/>
      <c r="C85" s="7"/>
      <c r="D85" s="18"/>
      <c r="F85" s="94"/>
      <c r="J85" s="24"/>
      <c r="K85" s="1557"/>
      <c r="L85" s="24"/>
      <c r="M85" s="1557"/>
    </row>
    <row r="86" spans="1:53">
      <c r="A86" s="18"/>
      <c r="B86" s="18"/>
      <c r="C86" s="7"/>
      <c r="D86" s="18"/>
      <c r="F86" s="94"/>
      <c r="J86" s="24"/>
      <c r="K86" s="1557"/>
      <c r="L86" s="24"/>
      <c r="M86" s="1557"/>
    </row>
    <row r="87" spans="1:53">
      <c r="A87" s="18"/>
      <c r="B87" s="18"/>
      <c r="C87" s="7"/>
      <c r="D87" s="18"/>
      <c r="F87" s="94"/>
      <c r="J87" s="24"/>
      <c r="K87" s="1557"/>
      <c r="L87" s="24"/>
      <c r="M87" s="1557"/>
    </row>
    <row r="88" spans="1:53">
      <c r="A88" s="18"/>
      <c r="B88" s="18"/>
      <c r="C88" s="7"/>
      <c r="D88" s="18"/>
      <c r="F88" s="94"/>
      <c r="J88" s="24"/>
      <c r="K88" s="1557"/>
      <c r="L88" s="24"/>
      <c r="M88" s="1557"/>
    </row>
    <row r="89" spans="1:53">
      <c r="A89" s="18"/>
      <c r="B89" s="18"/>
      <c r="C89" s="7"/>
      <c r="D89" s="18"/>
      <c r="F89" s="94"/>
      <c r="J89" s="24"/>
      <c r="K89" s="1557"/>
      <c r="L89" s="24"/>
      <c r="M89" s="1557"/>
    </row>
    <row r="90" spans="1:53">
      <c r="A90" s="18"/>
      <c r="B90" s="18"/>
      <c r="C90" s="7"/>
      <c r="D90" s="18"/>
      <c r="F90" s="94"/>
      <c r="J90" s="24"/>
      <c r="K90" s="1557"/>
      <c r="L90" s="24"/>
      <c r="M90" s="1557"/>
    </row>
    <row r="91" spans="1:53">
      <c r="A91" s="18"/>
      <c r="B91" s="18"/>
      <c r="C91" s="7"/>
      <c r="D91" s="18"/>
      <c r="F91" s="94"/>
      <c r="J91" s="24"/>
      <c r="K91" s="1557"/>
      <c r="L91" s="24"/>
      <c r="M91" s="1557"/>
    </row>
    <row r="92" spans="1:53">
      <c r="A92" s="18"/>
      <c r="B92" s="18"/>
      <c r="C92" s="7"/>
      <c r="D92" s="18"/>
      <c r="F92" s="94"/>
      <c r="J92" s="24"/>
      <c r="K92" s="1557"/>
      <c r="L92" s="24"/>
      <c r="M92" s="1557"/>
    </row>
    <row r="93" spans="1:53">
      <c r="A93" s="18"/>
      <c r="B93" s="18"/>
      <c r="C93" s="7"/>
      <c r="D93" s="18"/>
      <c r="F93" s="94"/>
      <c r="J93" s="24"/>
      <c r="K93" s="1557"/>
      <c r="L93" s="24"/>
      <c r="M93" s="1557"/>
    </row>
    <row r="94" spans="1:53">
      <c r="A94" s="18"/>
      <c r="B94" s="18"/>
      <c r="C94" s="7"/>
      <c r="D94" s="18"/>
      <c r="F94" s="94"/>
      <c r="J94" s="24"/>
      <c r="K94" s="1557"/>
      <c r="L94" s="24"/>
      <c r="M94" s="1557"/>
    </row>
    <row r="95" spans="1:53">
      <c r="A95" s="18"/>
      <c r="B95" s="18"/>
      <c r="C95" s="7"/>
      <c r="D95" s="18"/>
      <c r="F95" s="94"/>
      <c r="J95" s="24"/>
      <c r="K95" s="1557"/>
      <c r="L95" s="24"/>
      <c r="M95" s="1557"/>
    </row>
    <row r="96" spans="1:53">
      <c r="A96" s="18"/>
      <c r="B96" s="18"/>
      <c r="C96" s="7"/>
      <c r="D96" s="18"/>
      <c r="F96" s="94"/>
      <c r="J96" s="24"/>
      <c r="K96" s="1557"/>
      <c r="L96" s="24"/>
      <c r="M96" s="1557"/>
    </row>
    <row r="97" spans="1:13">
      <c r="A97" s="18"/>
      <c r="B97" s="18"/>
      <c r="C97" s="7"/>
      <c r="D97" s="18"/>
      <c r="F97" s="94"/>
      <c r="J97" s="24"/>
      <c r="K97" s="1557"/>
      <c r="L97" s="24"/>
      <c r="M97" s="1557"/>
    </row>
    <row r="98" spans="1:13">
      <c r="A98" s="18"/>
      <c r="B98" s="18"/>
      <c r="C98" s="7"/>
      <c r="D98" s="18"/>
      <c r="F98" s="94"/>
      <c r="J98" s="24"/>
      <c r="K98" s="1557"/>
      <c r="L98" s="24"/>
      <c r="M98" s="1557"/>
    </row>
    <row r="99" spans="1:13">
      <c r="A99" s="18"/>
      <c r="B99" s="18"/>
      <c r="C99" s="7"/>
      <c r="D99" s="18"/>
      <c r="F99" s="94"/>
      <c r="J99" s="24"/>
      <c r="K99" s="1557"/>
      <c r="L99" s="24"/>
      <c r="M99" s="1557"/>
    </row>
    <row r="100" spans="1:13">
      <c r="A100" s="18"/>
      <c r="B100" s="18"/>
      <c r="C100" s="7"/>
      <c r="D100" s="18"/>
      <c r="F100" s="94"/>
      <c r="J100" s="24"/>
      <c r="K100" s="1557"/>
      <c r="L100" s="24"/>
      <c r="M100" s="1557"/>
    </row>
    <row r="101" spans="1:13">
      <c r="A101" s="18"/>
      <c r="B101" s="18"/>
      <c r="C101" s="7"/>
      <c r="D101" s="18"/>
      <c r="F101" s="94"/>
      <c r="J101" s="24"/>
      <c r="K101" s="1557"/>
      <c r="L101" s="24"/>
      <c r="M101" s="1557"/>
    </row>
    <row r="102" spans="1:13">
      <c r="A102" s="18"/>
      <c r="B102" s="18"/>
      <c r="C102" s="7"/>
      <c r="D102" s="18"/>
      <c r="F102" s="94"/>
      <c r="J102" s="24"/>
      <c r="K102" s="1557"/>
      <c r="L102" s="24"/>
      <c r="M102" s="1557"/>
    </row>
    <row r="103" spans="1:13">
      <c r="A103" s="18"/>
      <c r="B103" s="18"/>
      <c r="C103" s="7"/>
      <c r="D103" s="18"/>
      <c r="F103" s="94"/>
      <c r="J103" s="24"/>
      <c r="K103" s="1557"/>
      <c r="L103" s="24"/>
      <c r="M103" s="1557"/>
    </row>
    <row r="104" spans="1:13">
      <c r="A104" s="18"/>
      <c r="B104" s="18"/>
      <c r="C104" s="7"/>
      <c r="D104" s="18"/>
      <c r="F104" s="94"/>
      <c r="J104" s="24"/>
      <c r="K104" s="1557"/>
      <c r="L104" s="24"/>
      <c r="M104" s="1557"/>
    </row>
    <row r="105" spans="1:13">
      <c r="A105" s="18"/>
      <c r="B105" s="18"/>
      <c r="C105" s="7"/>
      <c r="D105" s="18"/>
      <c r="F105" s="94"/>
      <c r="J105" s="24"/>
      <c r="K105" s="1557"/>
      <c r="L105" s="24"/>
      <c r="M105" s="1557"/>
    </row>
    <row r="106" spans="1:13">
      <c r="A106" s="18"/>
      <c r="B106" s="18"/>
      <c r="C106" s="7"/>
      <c r="D106" s="18"/>
      <c r="F106" s="94"/>
      <c r="J106" s="24"/>
      <c r="K106" s="1557"/>
      <c r="L106" s="24"/>
      <c r="M106" s="1557"/>
    </row>
    <row r="107" spans="1:13">
      <c r="A107" s="18"/>
      <c r="B107" s="18"/>
      <c r="C107" s="7"/>
      <c r="D107" s="18"/>
      <c r="F107" s="94"/>
      <c r="J107" s="24"/>
      <c r="K107" s="1557"/>
      <c r="L107" s="24"/>
      <c r="M107" s="1557"/>
    </row>
    <row r="108" spans="1:13">
      <c r="A108" s="18"/>
      <c r="B108" s="18"/>
      <c r="C108" s="7"/>
      <c r="D108" s="18"/>
      <c r="F108" s="94"/>
      <c r="J108" s="24"/>
      <c r="K108" s="1557"/>
      <c r="L108" s="24"/>
      <c r="M108" s="1557"/>
    </row>
    <row r="109" spans="1:13">
      <c r="A109" s="18"/>
      <c r="B109" s="18"/>
      <c r="C109" s="7"/>
      <c r="D109" s="18"/>
      <c r="F109" s="94"/>
      <c r="J109" s="24"/>
      <c r="K109" s="1557"/>
      <c r="L109" s="24"/>
      <c r="M109" s="1557"/>
    </row>
    <row r="110" spans="1:13">
      <c r="A110" s="18"/>
      <c r="B110" s="18"/>
      <c r="C110" s="7"/>
      <c r="D110" s="18"/>
      <c r="F110" s="94"/>
      <c r="J110" s="24"/>
      <c r="K110" s="1557"/>
      <c r="L110" s="24"/>
      <c r="M110" s="1557"/>
    </row>
    <row r="111" spans="1:13">
      <c r="A111" s="18"/>
      <c r="B111" s="18"/>
      <c r="C111" s="7"/>
      <c r="D111" s="18"/>
      <c r="F111" s="94"/>
      <c r="J111" s="24"/>
      <c r="K111" s="1557"/>
      <c r="L111" s="24"/>
      <c r="M111" s="1557"/>
    </row>
    <row r="112" spans="1:13">
      <c r="A112" s="18"/>
      <c r="B112" s="18"/>
      <c r="C112" s="7"/>
      <c r="D112" s="18"/>
      <c r="F112" s="94"/>
      <c r="J112" s="24"/>
      <c r="K112" s="1557"/>
      <c r="L112" s="24"/>
      <c r="M112" s="1557"/>
    </row>
    <row r="113" spans="1:13">
      <c r="A113" s="18"/>
      <c r="B113" s="18"/>
      <c r="C113" s="7"/>
      <c r="D113" s="18"/>
      <c r="F113" s="94"/>
      <c r="J113" s="24"/>
      <c r="K113" s="1557"/>
      <c r="L113" s="24"/>
      <c r="M113" s="1557"/>
    </row>
    <row r="114" spans="1:13">
      <c r="A114" s="18"/>
      <c r="B114" s="18"/>
      <c r="C114" s="7"/>
      <c r="D114" s="18"/>
      <c r="F114" s="94"/>
      <c r="J114" s="24"/>
      <c r="K114" s="1557"/>
      <c r="L114" s="24"/>
      <c r="M114" s="1557"/>
    </row>
    <row r="115" spans="1:13">
      <c r="A115" s="18"/>
      <c r="B115" s="18"/>
      <c r="C115" s="7"/>
      <c r="D115" s="18"/>
      <c r="F115" s="94"/>
      <c r="J115" s="24"/>
      <c r="K115" s="1557"/>
      <c r="L115" s="24"/>
      <c r="M115" s="1557"/>
    </row>
    <row r="116" spans="1:13">
      <c r="A116" s="18"/>
      <c r="B116" s="18"/>
      <c r="C116" s="7"/>
      <c r="D116" s="18"/>
      <c r="F116" s="94"/>
      <c r="J116" s="24"/>
      <c r="K116" s="1557"/>
      <c r="L116" s="24"/>
      <c r="M116" s="1557"/>
    </row>
    <row r="117" spans="1:13">
      <c r="A117" s="18"/>
      <c r="B117" s="18"/>
      <c r="C117" s="7"/>
      <c r="D117" s="18"/>
      <c r="F117" s="94"/>
      <c r="J117" s="24"/>
      <c r="K117" s="1557"/>
      <c r="L117" s="24"/>
      <c r="M117" s="1557"/>
    </row>
    <row r="118" spans="1:13">
      <c r="A118" s="18"/>
      <c r="B118" s="18"/>
      <c r="C118" s="7"/>
      <c r="D118" s="18"/>
      <c r="F118" s="94"/>
      <c r="J118" s="24"/>
      <c r="K118" s="1557"/>
      <c r="L118" s="24"/>
      <c r="M118" s="1557"/>
    </row>
    <row r="119" spans="1:13">
      <c r="A119" s="18"/>
      <c r="B119" s="18"/>
      <c r="C119" s="7"/>
      <c r="D119" s="18"/>
      <c r="F119" s="94"/>
      <c r="J119" s="24"/>
      <c r="K119" s="1557"/>
      <c r="L119" s="24"/>
      <c r="M119" s="1557"/>
    </row>
    <row r="120" spans="1:13">
      <c r="A120" s="18"/>
      <c r="B120" s="18"/>
      <c r="C120" s="7"/>
      <c r="D120" s="18"/>
      <c r="F120" s="94"/>
      <c r="J120" s="24"/>
      <c r="K120" s="1557"/>
      <c r="L120" s="24"/>
      <c r="M120" s="1557"/>
    </row>
    <row r="121" spans="1:13">
      <c r="A121" s="18"/>
      <c r="B121" s="18"/>
      <c r="C121" s="7"/>
      <c r="D121" s="18"/>
      <c r="F121" s="94"/>
      <c r="J121" s="24"/>
      <c r="K121" s="1557"/>
      <c r="L121" s="24"/>
      <c r="M121" s="1557"/>
    </row>
    <row r="122" spans="1:13">
      <c r="A122" s="18"/>
      <c r="B122" s="18"/>
      <c r="C122" s="7"/>
      <c r="D122" s="18"/>
      <c r="F122" s="94"/>
      <c r="J122" s="24"/>
      <c r="K122" s="1557"/>
      <c r="L122" s="24"/>
      <c r="M122" s="1557"/>
    </row>
    <row r="123" spans="1:13">
      <c r="A123" s="18"/>
      <c r="B123" s="18"/>
      <c r="C123" s="7"/>
      <c r="D123" s="18"/>
      <c r="F123" s="94"/>
      <c r="J123" s="24"/>
      <c r="K123" s="1557"/>
      <c r="L123" s="24"/>
      <c r="M123" s="1557"/>
    </row>
    <row r="124" spans="1:13">
      <c r="A124" s="18"/>
      <c r="B124" s="18"/>
      <c r="C124" s="7"/>
      <c r="D124" s="18"/>
      <c r="F124" s="94"/>
      <c r="J124" s="24"/>
      <c r="K124" s="1557"/>
      <c r="L124" s="24"/>
      <c r="M124" s="1557"/>
    </row>
    <row r="125" spans="1:13">
      <c r="A125" s="18"/>
      <c r="B125" s="18"/>
      <c r="C125" s="7"/>
      <c r="D125" s="18"/>
      <c r="F125" s="94"/>
      <c r="J125" s="24"/>
      <c r="K125" s="1557"/>
      <c r="L125" s="24"/>
      <c r="M125" s="1557"/>
    </row>
    <row r="126" spans="1:13">
      <c r="A126" s="18"/>
      <c r="B126" s="18"/>
      <c r="C126" s="7"/>
      <c r="D126" s="18"/>
      <c r="F126" s="94"/>
      <c r="J126" s="24"/>
      <c r="K126" s="1557"/>
      <c r="L126" s="24"/>
      <c r="M126" s="1557"/>
    </row>
    <row r="127" spans="1:13">
      <c r="A127" s="18"/>
      <c r="B127" s="18"/>
      <c r="C127" s="7"/>
      <c r="D127" s="18"/>
      <c r="F127" s="94"/>
      <c r="J127" s="24"/>
      <c r="K127" s="1557"/>
      <c r="L127" s="24"/>
      <c r="M127" s="1557"/>
    </row>
    <row r="128" spans="1:13">
      <c r="A128" s="18"/>
      <c r="B128" s="18"/>
      <c r="C128" s="7"/>
      <c r="D128" s="18"/>
      <c r="F128" s="94"/>
      <c r="J128" s="24"/>
      <c r="K128" s="1557"/>
      <c r="L128" s="24"/>
      <c r="M128" s="1557"/>
    </row>
    <row r="129" spans="1:13">
      <c r="A129" s="18"/>
      <c r="B129" s="18"/>
      <c r="C129" s="7"/>
      <c r="D129" s="18"/>
      <c r="F129" s="94"/>
      <c r="J129" s="24"/>
      <c r="K129" s="1557"/>
      <c r="L129" s="24"/>
      <c r="M129" s="1557"/>
    </row>
    <row r="130" spans="1:13">
      <c r="A130" s="18"/>
      <c r="B130" s="18"/>
      <c r="C130" s="7"/>
      <c r="D130" s="18"/>
      <c r="F130" s="94"/>
      <c r="J130" s="24"/>
      <c r="K130" s="1557"/>
      <c r="L130" s="24"/>
      <c r="M130" s="1557"/>
    </row>
    <row r="131" spans="1:13">
      <c r="A131" s="18"/>
      <c r="B131" s="18"/>
      <c r="C131" s="7"/>
      <c r="D131" s="18"/>
      <c r="F131" s="94"/>
      <c r="J131" s="24"/>
      <c r="K131" s="1557"/>
      <c r="L131" s="24"/>
      <c r="M131" s="1557"/>
    </row>
    <row r="132" spans="1:13">
      <c r="A132" s="18"/>
      <c r="B132" s="18"/>
      <c r="C132" s="7"/>
      <c r="D132" s="18"/>
      <c r="F132" s="94"/>
      <c r="J132" s="24"/>
      <c r="K132" s="1557"/>
      <c r="L132" s="24"/>
      <c r="M132" s="1557"/>
    </row>
    <row r="133" spans="1:13">
      <c r="A133" s="18"/>
      <c r="B133" s="18"/>
      <c r="C133" s="7"/>
      <c r="D133" s="18"/>
      <c r="F133" s="94"/>
      <c r="J133" s="24"/>
      <c r="K133" s="1557"/>
      <c r="L133" s="24"/>
      <c r="M133" s="1557"/>
    </row>
    <row r="134" spans="1:13">
      <c r="A134" s="18"/>
      <c r="B134" s="18"/>
      <c r="C134" s="7"/>
      <c r="D134" s="18"/>
      <c r="F134" s="94"/>
      <c r="J134" s="24"/>
      <c r="K134" s="1557"/>
      <c r="L134" s="24"/>
      <c r="M134" s="1557"/>
    </row>
    <row r="135" spans="1:13">
      <c r="A135" s="18"/>
      <c r="B135" s="18"/>
      <c r="C135" s="7"/>
      <c r="D135" s="18"/>
      <c r="F135" s="94"/>
      <c r="J135" s="24"/>
      <c r="K135" s="1557"/>
      <c r="L135" s="24"/>
      <c r="M135" s="1557"/>
    </row>
    <row r="136" spans="1:13">
      <c r="A136" s="18"/>
      <c r="B136" s="18"/>
      <c r="C136" s="7"/>
      <c r="D136" s="18"/>
      <c r="F136" s="94"/>
      <c r="J136" s="24"/>
      <c r="K136" s="1557"/>
      <c r="L136" s="24"/>
      <c r="M136" s="1557"/>
    </row>
    <row r="137" spans="1:13">
      <c r="A137" s="18"/>
      <c r="B137" s="18"/>
      <c r="C137" s="7"/>
      <c r="D137" s="18"/>
      <c r="F137" s="94"/>
      <c r="J137" s="24"/>
      <c r="K137" s="1557"/>
      <c r="L137" s="24"/>
      <c r="M137" s="1557"/>
    </row>
    <row r="138" spans="1:13">
      <c r="A138" s="18"/>
      <c r="B138" s="18"/>
      <c r="C138" s="7"/>
      <c r="D138" s="18"/>
      <c r="F138" s="94"/>
      <c r="J138" s="24"/>
      <c r="K138" s="1557"/>
      <c r="L138" s="24"/>
      <c r="M138" s="1557"/>
    </row>
    <row r="139" spans="1:13">
      <c r="A139" s="18"/>
      <c r="B139" s="18"/>
      <c r="C139" s="7"/>
      <c r="D139" s="18"/>
      <c r="F139" s="94"/>
      <c r="J139" s="24"/>
      <c r="K139" s="1557"/>
      <c r="L139" s="24"/>
      <c r="M139" s="1557"/>
    </row>
    <row r="140" spans="1:13">
      <c r="A140" s="18"/>
      <c r="B140" s="18"/>
      <c r="C140" s="7"/>
      <c r="D140" s="18"/>
      <c r="F140" s="94"/>
      <c r="J140" s="24"/>
      <c r="K140" s="1557"/>
      <c r="L140" s="24"/>
      <c r="M140" s="1557"/>
    </row>
    <row r="141" spans="1:13">
      <c r="A141" s="18"/>
      <c r="B141" s="18"/>
      <c r="C141" s="7"/>
      <c r="D141" s="18"/>
      <c r="F141" s="94"/>
      <c r="J141" s="24"/>
      <c r="K141" s="1557"/>
      <c r="L141" s="24"/>
      <c r="M141" s="1557"/>
    </row>
    <row r="142" spans="1:13">
      <c r="A142" s="18"/>
      <c r="B142" s="18"/>
      <c r="C142" s="7"/>
      <c r="D142" s="18"/>
      <c r="F142" s="94"/>
      <c r="J142" s="24"/>
      <c r="K142" s="1557"/>
      <c r="L142" s="24"/>
      <c r="M142" s="1557"/>
    </row>
    <row r="143" spans="1:13">
      <c r="A143" s="18"/>
      <c r="B143" s="18"/>
      <c r="C143" s="7"/>
      <c r="D143" s="18"/>
      <c r="F143" s="94"/>
      <c r="J143" s="24"/>
      <c r="K143" s="1557"/>
      <c r="L143" s="24"/>
      <c r="M143" s="1557"/>
    </row>
    <row r="144" spans="1:13">
      <c r="A144" s="18"/>
      <c r="B144" s="18"/>
      <c r="C144" s="7"/>
      <c r="D144" s="18"/>
      <c r="F144" s="94"/>
      <c r="J144" s="24"/>
      <c r="K144" s="1557"/>
      <c r="L144" s="24"/>
      <c r="M144" s="1557"/>
    </row>
    <row r="145" spans="1:13">
      <c r="A145" s="18"/>
      <c r="B145" s="18"/>
      <c r="C145" s="7"/>
      <c r="D145" s="18"/>
      <c r="F145" s="94"/>
      <c r="J145" s="24"/>
      <c r="K145" s="1557"/>
      <c r="L145" s="24"/>
      <c r="M145" s="1557"/>
    </row>
    <row r="146" spans="1:13">
      <c r="A146" s="18"/>
      <c r="B146" s="18"/>
      <c r="C146" s="7"/>
      <c r="D146" s="18"/>
      <c r="F146" s="94"/>
      <c r="J146" s="24"/>
      <c r="K146" s="1557"/>
      <c r="L146" s="24"/>
      <c r="M146" s="1557"/>
    </row>
    <row r="147" spans="1:13">
      <c r="A147" s="18"/>
      <c r="B147" s="18"/>
      <c r="C147" s="7"/>
      <c r="D147" s="18"/>
      <c r="F147" s="94"/>
      <c r="J147" s="24"/>
      <c r="K147" s="1557"/>
      <c r="L147" s="24"/>
      <c r="M147" s="1557"/>
    </row>
    <row r="148" spans="1:13">
      <c r="A148" s="18"/>
      <c r="B148" s="18"/>
      <c r="C148" s="7"/>
      <c r="D148" s="18"/>
      <c r="F148" s="94"/>
      <c r="J148" s="24"/>
      <c r="K148" s="1557"/>
      <c r="L148" s="24"/>
      <c r="M148" s="1557"/>
    </row>
    <row r="149" spans="1:13">
      <c r="A149" s="18"/>
      <c r="B149" s="18"/>
      <c r="C149" s="7"/>
      <c r="D149" s="18"/>
      <c r="F149" s="94"/>
      <c r="J149" s="24"/>
      <c r="K149" s="1557"/>
      <c r="L149" s="24"/>
      <c r="M149" s="1557"/>
    </row>
    <row r="150" spans="1:13">
      <c r="A150" s="18"/>
      <c r="B150" s="18"/>
      <c r="C150" s="7"/>
      <c r="D150" s="18"/>
      <c r="F150" s="94"/>
      <c r="J150" s="24"/>
      <c r="K150" s="1557"/>
      <c r="L150" s="24"/>
      <c r="M150" s="1557"/>
    </row>
    <row r="151" spans="1:13">
      <c r="A151" s="18"/>
      <c r="B151" s="18"/>
      <c r="C151" s="7"/>
      <c r="D151" s="18"/>
      <c r="F151" s="94"/>
      <c r="J151" s="24"/>
      <c r="K151" s="1557"/>
      <c r="L151" s="24"/>
      <c r="M151" s="1557"/>
    </row>
    <row r="152" spans="1:13">
      <c r="A152" s="18"/>
      <c r="B152" s="18"/>
      <c r="C152" s="7"/>
      <c r="D152" s="18"/>
      <c r="F152" s="94"/>
      <c r="J152" s="24"/>
      <c r="K152" s="1557"/>
      <c r="L152" s="24"/>
      <c r="M152" s="1557"/>
    </row>
    <row r="153" spans="1:13">
      <c r="A153" s="18"/>
      <c r="B153" s="18"/>
      <c r="C153" s="7"/>
      <c r="D153" s="18"/>
      <c r="F153" s="94"/>
      <c r="J153" s="24"/>
      <c r="K153" s="1557"/>
      <c r="L153" s="24"/>
      <c r="M153" s="1557"/>
    </row>
    <row r="154" spans="1:13">
      <c r="A154" s="18"/>
      <c r="B154" s="18"/>
      <c r="C154" s="7"/>
      <c r="D154" s="18"/>
      <c r="F154" s="94"/>
      <c r="J154" s="24"/>
      <c r="K154" s="1557"/>
      <c r="L154" s="24"/>
      <c r="M154" s="1557"/>
    </row>
    <row r="155" spans="1:13">
      <c r="A155" s="18"/>
      <c r="B155" s="18"/>
      <c r="C155" s="7"/>
      <c r="D155" s="18"/>
      <c r="F155" s="94"/>
      <c r="J155" s="24"/>
      <c r="K155" s="1557"/>
      <c r="L155" s="24"/>
      <c r="M155" s="1557"/>
    </row>
    <row r="156" spans="1:13">
      <c r="A156" s="18"/>
      <c r="B156" s="18"/>
      <c r="C156" s="7"/>
      <c r="D156" s="18"/>
      <c r="F156" s="94"/>
      <c r="J156" s="24"/>
      <c r="K156" s="1557"/>
      <c r="L156" s="24"/>
      <c r="M156" s="1557"/>
    </row>
    <row r="157" spans="1:13">
      <c r="A157" s="18"/>
      <c r="B157" s="18"/>
      <c r="C157" s="7"/>
      <c r="D157" s="18"/>
      <c r="F157" s="94"/>
      <c r="J157" s="24"/>
      <c r="K157" s="1557"/>
      <c r="L157" s="24"/>
      <c r="M157" s="1557"/>
    </row>
    <row r="158" spans="1:13">
      <c r="A158" s="18"/>
      <c r="B158" s="18"/>
      <c r="C158" s="7"/>
      <c r="D158" s="18"/>
      <c r="F158" s="94"/>
      <c r="J158" s="24"/>
      <c r="K158" s="1557"/>
      <c r="L158" s="24"/>
      <c r="M158" s="1557"/>
    </row>
    <row r="159" spans="1:13">
      <c r="A159" s="18"/>
      <c r="B159" s="18"/>
      <c r="C159" s="7"/>
      <c r="D159" s="18"/>
      <c r="F159" s="94"/>
      <c r="J159" s="24"/>
      <c r="K159" s="1557"/>
      <c r="L159" s="24"/>
      <c r="M159" s="1557"/>
    </row>
    <row r="160" spans="1:13">
      <c r="A160" s="18"/>
      <c r="B160" s="18"/>
      <c r="C160" s="7"/>
      <c r="D160" s="18"/>
      <c r="F160" s="94"/>
      <c r="J160" s="24"/>
      <c r="K160" s="1557"/>
      <c r="L160" s="24"/>
      <c r="M160" s="1557"/>
    </row>
    <row r="161" spans="1:13">
      <c r="A161" s="18"/>
      <c r="B161" s="18"/>
      <c r="C161" s="7"/>
      <c r="D161" s="18"/>
      <c r="F161" s="94"/>
      <c r="J161" s="24"/>
      <c r="K161" s="1557"/>
      <c r="L161" s="24"/>
      <c r="M161" s="1557"/>
    </row>
    <row r="162" spans="1:13">
      <c r="A162" s="18"/>
      <c r="B162" s="18"/>
      <c r="C162" s="7"/>
      <c r="D162" s="18"/>
      <c r="F162" s="94"/>
      <c r="J162" s="24"/>
      <c r="K162" s="1557"/>
      <c r="L162" s="24"/>
      <c r="M162" s="1557"/>
    </row>
    <row r="163" spans="1:13">
      <c r="A163" s="18"/>
      <c r="B163" s="18"/>
      <c r="C163" s="7"/>
      <c r="D163" s="18"/>
      <c r="F163" s="94"/>
      <c r="J163" s="24"/>
      <c r="K163" s="1557"/>
      <c r="L163" s="24"/>
      <c r="M163" s="1557"/>
    </row>
    <row r="164" spans="1:13">
      <c r="A164" s="18"/>
      <c r="B164" s="18"/>
      <c r="C164" s="7"/>
      <c r="D164" s="18"/>
      <c r="F164" s="94"/>
      <c r="J164" s="24"/>
      <c r="K164" s="1557"/>
      <c r="L164" s="24"/>
      <c r="M164" s="1557"/>
    </row>
    <row r="165" spans="1:13">
      <c r="A165" s="18"/>
      <c r="B165" s="18"/>
      <c r="C165" s="7"/>
      <c r="D165" s="18"/>
      <c r="F165" s="94"/>
      <c r="J165" s="24"/>
      <c r="K165" s="1557"/>
      <c r="L165" s="24"/>
      <c r="M165" s="1557"/>
    </row>
    <row r="166" spans="1:13">
      <c r="A166" s="18"/>
      <c r="B166" s="18"/>
      <c r="C166" s="7"/>
      <c r="D166" s="18"/>
      <c r="F166" s="94"/>
      <c r="J166" s="24"/>
      <c r="K166" s="1557"/>
      <c r="L166" s="24"/>
      <c r="M166" s="1557"/>
    </row>
    <row r="167" spans="1:13">
      <c r="A167" s="18"/>
      <c r="B167" s="18"/>
      <c r="C167" s="7"/>
      <c r="D167" s="18"/>
      <c r="F167" s="94"/>
      <c r="J167" s="24"/>
      <c r="K167" s="1557"/>
      <c r="L167" s="24"/>
      <c r="M167" s="1557"/>
    </row>
    <row r="168" spans="1:13">
      <c r="A168" s="18"/>
      <c r="B168" s="18"/>
      <c r="C168" s="7"/>
      <c r="D168" s="18"/>
      <c r="F168" s="94"/>
      <c r="J168" s="24"/>
      <c r="K168" s="1557"/>
      <c r="L168" s="24"/>
      <c r="M168" s="1557"/>
    </row>
    <row r="169" spans="1:13">
      <c r="A169" s="18"/>
      <c r="B169" s="18"/>
      <c r="C169" s="7"/>
      <c r="D169" s="18"/>
      <c r="F169" s="94"/>
      <c r="J169" s="24"/>
      <c r="K169" s="1557"/>
      <c r="L169" s="24"/>
      <c r="M169" s="1557"/>
    </row>
    <row r="170" spans="1:13">
      <c r="C170" s="7"/>
      <c r="J170" s="24"/>
      <c r="K170" s="1557"/>
      <c r="L170" s="24"/>
      <c r="M170" s="1557"/>
    </row>
    <row r="171" spans="1:13">
      <c r="C171" s="7"/>
      <c r="J171" s="24"/>
      <c r="K171" s="1557"/>
      <c r="L171" s="24"/>
      <c r="M171" s="1557"/>
    </row>
    <row r="172" spans="1:13">
      <c r="C172" s="7"/>
      <c r="J172" s="24"/>
      <c r="K172" s="1557"/>
      <c r="L172" s="24"/>
      <c r="M172" s="1557"/>
    </row>
    <row r="173" spans="1:13">
      <c r="C173" s="7"/>
      <c r="J173" s="24"/>
      <c r="K173" s="1557"/>
      <c r="L173" s="24"/>
      <c r="M173" s="1557"/>
    </row>
    <row r="174" spans="1:13">
      <c r="C174" s="7"/>
      <c r="J174" s="24"/>
      <c r="K174" s="1557"/>
      <c r="L174" s="24"/>
      <c r="M174" s="1557"/>
    </row>
    <row r="175" spans="1:13">
      <c r="C175" s="7"/>
      <c r="J175" s="24"/>
      <c r="K175" s="1557"/>
      <c r="L175" s="24"/>
      <c r="M175" s="1557"/>
    </row>
    <row r="176" spans="1:13">
      <c r="C176" s="7"/>
      <c r="J176" s="24"/>
      <c r="K176" s="1557"/>
      <c r="L176" s="24"/>
      <c r="M176" s="1557"/>
    </row>
  </sheetData>
  <mergeCells count="47">
    <mergeCell ref="AE14:AE15"/>
    <mergeCell ref="AE36:AE37"/>
    <mergeCell ref="AC14:AC15"/>
    <mergeCell ref="AC36:AC37"/>
    <mergeCell ref="AD14:AD15"/>
    <mergeCell ref="AD36:AD37"/>
    <mergeCell ref="A36:A37"/>
    <mergeCell ref="B36:B37"/>
    <mergeCell ref="AB14:AB15"/>
    <mergeCell ref="AB36:AB37"/>
    <mergeCell ref="AA14:AA15"/>
    <mergeCell ref="X31:X32"/>
    <mergeCell ref="X33:X34"/>
    <mergeCell ref="G14:G15"/>
    <mergeCell ref="G31:G32"/>
    <mergeCell ref="G33:G34"/>
    <mergeCell ref="Z36:Z37"/>
    <mergeCell ref="Y36:Y37"/>
    <mergeCell ref="Z14:Z15"/>
    <mergeCell ref="Z31:Z32"/>
    <mergeCell ref="Z33:Z34"/>
    <mergeCell ref="Y14:Y15"/>
    <mergeCell ref="Y31:Y32"/>
    <mergeCell ref="Y33:Y34"/>
    <mergeCell ref="A24:A26"/>
    <mergeCell ref="B24:B26"/>
    <mergeCell ref="H14:H15"/>
    <mergeCell ref="H31:H32"/>
    <mergeCell ref="H33:H34"/>
    <mergeCell ref="A33:A34"/>
    <mergeCell ref="B33:B34"/>
    <mergeCell ref="G36:G37"/>
    <mergeCell ref="H36:H37"/>
    <mergeCell ref="A4:A7"/>
    <mergeCell ref="B4:B7"/>
    <mergeCell ref="A8:A10"/>
    <mergeCell ref="B8:B10"/>
    <mergeCell ref="A31:A32"/>
    <mergeCell ref="B31:B32"/>
    <mergeCell ref="A11:A13"/>
    <mergeCell ref="B11:B13"/>
    <mergeCell ref="B14:B15"/>
    <mergeCell ref="A14:A15"/>
    <mergeCell ref="A16:A18"/>
    <mergeCell ref="B16:B18"/>
    <mergeCell ref="B19:B21"/>
    <mergeCell ref="A19:A21"/>
  </mergeCells>
  <phoneticPr fontId="12" type="noConversion"/>
  <conditionalFormatting sqref="X31:X34">
    <cfRule type="expression" dxfId="123" priority="28">
      <formula>ABS($Y$31/$Z$31-1)&gt;0.3</formula>
    </cfRule>
  </conditionalFormatting>
  <conditionalFormatting sqref="AB4:AE14 AB16:AE36">
    <cfRule type="expression" dxfId="122" priority="25">
      <formula>AB4&lt;&gt;0</formula>
    </cfRule>
  </conditionalFormatting>
  <conditionalFormatting sqref="X4:X34 X36:X37">
    <cfRule type="expression" dxfId="121" priority="30">
      <formula>ABS($X4)&gt;0.3</formula>
    </cfRule>
  </conditionalFormatting>
  <conditionalFormatting sqref="AA5:AA10 AA12:AA13 AA16:AA18 AA20:AA37">
    <cfRule type="cellIs" dxfId="120" priority="23" stopIfTrue="1" operator="lessThan">
      <formula>0</formula>
    </cfRule>
    <cfRule type="cellIs" dxfId="119" priority="24" operator="greaterThan">
      <formula>0</formula>
    </cfRule>
  </conditionalFormatting>
  <dataValidations disablePrompts="1" count="4">
    <dataValidation type="list" allowBlank="1" showInputMessage="1" showErrorMessage="1" sqref="J34:M34">
      <formula1>$N$34:$R$34</formula1>
    </dataValidation>
    <dataValidation type="list" allowBlank="1" showInputMessage="1" showErrorMessage="1" sqref="J33:M33">
      <formula1>$N$33:$R$33</formula1>
    </dataValidation>
    <dataValidation type="list" allowBlank="1" showInputMessage="1" showErrorMessage="1" sqref="J32:M32">
      <formula1>$N$32:$P$32</formula1>
    </dataValidation>
    <dataValidation type="list" allowBlank="1" showInputMessage="1" showErrorMessage="1" sqref="J31:M31">
      <formula1>$N$31:$P$31</formula1>
    </dataValidation>
  </dataValidations>
  <hyperlinks>
    <hyperlink ref="D49" location="目录!A1" display="目录!A1"/>
    <hyperlink ref="D48" location="权重!A1" display="权重!A1"/>
  </hyperlink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6"/>
  </sheetPr>
  <dimension ref="A1:AA170"/>
  <sheetViews>
    <sheetView workbookViewId="0">
      <pane xSplit="8" ySplit="3" topLeftCell="I5" activePane="bottomRight" state="frozenSplit"/>
      <selection activeCell="C1" sqref="C1"/>
      <selection pane="topRight" activeCell="D1" sqref="D1"/>
      <selection pane="bottomLeft" activeCell="C22" sqref="C22"/>
      <selection pane="bottomRight" activeCell="L10" sqref="L10"/>
    </sheetView>
  </sheetViews>
  <sheetFormatPr defaultColWidth="8.875" defaultRowHeight="16.5" outlineLevelCol="2"/>
  <cols>
    <col min="1" max="2" width="20.75" style="19" hidden="1" customWidth="1" outlineLevel="1"/>
    <col min="3" max="3" width="4.625" style="8" customWidth="1" collapsed="1"/>
    <col min="4" max="4" width="42.125" style="19" customWidth="1"/>
    <col min="5" max="5" width="13.5" style="2" hidden="1" customWidth="1" outlineLevel="1"/>
    <col min="6" max="6" width="11.5" style="95" hidden="1" customWidth="1" outlineLevel="2"/>
    <col min="7" max="7" width="10.5" style="1" hidden="1" customWidth="1" outlineLevel="1"/>
    <col min="8" max="8" width="9" style="1" customWidth="1" collapsed="1"/>
    <col min="9" max="9" width="9.625" style="1" customWidth="1" outlineLevel="1"/>
    <col min="10" max="11" width="12.75" style="25" customWidth="1"/>
    <col min="12" max="13" width="13.25" style="25" customWidth="1"/>
    <col min="14" max="14" width="10.5" style="1" hidden="1" customWidth="1"/>
    <col min="15" max="15" width="13.375" style="1" hidden="1" customWidth="1"/>
    <col min="16" max="16" width="13.875" style="1" hidden="1" customWidth="1"/>
    <col min="17" max="17" width="8.875" style="1" hidden="1" customWidth="1"/>
    <col min="18" max="21" width="9.625" style="1" hidden="1" customWidth="1"/>
    <col min="24" max="24" width="8.875" style="1"/>
    <col min="25" max="25" width="8.875" style="670" hidden="1" customWidth="1" outlineLevel="1"/>
    <col min="26" max="26" width="8.875" style="709" hidden="1" customWidth="1" outlineLevel="1"/>
    <col min="27" max="27" width="8.875" style="1" collapsed="1"/>
    <col min="28" max="16384" width="8.875" style="1"/>
  </cols>
  <sheetData>
    <row r="1" spans="1:26">
      <c r="A1" s="158"/>
      <c r="B1" s="158"/>
      <c r="C1" s="708" t="s">
        <v>25</v>
      </c>
      <c r="D1" s="158"/>
      <c r="F1" s="628"/>
      <c r="I1" s="712"/>
      <c r="J1" s="164"/>
      <c r="K1" s="628"/>
      <c r="L1" s="239"/>
      <c r="M1" s="628"/>
      <c r="Y1" s="1974"/>
      <c r="Z1" s="1975"/>
    </row>
    <row r="2" spans="1:26" s="2" customFormat="1" ht="21" customHeight="1">
      <c r="A2" s="164"/>
      <c r="B2" s="164"/>
      <c r="C2" s="35"/>
      <c r="D2" s="159"/>
      <c r="F2" s="164"/>
      <c r="J2" s="164"/>
      <c r="K2" s="628"/>
      <c r="L2" s="239"/>
      <c r="M2" s="628"/>
      <c r="P2" s="308" t="s">
        <v>1945</v>
      </c>
      <c r="Y2" s="670" t="s">
        <v>1171</v>
      </c>
      <c r="Z2" s="571"/>
    </row>
    <row r="3" spans="1:26" s="2" customFormat="1" ht="23.25" customHeight="1">
      <c r="A3" s="15" t="s">
        <v>470</v>
      </c>
      <c r="B3" s="15" t="s">
        <v>471</v>
      </c>
      <c r="C3" s="14" t="s">
        <v>228</v>
      </c>
      <c r="D3" s="15" t="s">
        <v>235</v>
      </c>
      <c r="E3" s="15" t="s">
        <v>1752</v>
      </c>
      <c r="F3" s="15" t="s">
        <v>469</v>
      </c>
      <c r="G3" s="15" t="s">
        <v>732</v>
      </c>
      <c r="H3" s="15" t="s">
        <v>571</v>
      </c>
      <c r="I3" s="15" t="s">
        <v>1188</v>
      </c>
      <c r="J3" s="15" t="s">
        <v>2348</v>
      </c>
      <c r="K3" s="1430" t="s">
        <v>2502</v>
      </c>
      <c r="L3" s="707" t="s">
        <v>2347</v>
      </c>
      <c r="M3" s="1430" t="s">
        <v>2502</v>
      </c>
      <c r="N3" s="15" t="s">
        <v>1189</v>
      </c>
      <c r="O3" s="707" t="s">
        <v>2349</v>
      </c>
      <c r="P3" s="15" t="s">
        <v>1826</v>
      </c>
      <c r="Q3" s="15" t="s">
        <v>1190</v>
      </c>
      <c r="R3" s="15" t="s">
        <v>541</v>
      </c>
      <c r="S3" s="751" t="s">
        <v>1886</v>
      </c>
      <c r="T3" s="751" t="s">
        <v>1887</v>
      </c>
      <c r="U3" s="751" t="s">
        <v>1888</v>
      </c>
      <c r="Y3" s="572" t="s">
        <v>1633</v>
      </c>
      <c r="Z3" s="571" t="s">
        <v>1645</v>
      </c>
    </row>
    <row r="4" spans="1:26" s="2" customFormat="1" ht="30.75" customHeight="1">
      <c r="A4" s="1003" t="s">
        <v>2042</v>
      </c>
      <c r="B4" s="1004" t="s">
        <v>2043</v>
      </c>
      <c r="C4" s="13">
        <v>1</v>
      </c>
      <c r="D4" s="971" t="s">
        <v>2017</v>
      </c>
      <c r="E4" s="473"/>
      <c r="F4" s="630" t="s">
        <v>476</v>
      </c>
      <c r="G4" s="625" t="s">
        <v>279</v>
      </c>
      <c r="H4" s="620">
        <v>10</v>
      </c>
      <c r="I4" s="5"/>
      <c r="J4" s="68">
        <f>IF(J6=0,"",ROUND(J5,0)/ROUND(J6,0))</f>
        <v>0.875</v>
      </c>
      <c r="K4" s="68"/>
      <c r="L4" s="68">
        <f>IF(L6=0,"",ROUND(L5,0)/ROUND(L6,0))</f>
        <v>0.875</v>
      </c>
      <c r="M4" s="68"/>
      <c r="N4" s="665">
        <f t="shared" ref="N4:N21" si="0">IF(AND(J4=0,L4&lt;&gt;0),1,IF(AND(J4=0,L4=0),0,L4/J4-1))</f>
        <v>0</v>
      </c>
      <c r="O4" s="618" t="str">
        <f>G4</f>
        <v>行业水平评分</v>
      </c>
      <c r="P4" s="618" t="str">
        <f>G4</f>
        <v>行业水平评分</v>
      </c>
      <c r="Q4" s="502">
        <v>0</v>
      </c>
      <c r="R4" s="681">
        <v>10</v>
      </c>
      <c r="S4" s="681">
        <f>R4*0.3</f>
        <v>3</v>
      </c>
      <c r="T4" s="681">
        <f>S4/9</f>
        <v>0.33333333333333331</v>
      </c>
      <c r="U4" s="681">
        <f>T4/2</f>
        <v>0.16666666666666666</v>
      </c>
      <c r="Y4" s="710">
        <v>0.5</v>
      </c>
      <c r="Z4" s="571">
        <f>H4*L4</f>
        <v>8.75</v>
      </c>
    </row>
    <row r="5" spans="1:26" s="2" customFormat="1" ht="15.6" customHeight="1">
      <c r="A5" s="155"/>
      <c r="B5" s="616"/>
      <c r="C5" s="619"/>
      <c r="D5" s="17" t="s">
        <v>26</v>
      </c>
      <c r="E5" s="473" t="s">
        <v>253</v>
      </c>
      <c r="F5" s="623"/>
      <c r="G5" s="5"/>
      <c r="H5" s="618"/>
      <c r="I5" s="5" t="s">
        <v>271</v>
      </c>
      <c r="J5" s="1319">
        <v>14</v>
      </c>
      <c r="K5" s="1449"/>
      <c r="L5" s="621">
        <v>14</v>
      </c>
      <c r="M5" s="1429"/>
      <c r="N5" s="665">
        <f t="shared" si="0"/>
        <v>0</v>
      </c>
      <c r="O5" s="58"/>
      <c r="P5" s="58"/>
      <c r="Q5" s="502">
        <f>O5-P5</f>
        <v>0</v>
      </c>
      <c r="R5" s="276"/>
      <c r="S5" s="276">
        <f>R5*0.3</f>
        <v>0</v>
      </c>
      <c r="T5" s="276">
        <f t="shared" ref="T5:T25" si="1">S5/9</f>
        <v>0</v>
      </c>
      <c r="U5" s="276">
        <f t="shared" ref="U5:U25" si="2">T5/2</f>
        <v>0</v>
      </c>
      <c r="Y5" s="710"/>
      <c r="Z5" s="571"/>
    </row>
    <row r="6" spans="1:26" s="2" customFormat="1" ht="15.6" customHeight="1">
      <c r="A6" s="156"/>
      <c r="B6" s="617"/>
      <c r="C6" s="619"/>
      <c r="D6" s="17" t="s">
        <v>27</v>
      </c>
      <c r="E6" s="473" t="s">
        <v>253</v>
      </c>
      <c r="F6" s="623"/>
      <c r="G6" s="5"/>
      <c r="H6" s="618"/>
      <c r="I6" s="5" t="s">
        <v>271</v>
      </c>
      <c r="J6" s="1319">
        <v>16</v>
      </c>
      <c r="K6" s="1449"/>
      <c r="L6" s="621">
        <v>16</v>
      </c>
      <c r="M6" s="1429"/>
      <c r="N6" s="665">
        <f t="shared" si="0"/>
        <v>0</v>
      </c>
      <c r="O6" s="58"/>
      <c r="P6" s="58"/>
      <c r="Q6" s="502">
        <f>O6-P6</f>
        <v>0</v>
      </c>
      <c r="R6" s="276"/>
      <c r="S6" s="276">
        <f t="shared" ref="S6:S25" si="3">R6*0.3</f>
        <v>0</v>
      </c>
      <c r="T6" s="276">
        <f t="shared" si="1"/>
        <v>0</v>
      </c>
      <c r="U6" s="276">
        <f t="shared" si="2"/>
        <v>0</v>
      </c>
      <c r="Y6" s="710"/>
      <c r="Z6" s="571"/>
    </row>
    <row r="7" spans="1:26" s="2" customFormat="1" ht="15.6" customHeight="1">
      <c r="A7" s="1968" t="s">
        <v>2393</v>
      </c>
      <c r="B7" s="1971" t="s">
        <v>302</v>
      </c>
      <c r="C7" s="13">
        <v>2</v>
      </c>
      <c r="D7" s="1006" t="s">
        <v>2018</v>
      </c>
      <c r="E7" s="473"/>
      <c r="F7" s="630" t="s">
        <v>476</v>
      </c>
      <c r="G7" s="5" t="s">
        <v>283</v>
      </c>
      <c r="H7" s="620">
        <v>10</v>
      </c>
      <c r="I7" s="5"/>
      <c r="J7" s="68">
        <f>(ROUND(J8,0)+ROUND(J9,0))/ROUND(J10,0)</f>
        <v>0.59090909090909094</v>
      </c>
      <c r="K7" s="68"/>
      <c r="L7" s="68">
        <f>(ROUND(L8,0)+ROUND(L9,0))/ROUND(L10,0)</f>
        <v>0.59090909090909094</v>
      </c>
      <c r="M7" s="68"/>
      <c r="N7" s="665">
        <f t="shared" si="0"/>
        <v>0</v>
      </c>
      <c r="O7" s="618" t="str">
        <f>G7</f>
        <v>行业水平评分</v>
      </c>
      <c r="P7" s="618" t="str">
        <f>G7</f>
        <v>行业水平评分</v>
      </c>
      <c r="Q7" s="502">
        <v>0</v>
      </c>
      <c r="R7" s="681">
        <v>10</v>
      </c>
      <c r="S7" s="681">
        <f t="shared" si="3"/>
        <v>3</v>
      </c>
      <c r="T7" s="681">
        <f t="shared" si="1"/>
        <v>0.33333333333333331</v>
      </c>
      <c r="U7" s="681">
        <f t="shared" si="2"/>
        <v>0.16666666666666666</v>
      </c>
      <c r="Y7" s="710">
        <v>0.5</v>
      </c>
      <c r="Z7" s="571">
        <f>H7*L7</f>
        <v>5.9090909090909092</v>
      </c>
    </row>
    <row r="8" spans="1:26" s="2" customFormat="1" ht="15.6" customHeight="1">
      <c r="A8" s="1969"/>
      <c r="B8" s="1972"/>
      <c r="C8" s="619"/>
      <c r="D8" s="17" t="s">
        <v>28</v>
      </c>
      <c r="E8" s="473" t="s">
        <v>253</v>
      </c>
      <c r="F8" s="623"/>
      <c r="G8" s="5"/>
      <c r="H8" s="618"/>
      <c r="I8" s="5" t="s">
        <v>271</v>
      </c>
      <c r="J8" s="1319">
        <v>8.3000000000000007</v>
      </c>
      <c r="K8" s="1449"/>
      <c r="L8" s="621">
        <v>8.3000000000000007</v>
      </c>
      <c r="M8" s="1429"/>
      <c r="N8" s="665">
        <f t="shared" si="0"/>
        <v>0</v>
      </c>
      <c r="O8" s="58"/>
      <c r="P8" s="58"/>
      <c r="Q8" s="502">
        <f>O8-P8</f>
        <v>0</v>
      </c>
      <c r="R8" s="715"/>
      <c r="S8" s="276">
        <f t="shared" si="3"/>
        <v>0</v>
      </c>
      <c r="T8" s="276">
        <f t="shared" si="1"/>
        <v>0</v>
      </c>
      <c r="U8" s="276">
        <f t="shared" si="2"/>
        <v>0</v>
      </c>
      <c r="Y8" s="570"/>
      <c r="Z8" s="571"/>
    </row>
    <row r="9" spans="1:26" s="2" customFormat="1" ht="15.6" customHeight="1">
      <c r="A9" s="1969"/>
      <c r="B9" s="1972"/>
      <c r="C9" s="619"/>
      <c r="D9" s="17" t="s">
        <v>29</v>
      </c>
      <c r="E9" s="473" t="s">
        <v>253</v>
      </c>
      <c r="F9" s="623"/>
      <c r="G9" s="5"/>
      <c r="H9" s="618"/>
      <c r="I9" s="5" t="s">
        <v>271</v>
      </c>
      <c r="J9" s="1319">
        <v>5.0999999999999996</v>
      </c>
      <c r="K9" s="1449"/>
      <c r="L9" s="621">
        <v>5.0999999999999996</v>
      </c>
      <c r="M9" s="1429"/>
      <c r="N9" s="665">
        <f t="shared" si="0"/>
        <v>0</v>
      </c>
      <c r="O9" s="58"/>
      <c r="P9" s="58"/>
      <c r="Q9" s="502">
        <f t="shared" ref="Q9:Q21" si="4">O9-P9</f>
        <v>0</v>
      </c>
      <c r="R9" s="715"/>
      <c r="S9" s="276">
        <f t="shared" si="3"/>
        <v>0</v>
      </c>
      <c r="T9" s="276">
        <f t="shared" si="1"/>
        <v>0</v>
      </c>
      <c r="U9" s="276">
        <f t="shared" si="2"/>
        <v>0</v>
      </c>
      <c r="Y9" s="570"/>
      <c r="Z9" s="571"/>
    </row>
    <row r="10" spans="1:26" s="2" customFormat="1" ht="15.6" customHeight="1">
      <c r="A10" s="1970"/>
      <c r="B10" s="1973"/>
      <c r="C10" s="619"/>
      <c r="D10" s="17" t="s">
        <v>30</v>
      </c>
      <c r="E10" s="473" t="s">
        <v>253</v>
      </c>
      <c r="F10" s="623"/>
      <c r="G10" s="5"/>
      <c r="H10" s="618"/>
      <c r="I10" s="5" t="s">
        <v>271</v>
      </c>
      <c r="J10" s="1319">
        <v>21.8</v>
      </c>
      <c r="K10" s="1449"/>
      <c r="L10" s="621">
        <v>21.8</v>
      </c>
      <c r="M10" s="1429"/>
      <c r="N10" s="665">
        <f t="shared" si="0"/>
        <v>0</v>
      </c>
      <c r="O10" s="58"/>
      <c r="P10" s="58"/>
      <c r="Q10" s="502">
        <f t="shared" si="4"/>
        <v>0</v>
      </c>
      <c r="R10" s="715"/>
      <c r="S10" s="276">
        <f t="shared" si="3"/>
        <v>0</v>
      </c>
      <c r="T10" s="276">
        <f t="shared" si="1"/>
        <v>0</v>
      </c>
      <c r="U10" s="276">
        <f t="shared" si="2"/>
        <v>0</v>
      </c>
      <c r="Y10" s="570"/>
      <c r="Z10" s="571"/>
    </row>
    <row r="11" spans="1:26" s="2" customFormat="1" ht="15.6" customHeight="1">
      <c r="A11" s="157" t="s">
        <v>303</v>
      </c>
      <c r="B11" s="631" t="s">
        <v>304</v>
      </c>
      <c r="C11" s="1676">
        <v>3</v>
      </c>
      <c r="D11" s="1677" t="s">
        <v>2019</v>
      </c>
      <c r="E11" s="1659" t="s">
        <v>253</v>
      </c>
      <c r="F11" s="1660" t="s">
        <v>473</v>
      </c>
      <c r="G11" s="1661" t="s">
        <v>283</v>
      </c>
      <c r="H11" s="1643">
        <v>4</v>
      </c>
      <c r="I11" s="1661" t="s">
        <v>272</v>
      </c>
      <c r="J11" s="1680">
        <v>0.19819999999999999</v>
      </c>
      <c r="K11" s="1680">
        <v>0.2064</v>
      </c>
      <c r="L11" s="1680">
        <v>0.20669999999999999</v>
      </c>
      <c r="M11" s="1680">
        <v>0.17530000000000001</v>
      </c>
      <c r="N11" s="665">
        <f t="shared" si="0"/>
        <v>4.2885973763874929E-2</v>
      </c>
      <c r="O11" s="618" t="str">
        <f>G11</f>
        <v>行业水平评分</v>
      </c>
      <c r="P11" s="618" t="str">
        <f>G11</f>
        <v>行业水平评分</v>
      </c>
      <c r="Q11" s="502">
        <v>0</v>
      </c>
      <c r="R11" s="681">
        <v>4</v>
      </c>
      <c r="S11" s="681">
        <f t="shared" si="3"/>
        <v>1.2</v>
      </c>
      <c r="T11" s="681">
        <f t="shared" si="1"/>
        <v>0.13333333333333333</v>
      </c>
      <c r="U11" s="681">
        <f t="shared" si="2"/>
        <v>6.6666666666666666E-2</v>
      </c>
      <c r="Y11" s="710">
        <v>1</v>
      </c>
      <c r="Z11" s="571">
        <v>4</v>
      </c>
    </row>
    <row r="12" spans="1:26" s="2" customFormat="1" ht="15.6" customHeight="1">
      <c r="A12" s="157" t="s">
        <v>305</v>
      </c>
      <c r="B12" s="631" t="s">
        <v>306</v>
      </c>
      <c r="C12" s="1676">
        <v>4</v>
      </c>
      <c r="D12" s="1677" t="s">
        <v>2020</v>
      </c>
      <c r="E12" s="1659" t="s">
        <v>253</v>
      </c>
      <c r="F12" s="1660" t="s">
        <v>473</v>
      </c>
      <c r="G12" s="1661" t="s">
        <v>283</v>
      </c>
      <c r="H12" s="1643">
        <v>6</v>
      </c>
      <c r="I12" s="1661" t="s">
        <v>272</v>
      </c>
      <c r="J12" s="1680">
        <v>0.2064</v>
      </c>
      <c r="K12" s="1680">
        <v>0.2064</v>
      </c>
      <c r="L12" s="1680">
        <v>0.1875</v>
      </c>
      <c r="M12" s="1680">
        <v>0.17530000000000001</v>
      </c>
      <c r="N12" s="665">
        <f t="shared" si="0"/>
        <v>-9.1569767441860517E-2</v>
      </c>
      <c r="O12" s="618" t="str">
        <f>G12</f>
        <v>行业水平评分</v>
      </c>
      <c r="P12" s="618" t="str">
        <f>G12</f>
        <v>行业水平评分</v>
      </c>
      <c r="Q12" s="502">
        <v>0</v>
      </c>
      <c r="R12" s="681">
        <v>6</v>
      </c>
      <c r="S12" s="681">
        <f t="shared" si="3"/>
        <v>1.7999999999999998</v>
      </c>
      <c r="T12" s="681">
        <f t="shared" si="1"/>
        <v>0.19999999999999998</v>
      </c>
      <c r="U12" s="681">
        <f t="shared" si="2"/>
        <v>9.9999999999999992E-2</v>
      </c>
      <c r="Y12" s="710">
        <v>1</v>
      </c>
      <c r="Z12" s="571">
        <v>6</v>
      </c>
    </row>
    <row r="13" spans="1:26" s="2" customFormat="1" ht="15.6" customHeight="1">
      <c r="A13" s="157" t="s">
        <v>307</v>
      </c>
      <c r="B13" s="631" t="s">
        <v>308</v>
      </c>
      <c r="C13" s="1676">
        <v>5</v>
      </c>
      <c r="D13" s="1677" t="s">
        <v>2021</v>
      </c>
      <c r="E13" s="1659" t="s">
        <v>253</v>
      </c>
      <c r="F13" s="1660" t="s">
        <v>473</v>
      </c>
      <c r="G13" s="1661" t="s">
        <v>283</v>
      </c>
      <c r="H13" s="1643">
        <v>10</v>
      </c>
      <c r="I13" s="1661" t="s">
        <v>273</v>
      </c>
      <c r="J13" s="1680">
        <v>0.17</v>
      </c>
      <c r="K13" s="1680">
        <v>0.48349999999999999</v>
      </c>
      <c r="L13" s="1680">
        <v>0.18</v>
      </c>
      <c r="M13" s="1680">
        <v>0.45610000000000001</v>
      </c>
      <c r="N13" s="665">
        <f t="shared" si="0"/>
        <v>5.8823529411764497E-2</v>
      </c>
      <c r="O13" s="618" t="str">
        <f>G13</f>
        <v>行业水平评分</v>
      </c>
      <c r="P13" s="618" t="str">
        <f>G13</f>
        <v>行业水平评分</v>
      </c>
      <c r="Q13" s="502">
        <v>0</v>
      </c>
      <c r="R13" s="681">
        <v>10</v>
      </c>
      <c r="S13" s="681">
        <f t="shared" si="3"/>
        <v>3</v>
      </c>
      <c r="T13" s="681">
        <f t="shared" si="1"/>
        <v>0.33333333333333331</v>
      </c>
      <c r="U13" s="681">
        <f t="shared" si="2"/>
        <v>0.16666666666666666</v>
      </c>
      <c r="Y13" s="710">
        <v>1</v>
      </c>
      <c r="Z13" s="571">
        <v>10</v>
      </c>
    </row>
    <row r="14" spans="1:26" s="2" customFormat="1" ht="15.6" customHeight="1">
      <c r="A14" s="157" t="s">
        <v>309</v>
      </c>
      <c r="B14" s="631" t="s">
        <v>310</v>
      </c>
      <c r="C14" s="1676">
        <v>6</v>
      </c>
      <c r="D14" s="1677" t="s">
        <v>2022</v>
      </c>
      <c r="E14" s="1659" t="s">
        <v>253</v>
      </c>
      <c r="F14" s="1660" t="s">
        <v>473</v>
      </c>
      <c r="G14" s="1661" t="s">
        <v>283</v>
      </c>
      <c r="H14" s="1643">
        <v>7</v>
      </c>
      <c r="I14" s="1661" t="s">
        <v>268</v>
      </c>
      <c r="J14" s="1658">
        <v>4.7420999999999998</v>
      </c>
      <c r="K14" s="1658">
        <v>16.5</v>
      </c>
      <c r="L14" s="1658">
        <v>2.6</v>
      </c>
      <c r="M14" s="1658">
        <v>9.1300000000000008</v>
      </c>
      <c r="N14" s="665">
        <f t="shared" si="0"/>
        <v>-0.45171970224162283</v>
      </c>
      <c r="O14" s="618" t="str">
        <f>G14</f>
        <v>行业水平评分</v>
      </c>
      <c r="P14" s="618" t="str">
        <f>G14</f>
        <v>行业水平评分</v>
      </c>
      <c r="Q14" s="502">
        <v>0</v>
      </c>
      <c r="R14" s="713">
        <v>7</v>
      </c>
      <c r="S14" s="681">
        <f t="shared" si="3"/>
        <v>2.1</v>
      </c>
      <c r="T14" s="681">
        <f t="shared" si="1"/>
        <v>0.23333333333333334</v>
      </c>
      <c r="U14" s="681">
        <f t="shared" si="2"/>
        <v>0.11666666666666667</v>
      </c>
      <c r="Y14" s="710">
        <v>1</v>
      </c>
      <c r="Z14" s="571">
        <v>7</v>
      </c>
    </row>
    <row r="15" spans="1:26" s="2" customFormat="1" ht="15.6" customHeight="1">
      <c r="A15" s="157" t="s">
        <v>311</v>
      </c>
      <c r="B15" s="631" t="s">
        <v>290</v>
      </c>
      <c r="C15" s="13">
        <v>7</v>
      </c>
      <c r="D15" s="20" t="s">
        <v>555</v>
      </c>
      <c r="E15" s="473" t="s">
        <v>529</v>
      </c>
      <c r="F15" s="630" t="s">
        <v>527</v>
      </c>
      <c r="G15" s="58" t="s">
        <v>281</v>
      </c>
      <c r="H15" s="620">
        <v>8</v>
      </c>
      <c r="I15" s="5"/>
      <c r="J15" s="1319">
        <v>0</v>
      </c>
      <c r="K15" s="1449"/>
      <c r="L15" s="621">
        <v>0</v>
      </c>
      <c r="M15" s="1429"/>
      <c r="N15" s="665">
        <f t="shared" si="0"/>
        <v>0</v>
      </c>
      <c r="O15" s="618">
        <f>MAX(H15-L15*0.5,0)</f>
        <v>8</v>
      </c>
      <c r="P15" s="618">
        <f>MAX(O15-J15*0.5,0)</f>
        <v>8</v>
      </c>
      <c r="Q15" s="502">
        <f t="shared" si="4"/>
        <v>0</v>
      </c>
      <c r="R15" s="714">
        <f>H15-O15</f>
        <v>0</v>
      </c>
      <c r="S15" s="276">
        <f t="shared" si="3"/>
        <v>0</v>
      </c>
      <c r="T15" s="276">
        <f t="shared" si="1"/>
        <v>0</v>
      </c>
      <c r="U15" s="276">
        <f t="shared" si="2"/>
        <v>0</v>
      </c>
      <c r="Y15" s="710">
        <v>1</v>
      </c>
      <c r="Z15" s="571">
        <f>O15</f>
        <v>8</v>
      </c>
    </row>
    <row r="16" spans="1:26" s="2" customFormat="1" ht="15.6" customHeight="1">
      <c r="A16" s="157" t="s">
        <v>312</v>
      </c>
      <c r="B16" s="631" t="s">
        <v>313</v>
      </c>
      <c r="C16" s="13">
        <v>8</v>
      </c>
      <c r="D16" s="20" t="s">
        <v>556</v>
      </c>
      <c r="E16" s="473" t="s">
        <v>255</v>
      </c>
      <c r="F16" s="630" t="s">
        <v>527</v>
      </c>
      <c r="G16" s="58" t="s">
        <v>281</v>
      </c>
      <c r="H16" s="620">
        <v>5</v>
      </c>
      <c r="I16" s="5" t="s">
        <v>719</v>
      </c>
      <c r="J16" s="1319">
        <v>0</v>
      </c>
      <c r="K16" s="1449"/>
      <c r="L16" s="621">
        <v>0</v>
      </c>
      <c r="M16" s="1429"/>
      <c r="N16" s="665">
        <f t="shared" si="0"/>
        <v>0</v>
      </c>
      <c r="O16" s="618">
        <f>MAX(H16-L16,0)</f>
        <v>5</v>
      </c>
      <c r="P16" s="618">
        <f>MAX(O16-J16,0)</f>
        <v>5</v>
      </c>
      <c r="Q16" s="502">
        <f t="shared" si="4"/>
        <v>0</v>
      </c>
      <c r="R16" s="714">
        <f>H16-O16</f>
        <v>0</v>
      </c>
      <c r="S16" s="276">
        <f t="shared" si="3"/>
        <v>0</v>
      </c>
      <c r="T16" s="276">
        <f t="shared" si="1"/>
        <v>0</v>
      </c>
      <c r="U16" s="276">
        <f t="shared" si="2"/>
        <v>0</v>
      </c>
      <c r="Y16" s="710">
        <v>1</v>
      </c>
      <c r="Z16" s="571">
        <f>O16</f>
        <v>5</v>
      </c>
    </row>
    <row r="17" spans="1:26" s="2" customFormat="1" ht="15.6" customHeight="1">
      <c r="A17" s="157" t="s">
        <v>314</v>
      </c>
      <c r="B17" s="631" t="s">
        <v>313</v>
      </c>
      <c r="C17" s="13">
        <v>9</v>
      </c>
      <c r="D17" s="20" t="s">
        <v>557</v>
      </c>
      <c r="E17" s="473" t="s">
        <v>253</v>
      </c>
      <c r="F17" s="630" t="s">
        <v>527</v>
      </c>
      <c r="G17" s="58" t="s">
        <v>281</v>
      </c>
      <c r="H17" s="620">
        <v>5</v>
      </c>
      <c r="I17" s="5" t="s">
        <v>719</v>
      </c>
      <c r="J17" s="1319">
        <v>0</v>
      </c>
      <c r="K17" s="1449"/>
      <c r="L17" s="621">
        <v>0</v>
      </c>
      <c r="M17" s="1429"/>
      <c r="N17" s="665">
        <f t="shared" si="0"/>
        <v>0</v>
      </c>
      <c r="O17" s="618">
        <f>MAX(H17-L17,0)</f>
        <v>5</v>
      </c>
      <c r="P17" s="618">
        <f>MAX(O17-J17,0)</f>
        <v>5</v>
      </c>
      <c r="Q17" s="502">
        <f t="shared" si="4"/>
        <v>0</v>
      </c>
      <c r="R17" s="714">
        <f>H17-O17</f>
        <v>0</v>
      </c>
      <c r="S17" s="276">
        <f t="shared" si="3"/>
        <v>0</v>
      </c>
      <c r="T17" s="276">
        <f t="shared" si="1"/>
        <v>0</v>
      </c>
      <c r="U17" s="276">
        <f t="shared" si="2"/>
        <v>0</v>
      </c>
      <c r="Y17" s="710">
        <v>1</v>
      </c>
      <c r="Z17" s="571">
        <f>O17</f>
        <v>5</v>
      </c>
    </row>
    <row r="18" spans="1:26" s="2" customFormat="1" ht="31.5" customHeight="1">
      <c r="A18" s="1678" t="s">
        <v>544</v>
      </c>
      <c r="B18" s="1679" t="s">
        <v>515</v>
      </c>
      <c r="C18" s="1676">
        <v>10</v>
      </c>
      <c r="D18" s="1677" t="s">
        <v>252</v>
      </c>
      <c r="E18" s="1659" t="s">
        <v>253</v>
      </c>
      <c r="F18" s="1660" t="s">
        <v>473</v>
      </c>
      <c r="G18" s="1663" t="s">
        <v>1801</v>
      </c>
      <c r="H18" s="1643">
        <v>11</v>
      </c>
      <c r="I18" s="1661" t="s">
        <v>268</v>
      </c>
      <c r="J18" s="1658">
        <v>1</v>
      </c>
      <c r="K18" s="1658">
        <v>1</v>
      </c>
      <c r="L18" s="1658">
        <v>0</v>
      </c>
      <c r="M18" s="1658">
        <v>0</v>
      </c>
      <c r="N18" s="665">
        <f t="shared" si="0"/>
        <v>-1</v>
      </c>
      <c r="O18" s="618">
        <f>IF(L18=0,11,$G$18)</f>
        <v>11</v>
      </c>
      <c r="P18" s="618" t="str">
        <f>IF(J18=0,11,$G$18)</f>
        <v>行业排序得分</v>
      </c>
      <c r="Q18" s="502">
        <v>0</v>
      </c>
      <c r="R18" s="276">
        <v>0</v>
      </c>
      <c r="S18" s="276">
        <f t="shared" si="3"/>
        <v>0</v>
      </c>
      <c r="T18" s="276">
        <f t="shared" si="1"/>
        <v>0</v>
      </c>
      <c r="U18" s="276">
        <f t="shared" si="2"/>
        <v>0</v>
      </c>
      <c r="Y18" s="710">
        <v>1</v>
      </c>
      <c r="Z18" s="571">
        <v>11</v>
      </c>
    </row>
    <row r="19" spans="1:26" s="2" customFormat="1" ht="15.6" customHeight="1">
      <c r="A19" s="154" t="s">
        <v>569</v>
      </c>
      <c r="B19" s="615" t="s">
        <v>315</v>
      </c>
      <c r="C19" s="13">
        <v>11</v>
      </c>
      <c r="D19" s="971" t="s">
        <v>2030</v>
      </c>
      <c r="E19" s="473" t="s">
        <v>529</v>
      </c>
      <c r="F19" s="630" t="s">
        <v>527</v>
      </c>
      <c r="G19" s="58" t="s">
        <v>280</v>
      </c>
      <c r="H19" s="1883">
        <v>12</v>
      </c>
      <c r="I19" s="454" t="s">
        <v>1980</v>
      </c>
      <c r="J19" s="1319">
        <v>9</v>
      </c>
      <c r="K19" s="1449"/>
      <c r="L19" s="621">
        <v>10</v>
      </c>
      <c r="M19" s="1429"/>
      <c r="N19" s="665">
        <f t="shared" si="0"/>
        <v>0.11111111111111116</v>
      </c>
      <c r="O19" s="1978">
        <f>$H$19-L19*0.5-L20</f>
        <v>7</v>
      </c>
      <c r="P19" s="1978">
        <f>$H$19-J19*0.5-J20</f>
        <v>7.5</v>
      </c>
      <c r="Q19" s="1814">
        <f t="shared" si="4"/>
        <v>-0.5</v>
      </c>
      <c r="R19" s="1976">
        <f>H19-O19</f>
        <v>5</v>
      </c>
      <c r="S19" s="1976">
        <f t="shared" si="3"/>
        <v>1.5</v>
      </c>
      <c r="T19" s="1976">
        <f t="shared" si="1"/>
        <v>0.16666666666666666</v>
      </c>
      <c r="U19" s="1976">
        <f t="shared" si="2"/>
        <v>8.3333333333333329E-2</v>
      </c>
      <c r="Y19" s="710">
        <v>1</v>
      </c>
      <c r="Z19" s="571">
        <f>O19</f>
        <v>7</v>
      </c>
    </row>
    <row r="20" spans="1:26" s="2" customFormat="1" ht="15.6" customHeight="1">
      <c r="A20" s="156"/>
      <c r="B20" s="617"/>
      <c r="C20" s="13">
        <v>12</v>
      </c>
      <c r="D20" s="20" t="s">
        <v>2023</v>
      </c>
      <c r="E20" s="473" t="s">
        <v>529</v>
      </c>
      <c r="F20" s="630" t="s">
        <v>527</v>
      </c>
      <c r="G20" s="58" t="s">
        <v>280</v>
      </c>
      <c r="H20" s="1883"/>
      <c r="I20" s="454" t="s">
        <v>1981</v>
      </c>
      <c r="J20" s="1319">
        <v>0</v>
      </c>
      <c r="K20" s="1449"/>
      <c r="L20" s="621">
        <v>0</v>
      </c>
      <c r="M20" s="1429"/>
      <c r="N20" s="665">
        <f t="shared" si="0"/>
        <v>0</v>
      </c>
      <c r="O20" s="1978"/>
      <c r="P20" s="1979"/>
      <c r="Q20" s="1816"/>
      <c r="R20" s="1977"/>
      <c r="S20" s="1977"/>
      <c r="T20" s="1977"/>
      <c r="U20" s="1977"/>
      <c r="Y20" s="710"/>
      <c r="Z20" s="571">
        <f>O20</f>
        <v>0</v>
      </c>
    </row>
    <row r="21" spans="1:26" s="2" customFormat="1" ht="15.6" customHeight="1">
      <c r="A21" s="154" t="s">
        <v>316</v>
      </c>
      <c r="B21" s="615" t="s">
        <v>317</v>
      </c>
      <c r="C21" s="13">
        <v>13</v>
      </c>
      <c r="D21" s="20" t="s">
        <v>558</v>
      </c>
      <c r="E21" s="473" t="s">
        <v>253</v>
      </c>
      <c r="F21" s="630" t="s">
        <v>527</v>
      </c>
      <c r="G21" s="58" t="s">
        <v>280</v>
      </c>
      <c r="H21" s="620">
        <v>12</v>
      </c>
      <c r="I21" s="5" t="s">
        <v>720</v>
      </c>
      <c r="J21" s="1319">
        <v>0</v>
      </c>
      <c r="K21" s="1449"/>
      <c r="L21" s="621">
        <v>0</v>
      </c>
      <c r="M21" s="1429"/>
      <c r="N21" s="665">
        <f t="shared" si="0"/>
        <v>0</v>
      </c>
      <c r="O21" s="618">
        <f>MAX(H21-L21,0)</f>
        <v>12</v>
      </c>
      <c r="P21" s="997">
        <f>MAX(O21-J21,0)</f>
        <v>12</v>
      </c>
      <c r="Q21" s="880">
        <f t="shared" si="4"/>
        <v>0</v>
      </c>
      <c r="R21" s="714">
        <f>H21-O21</f>
        <v>0</v>
      </c>
      <c r="S21" s="276">
        <f t="shared" si="3"/>
        <v>0</v>
      </c>
      <c r="T21" s="276">
        <f t="shared" si="1"/>
        <v>0</v>
      </c>
      <c r="U21" s="276">
        <f t="shared" si="2"/>
        <v>0</v>
      </c>
      <c r="Y21" s="710">
        <v>1</v>
      </c>
      <c r="Z21" s="571">
        <f>O21</f>
        <v>12</v>
      </c>
    </row>
    <row r="22" spans="1:26" s="2" customFormat="1" ht="15.6" customHeight="1">
      <c r="A22" s="58"/>
      <c r="B22" s="711"/>
      <c r="C22" s="685"/>
      <c r="D22" s="554" t="s">
        <v>276</v>
      </c>
      <c r="E22" s="716"/>
      <c r="F22" s="58"/>
      <c r="G22" s="5"/>
      <c r="H22" s="717">
        <f>SUM(H4:H21)</f>
        <v>100</v>
      </c>
      <c r="I22" s="12"/>
      <c r="J22" s="59"/>
      <c r="K22" s="59"/>
      <c r="L22" s="59"/>
      <c r="M22" s="59"/>
      <c r="N22" s="5"/>
      <c r="O22" s="770">
        <f>SUBTOTAL(9,O3:O21)</f>
        <v>48</v>
      </c>
      <c r="P22" s="770">
        <f>SUBTOTAL(9,P3:P21)</f>
        <v>37.5</v>
      </c>
      <c r="Q22" s="1008">
        <f>SUM(Q4:Q21)</f>
        <v>-0.5</v>
      </c>
      <c r="R22" s="879">
        <f>SUM(R4:R20)</f>
        <v>52</v>
      </c>
      <c r="S22" s="838">
        <f t="shared" si="3"/>
        <v>15.6</v>
      </c>
      <c r="T22" s="838">
        <f t="shared" si="1"/>
        <v>1.7333333333333334</v>
      </c>
      <c r="U22" s="838">
        <f t="shared" si="2"/>
        <v>0.8666666666666667</v>
      </c>
      <c r="Y22" s="572"/>
      <c r="Z22" s="571"/>
    </row>
    <row r="23" spans="1:26">
      <c r="D23" s="554" t="s">
        <v>1827</v>
      </c>
      <c r="H23" s="620">
        <f>SUM(H15:H17)+SUM(H19:H21)</f>
        <v>42</v>
      </c>
      <c r="N23" s="66">
        <f>H23-O23-R23</f>
        <v>0</v>
      </c>
      <c r="O23" s="719">
        <f>SUM(O19:O21)+SUM(O15:O17)</f>
        <v>37</v>
      </c>
      <c r="P23" s="1007">
        <f>SUM(P19:P21)+SUM(P15:P17)</f>
        <v>37.5</v>
      </c>
      <c r="Q23" s="840"/>
      <c r="R23" s="839">
        <f>SUM(R15:R17)+SUM(R19:R21)</f>
        <v>5</v>
      </c>
      <c r="S23" s="838">
        <f t="shared" si="3"/>
        <v>1.5</v>
      </c>
      <c r="T23" s="838">
        <f t="shared" si="1"/>
        <v>0.16666666666666666</v>
      </c>
      <c r="U23" s="838">
        <f t="shared" si="2"/>
        <v>8.3333333333333329E-2</v>
      </c>
      <c r="V23" s="554" t="s">
        <v>1762</v>
      </c>
    </row>
    <row r="24" spans="1:26">
      <c r="D24" s="554" t="s">
        <v>1828</v>
      </c>
      <c r="H24" s="620">
        <v>11</v>
      </c>
      <c r="N24" s="66">
        <f>H24-O24-R24</f>
        <v>0</v>
      </c>
      <c r="O24" s="719">
        <v>11</v>
      </c>
      <c r="P24" s="719">
        <v>0</v>
      </c>
      <c r="Q24" s="712"/>
      <c r="R24" s="839">
        <f>R18</f>
        <v>0</v>
      </c>
      <c r="S24" s="838">
        <f t="shared" si="3"/>
        <v>0</v>
      </c>
      <c r="T24" s="838">
        <f t="shared" si="1"/>
        <v>0</v>
      </c>
      <c r="U24" s="838">
        <f t="shared" si="2"/>
        <v>0</v>
      </c>
      <c r="V24" s="554" t="s">
        <v>1829</v>
      </c>
    </row>
    <row r="25" spans="1:26">
      <c r="D25" s="554" t="s">
        <v>1809</v>
      </c>
      <c r="H25" s="620">
        <f>SUM(H11:H14)+H7+H4</f>
        <v>47</v>
      </c>
      <c r="N25" s="66">
        <f>H25-O25-R25</f>
        <v>0</v>
      </c>
      <c r="O25" s="719">
        <v>0</v>
      </c>
      <c r="P25" s="719">
        <v>0</v>
      </c>
      <c r="Q25" s="712"/>
      <c r="R25" s="839">
        <f>R4+R7+SUM(R11:R14)</f>
        <v>47</v>
      </c>
      <c r="S25" s="838">
        <f t="shared" si="3"/>
        <v>14.1</v>
      </c>
      <c r="T25" s="838">
        <f t="shared" si="1"/>
        <v>1.5666666666666667</v>
      </c>
      <c r="U25" s="838">
        <f t="shared" si="2"/>
        <v>0.78333333333333333</v>
      </c>
      <c r="V25" s="554" t="s">
        <v>1830</v>
      </c>
    </row>
    <row r="26" spans="1:26">
      <c r="D26" s="539" t="s">
        <v>537</v>
      </c>
      <c r="F26" s="94"/>
      <c r="G26" s="2"/>
      <c r="H26" s="2"/>
      <c r="I26" s="2"/>
      <c r="J26" s="24"/>
      <c r="K26" s="24"/>
      <c r="L26" s="24"/>
      <c r="M26" s="24"/>
      <c r="O26" s="719">
        <v>11</v>
      </c>
      <c r="P26" s="719">
        <v>0</v>
      </c>
      <c r="Q26" s="712"/>
    </row>
    <row r="27" spans="1:26" s="2" customFormat="1" ht="15.6" customHeight="1">
      <c r="A27" s="18"/>
      <c r="B27" s="18"/>
      <c r="C27" s="7"/>
      <c r="D27" s="539" t="s">
        <v>539</v>
      </c>
      <c r="F27" s="94"/>
      <c r="J27" s="24"/>
      <c r="K27" s="24"/>
      <c r="L27" s="24"/>
      <c r="M27" s="24"/>
      <c r="O27" s="719">
        <f>58-O26</f>
        <v>47</v>
      </c>
      <c r="P27" s="719">
        <f>58-P26</f>
        <v>58</v>
      </c>
      <c r="Q27" s="712"/>
      <c r="Y27" s="572"/>
      <c r="Z27" s="571"/>
    </row>
    <row r="28" spans="1:26" s="2" customFormat="1" ht="14.25">
      <c r="A28" s="18"/>
      <c r="B28" s="18"/>
      <c r="C28" s="7"/>
      <c r="D28" s="539" t="s">
        <v>540</v>
      </c>
      <c r="F28" s="94"/>
      <c r="J28" s="24"/>
      <c r="K28" s="24"/>
      <c r="L28" s="24"/>
      <c r="M28" s="24"/>
      <c r="O28" s="721">
        <f>100-SUM(O23:O25)</f>
        <v>52</v>
      </c>
      <c r="P28" s="722">
        <f>100-SUM(P23:P25)</f>
        <v>62.5</v>
      </c>
      <c r="Q28" s="89"/>
      <c r="Y28" s="572"/>
      <c r="Z28" s="571"/>
    </row>
    <row r="29" spans="1:26" s="2" customFormat="1" ht="15.6" customHeight="1">
      <c r="A29" s="18"/>
      <c r="B29" s="18"/>
      <c r="C29" s="7"/>
      <c r="Q29" s="89"/>
      <c r="Y29" s="572"/>
      <c r="Z29" s="571"/>
    </row>
    <row r="31" spans="1:26">
      <c r="D31" s="862" t="s">
        <v>1897</v>
      </c>
    </row>
    <row r="32" spans="1:26">
      <c r="D32" s="876" t="s">
        <v>1944</v>
      </c>
    </row>
    <row r="33" spans="1:26" s="2" customFormat="1" ht="14.25">
      <c r="A33" s="84"/>
      <c r="B33" s="84"/>
      <c r="C33" s="7"/>
      <c r="D33"/>
      <c r="F33" s="96"/>
      <c r="J33" s="24"/>
      <c r="K33" s="24"/>
      <c r="L33" s="24"/>
      <c r="M33" s="24"/>
      <c r="Y33" s="572"/>
      <c r="Z33" s="571"/>
    </row>
    <row r="34" spans="1:26" s="2" customFormat="1" ht="14.25">
      <c r="A34" s="84"/>
      <c r="B34" s="84"/>
      <c r="C34" s="7"/>
      <c r="D34"/>
      <c r="F34" s="96"/>
      <c r="J34" s="24"/>
      <c r="K34" s="24"/>
      <c r="L34" s="24"/>
      <c r="M34" s="24"/>
      <c r="Y34" s="572"/>
      <c r="Z34" s="571"/>
    </row>
    <row r="35" spans="1:26" s="2" customFormat="1" ht="14.25">
      <c r="A35" s="84"/>
      <c r="B35" s="84"/>
      <c r="C35" s="7"/>
      <c r="D35"/>
      <c r="F35" s="96"/>
      <c r="J35" s="24"/>
      <c r="K35" s="24"/>
      <c r="L35" s="24"/>
      <c r="M35" s="24"/>
      <c r="Y35" s="572"/>
      <c r="Z35" s="571"/>
    </row>
    <row r="36" spans="1:26" s="2" customFormat="1" ht="14.25">
      <c r="A36" s="84"/>
      <c r="B36" s="84"/>
      <c r="C36" s="7"/>
      <c r="D36"/>
      <c r="F36" s="96"/>
      <c r="J36" s="24"/>
      <c r="K36" s="24"/>
      <c r="L36" s="24"/>
      <c r="M36" s="24"/>
      <c r="Y36" s="572"/>
      <c r="Z36" s="571"/>
    </row>
    <row r="37" spans="1:26" s="2" customFormat="1" ht="14.25">
      <c r="A37" s="84"/>
      <c r="B37" s="84"/>
      <c r="C37" s="7"/>
      <c r="D37"/>
      <c r="F37" s="96"/>
      <c r="J37" s="24"/>
      <c r="K37" s="24"/>
      <c r="L37" s="24"/>
      <c r="M37" s="24"/>
      <c r="Y37" s="572"/>
      <c r="Z37" s="571"/>
    </row>
    <row r="38" spans="1:26" s="2" customFormat="1" ht="14.25">
      <c r="A38" s="84"/>
      <c r="B38" s="84"/>
      <c r="C38" s="7"/>
      <c r="D38"/>
      <c r="F38" s="96"/>
      <c r="J38" s="24"/>
      <c r="K38" s="24"/>
      <c r="L38" s="24"/>
      <c r="M38" s="24"/>
      <c r="Y38" s="572"/>
      <c r="Z38" s="571"/>
    </row>
    <row r="39" spans="1:26" s="2" customFormat="1" ht="14.25">
      <c r="A39" s="84"/>
      <c r="B39" s="84"/>
      <c r="C39" s="7"/>
      <c r="D39"/>
      <c r="F39" s="96"/>
      <c r="J39" s="24"/>
      <c r="K39" s="24"/>
      <c r="L39" s="24"/>
      <c r="M39" s="24"/>
      <c r="Y39" s="572"/>
      <c r="Z39" s="571"/>
    </row>
    <row r="40" spans="1:26" s="2" customFormat="1" ht="14.25">
      <c r="A40" s="18"/>
      <c r="B40" s="18"/>
      <c r="C40" s="7"/>
      <c r="D40" s="18"/>
      <c r="F40" s="94"/>
      <c r="J40" s="24"/>
      <c r="K40" s="24"/>
      <c r="L40" s="24"/>
      <c r="M40" s="24"/>
      <c r="Y40" s="572"/>
      <c r="Z40" s="571"/>
    </row>
    <row r="41" spans="1:26" s="2" customFormat="1" ht="14.25">
      <c r="A41" s="18"/>
      <c r="B41" s="18"/>
      <c r="C41" s="7"/>
      <c r="D41" s="18"/>
      <c r="F41" s="94"/>
      <c r="J41" s="24"/>
      <c r="K41" s="24"/>
      <c r="L41" s="24"/>
      <c r="M41" s="24"/>
      <c r="Y41" s="572"/>
      <c r="Z41" s="571"/>
    </row>
    <row r="42" spans="1:26" s="2" customFormat="1" ht="14.25">
      <c r="A42" s="18"/>
      <c r="B42" s="18"/>
      <c r="C42" s="7"/>
      <c r="D42" s="18"/>
      <c r="F42" s="94"/>
      <c r="J42" s="24"/>
      <c r="K42" s="24"/>
      <c r="L42" s="24"/>
      <c r="M42" s="24"/>
      <c r="Y42" s="572"/>
      <c r="Z42" s="571"/>
    </row>
    <row r="43" spans="1:26" s="2" customFormat="1" ht="14.25">
      <c r="A43" s="18"/>
      <c r="B43" s="18"/>
      <c r="C43" s="7"/>
      <c r="D43" s="18"/>
      <c r="F43" s="94"/>
      <c r="J43" s="24"/>
      <c r="K43" s="24"/>
      <c r="L43" s="24"/>
      <c r="M43" s="24"/>
      <c r="Y43" s="572"/>
      <c r="Z43" s="571"/>
    </row>
    <row r="44" spans="1:26" s="2" customFormat="1" ht="14.25">
      <c r="A44" s="18"/>
      <c r="B44" s="18"/>
      <c r="C44" s="7"/>
      <c r="D44" s="18"/>
      <c r="F44" s="94"/>
      <c r="J44" s="24"/>
      <c r="K44" s="24"/>
      <c r="L44" s="24"/>
      <c r="M44" s="24"/>
      <c r="Y44" s="572"/>
      <c r="Z44" s="571"/>
    </row>
    <row r="45" spans="1:26" s="2" customFormat="1" ht="14.25">
      <c r="A45" s="18"/>
      <c r="B45" s="18"/>
      <c r="C45" s="7"/>
      <c r="D45" s="18"/>
      <c r="F45" s="94"/>
      <c r="J45" s="24"/>
      <c r="K45" s="24"/>
      <c r="L45" s="24"/>
      <c r="M45" s="24"/>
      <c r="Y45" s="572"/>
      <c r="Z45" s="571"/>
    </row>
    <row r="46" spans="1:26" s="2" customFormat="1" ht="14.25">
      <c r="A46" s="18"/>
      <c r="B46" s="18"/>
      <c r="C46" s="7"/>
      <c r="D46" s="18"/>
      <c r="F46" s="94"/>
      <c r="J46" s="24"/>
      <c r="K46" s="24"/>
      <c r="L46" s="24"/>
      <c r="M46" s="24"/>
      <c r="Y46" s="572"/>
      <c r="Z46" s="571"/>
    </row>
    <row r="47" spans="1:26" s="2" customFormat="1" ht="14.25">
      <c r="A47" s="18"/>
      <c r="B47" s="18"/>
      <c r="C47" s="7"/>
      <c r="D47" s="18"/>
      <c r="F47" s="94"/>
      <c r="J47" s="24"/>
      <c r="K47" s="24"/>
      <c r="L47" s="24"/>
      <c r="M47" s="24"/>
      <c r="Y47" s="572"/>
      <c r="Z47" s="571"/>
    </row>
    <row r="48" spans="1:26" s="2" customFormat="1" ht="14.25">
      <c r="A48" s="18"/>
      <c r="B48" s="18"/>
      <c r="C48" s="7"/>
      <c r="D48" s="18"/>
      <c r="F48" s="94"/>
      <c r="J48" s="24"/>
      <c r="K48" s="24"/>
      <c r="L48" s="24"/>
      <c r="M48" s="24"/>
      <c r="Y48" s="572"/>
      <c r="Z48" s="571"/>
    </row>
    <row r="49" spans="1:26" s="2" customFormat="1" ht="14.25">
      <c r="A49" s="18"/>
      <c r="B49" s="18"/>
      <c r="C49" s="7"/>
      <c r="D49" s="18"/>
      <c r="F49" s="94"/>
      <c r="J49" s="24"/>
      <c r="K49" s="24"/>
      <c r="L49" s="24"/>
      <c r="M49" s="24"/>
      <c r="Y49" s="572"/>
      <c r="Z49" s="571"/>
    </row>
    <row r="50" spans="1:26" s="2" customFormat="1" ht="14.25">
      <c r="A50" s="18"/>
      <c r="B50" s="18"/>
      <c r="C50" s="7"/>
      <c r="D50" s="18"/>
      <c r="F50" s="94"/>
      <c r="J50" s="24"/>
      <c r="K50" s="24"/>
      <c r="L50" s="24"/>
      <c r="M50" s="24"/>
      <c r="Y50" s="572"/>
      <c r="Z50" s="571"/>
    </row>
    <row r="51" spans="1:26" s="2" customFormat="1" ht="14.25">
      <c r="A51" s="18"/>
      <c r="B51" s="18"/>
      <c r="C51" s="7"/>
      <c r="D51" s="18"/>
      <c r="F51" s="94"/>
      <c r="J51" s="24"/>
      <c r="K51" s="24"/>
      <c r="L51" s="24"/>
      <c r="M51" s="24"/>
      <c r="Y51" s="572"/>
      <c r="Z51" s="571"/>
    </row>
    <row r="52" spans="1:26" s="2" customFormat="1" ht="14.25">
      <c r="A52" s="18"/>
      <c r="B52" s="18"/>
      <c r="C52" s="7"/>
      <c r="D52" s="18"/>
      <c r="F52" s="94"/>
      <c r="J52" s="24"/>
      <c r="K52" s="24"/>
      <c r="L52" s="24"/>
      <c r="M52" s="24"/>
      <c r="Y52" s="572"/>
      <c r="Z52" s="571"/>
    </row>
    <row r="53" spans="1:26" s="2" customFormat="1" ht="14.25">
      <c r="A53" s="18"/>
      <c r="B53" s="18"/>
      <c r="C53" s="7"/>
      <c r="D53" s="18"/>
      <c r="F53" s="94"/>
      <c r="J53" s="24"/>
      <c r="K53" s="24"/>
      <c r="L53" s="24"/>
      <c r="M53" s="24"/>
      <c r="Y53" s="572"/>
      <c r="Z53" s="571"/>
    </row>
    <row r="54" spans="1:26" s="2" customFormat="1" ht="14.25">
      <c r="A54" s="18"/>
      <c r="B54" s="18"/>
      <c r="C54" s="7"/>
      <c r="D54" s="18"/>
      <c r="F54" s="94"/>
      <c r="J54" s="24"/>
      <c r="K54" s="24"/>
      <c r="L54" s="24"/>
      <c r="M54" s="24"/>
      <c r="Y54" s="572"/>
      <c r="Z54" s="571"/>
    </row>
    <row r="55" spans="1:26" s="2" customFormat="1" ht="14.25">
      <c r="A55" s="18"/>
      <c r="B55" s="18"/>
      <c r="C55" s="7"/>
      <c r="D55" s="18"/>
      <c r="F55" s="94"/>
      <c r="J55" s="24"/>
      <c r="K55" s="24"/>
      <c r="L55" s="24"/>
      <c r="M55" s="24"/>
      <c r="Y55" s="572"/>
      <c r="Z55" s="571"/>
    </row>
    <row r="56" spans="1:26" s="2" customFormat="1" ht="14.25">
      <c r="A56" s="18"/>
      <c r="B56" s="18"/>
      <c r="C56" s="7"/>
      <c r="D56" s="18"/>
      <c r="F56" s="94"/>
      <c r="J56" s="24"/>
      <c r="K56" s="24"/>
      <c r="L56" s="24"/>
      <c r="M56" s="24"/>
      <c r="Y56" s="572"/>
      <c r="Z56" s="571"/>
    </row>
    <row r="57" spans="1:26" s="2" customFormat="1" ht="14.25">
      <c r="A57" s="18"/>
      <c r="B57" s="18"/>
      <c r="C57" s="7"/>
      <c r="D57" s="18"/>
      <c r="F57" s="94"/>
      <c r="J57" s="24"/>
      <c r="K57" s="24"/>
      <c r="L57" s="24"/>
      <c r="M57" s="24"/>
      <c r="Y57" s="572"/>
      <c r="Z57" s="571"/>
    </row>
    <row r="58" spans="1:26" s="2" customFormat="1" ht="14.25">
      <c r="A58" s="18"/>
      <c r="B58" s="18"/>
      <c r="C58" s="7"/>
      <c r="D58" s="18"/>
      <c r="F58" s="94"/>
      <c r="J58" s="24"/>
      <c r="K58" s="24"/>
      <c r="L58" s="24"/>
      <c r="M58" s="24"/>
      <c r="Y58" s="572"/>
      <c r="Z58" s="571"/>
    </row>
    <row r="59" spans="1:26" s="2" customFormat="1" ht="14.25">
      <c r="A59" s="18"/>
      <c r="B59" s="18"/>
      <c r="C59" s="7"/>
      <c r="D59" s="18"/>
      <c r="F59" s="94"/>
      <c r="J59" s="24"/>
      <c r="K59" s="24"/>
      <c r="L59" s="24"/>
      <c r="M59" s="24"/>
      <c r="Y59" s="572"/>
      <c r="Z59" s="571"/>
    </row>
    <row r="60" spans="1:26" s="2" customFormat="1" ht="14.25">
      <c r="A60" s="18"/>
      <c r="B60" s="18"/>
      <c r="C60" s="7"/>
      <c r="D60" s="18"/>
      <c r="F60" s="94"/>
      <c r="J60" s="24"/>
      <c r="K60" s="24"/>
      <c r="L60" s="24"/>
      <c r="M60" s="24"/>
      <c r="Y60" s="572"/>
      <c r="Z60" s="571"/>
    </row>
    <row r="61" spans="1:26" s="2" customFormat="1" ht="14.25">
      <c r="A61" s="18"/>
      <c r="B61" s="18"/>
      <c r="C61" s="7"/>
      <c r="D61" s="18"/>
      <c r="F61" s="94"/>
      <c r="J61" s="24"/>
      <c r="K61" s="24"/>
      <c r="L61" s="24"/>
      <c r="M61" s="24"/>
      <c r="Y61" s="572"/>
      <c r="Z61" s="571"/>
    </row>
    <row r="62" spans="1:26" s="2" customFormat="1" ht="14.25">
      <c r="A62" s="18"/>
      <c r="B62" s="18"/>
      <c r="C62" s="7"/>
      <c r="D62" s="18"/>
      <c r="F62" s="94"/>
      <c r="J62" s="24"/>
      <c r="K62" s="24"/>
      <c r="L62" s="24"/>
      <c r="M62" s="24"/>
      <c r="Y62" s="572"/>
      <c r="Z62" s="571"/>
    </row>
    <row r="63" spans="1:26" s="2" customFormat="1" ht="14.25">
      <c r="A63" s="18"/>
      <c r="B63" s="18"/>
      <c r="C63" s="7"/>
      <c r="D63" s="18"/>
      <c r="F63" s="94"/>
      <c r="J63" s="24"/>
      <c r="K63" s="24"/>
      <c r="L63" s="24"/>
      <c r="M63" s="24"/>
      <c r="Y63" s="572"/>
      <c r="Z63" s="571"/>
    </row>
    <row r="64" spans="1:26" s="2" customFormat="1" ht="14.25">
      <c r="A64" s="18"/>
      <c r="B64" s="18"/>
      <c r="C64" s="7"/>
      <c r="D64" s="18"/>
      <c r="F64" s="94"/>
      <c r="J64" s="24"/>
      <c r="K64" s="24"/>
      <c r="L64" s="24"/>
      <c r="M64" s="24"/>
      <c r="Y64" s="572"/>
      <c r="Z64" s="571"/>
    </row>
    <row r="65" spans="1:26" s="2" customFormat="1" ht="14.25">
      <c r="A65" s="18"/>
      <c r="B65" s="18"/>
      <c r="C65" s="7"/>
      <c r="D65" s="18"/>
      <c r="F65" s="94"/>
      <c r="J65" s="24"/>
      <c r="K65" s="24"/>
      <c r="L65" s="24"/>
      <c r="M65" s="24"/>
      <c r="Y65" s="572"/>
      <c r="Z65" s="571"/>
    </row>
    <row r="66" spans="1:26" s="2" customFormat="1" ht="14.25">
      <c r="A66" s="18"/>
      <c r="B66" s="18"/>
      <c r="C66" s="7"/>
      <c r="D66" s="18"/>
      <c r="F66" s="94"/>
      <c r="J66" s="24"/>
      <c r="K66" s="24"/>
      <c r="L66" s="24"/>
      <c r="M66" s="24"/>
      <c r="Y66" s="572"/>
      <c r="Z66" s="571"/>
    </row>
    <row r="67" spans="1:26" s="2" customFormat="1" ht="14.25">
      <c r="A67" s="18"/>
      <c r="B67" s="18"/>
      <c r="C67" s="7"/>
      <c r="D67" s="18"/>
      <c r="F67" s="94"/>
      <c r="J67" s="24"/>
      <c r="K67" s="24"/>
      <c r="L67" s="24"/>
      <c r="M67" s="24"/>
      <c r="Y67" s="572"/>
      <c r="Z67" s="571"/>
    </row>
    <row r="68" spans="1:26" s="2" customFormat="1" ht="14.25">
      <c r="A68" s="18"/>
      <c r="B68" s="18"/>
      <c r="C68" s="7"/>
      <c r="D68" s="18"/>
      <c r="F68" s="94"/>
      <c r="J68" s="24"/>
      <c r="K68" s="24"/>
      <c r="L68" s="24"/>
      <c r="M68" s="24"/>
      <c r="Y68" s="572"/>
      <c r="Z68" s="571"/>
    </row>
    <row r="69" spans="1:26" s="2" customFormat="1" ht="14.25">
      <c r="A69" s="18"/>
      <c r="B69" s="18"/>
      <c r="C69" s="7"/>
      <c r="D69" s="18"/>
      <c r="F69" s="94"/>
      <c r="J69" s="24"/>
      <c r="K69" s="24"/>
      <c r="L69" s="24"/>
      <c r="M69" s="24"/>
      <c r="Y69" s="572"/>
      <c r="Z69" s="571"/>
    </row>
    <row r="70" spans="1:26" s="2" customFormat="1" ht="14.25">
      <c r="A70" s="18"/>
      <c r="B70" s="18"/>
      <c r="C70" s="7"/>
      <c r="D70" s="18"/>
      <c r="F70" s="94"/>
      <c r="J70" s="24"/>
      <c r="K70" s="24"/>
      <c r="L70" s="24"/>
      <c r="M70" s="24"/>
      <c r="Y70" s="572"/>
      <c r="Z70" s="571"/>
    </row>
    <row r="71" spans="1:26" s="2" customFormat="1" ht="14.25">
      <c r="A71" s="18"/>
      <c r="B71" s="18"/>
      <c r="C71" s="7"/>
      <c r="D71" s="18"/>
      <c r="F71" s="94"/>
      <c r="J71" s="24"/>
      <c r="K71" s="24"/>
      <c r="L71" s="24"/>
      <c r="M71" s="24"/>
      <c r="Y71" s="572"/>
      <c r="Z71" s="571"/>
    </row>
    <row r="72" spans="1:26" s="2" customFormat="1" ht="14.25">
      <c r="A72" s="18"/>
      <c r="B72" s="18"/>
      <c r="C72" s="7"/>
      <c r="D72" s="18"/>
      <c r="F72" s="94"/>
      <c r="J72" s="24"/>
      <c r="K72" s="24"/>
      <c r="L72" s="24"/>
      <c r="M72" s="24"/>
      <c r="Y72" s="572"/>
      <c r="Z72" s="571"/>
    </row>
    <row r="73" spans="1:26" s="2" customFormat="1" ht="14.25">
      <c r="A73" s="18"/>
      <c r="B73" s="18"/>
      <c r="C73" s="7"/>
      <c r="D73" s="18"/>
      <c r="F73" s="94"/>
      <c r="J73" s="24"/>
      <c r="K73" s="24"/>
      <c r="L73" s="24"/>
      <c r="M73" s="24"/>
      <c r="Y73" s="572"/>
      <c r="Z73" s="571"/>
    </row>
    <row r="74" spans="1:26" s="2" customFormat="1" ht="14.25">
      <c r="A74" s="18"/>
      <c r="B74" s="18"/>
      <c r="C74" s="7"/>
      <c r="D74" s="18"/>
      <c r="F74" s="94"/>
      <c r="J74" s="24"/>
      <c r="K74" s="24"/>
      <c r="L74" s="24"/>
      <c r="M74" s="24"/>
      <c r="Y74" s="572"/>
      <c r="Z74" s="571"/>
    </row>
    <row r="75" spans="1:26" s="2" customFormat="1" ht="14.25">
      <c r="A75" s="18"/>
      <c r="B75" s="18"/>
      <c r="C75" s="7"/>
      <c r="D75" s="18"/>
      <c r="F75" s="94"/>
      <c r="J75" s="24"/>
      <c r="K75" s="24"/>
      <c r="L75" s="24"/>
      <c r="M75" s="24"/>
      <c r="Y75" s="572"/>
      <c r="Z75" s="571"/>
    </row>
    <row r="76" spans="1:26" s="2" customFormat="1" ht="14.25">
      <c r="A76" s="18"/>
      <c r="B76" s="18"/>
      <c r="C76" s="7"/>
      <c r="D76" s="18"/>
      <c r="F76" s="94"/>
      <c r="J76" s="24"/>
      <c r="K76" s="24"/>
      <c r="L76" s="24"/>
      <c r="M76" s="24"/>
      <c r="Y76" s="572"/>
      <c r="Z76" s="571"/>
    </row>
    <row r="77" spans="1:26" s="2" customFormat="1" ht="14.25">
      <c r="A77" s="18"/>
      <c r="B77" s="18"/>
      <c r="C77" s="7"/>
      <c r="D77" s="18"/>
      <c r="F77" s="94"/>
      <c r="J77" s="24"/>
      <c r="K77" s="24"/>
      <c r="L77" s="24"/>
      <c r="M77" s="24"/>
      <c r="Y77" s="572"/>
      <c r="Z77" s="571"/>
    </row>
    <row r="78" spans="1:26" s="2" customFormat="1" ht="14.25">
      <c r="A78" s="18"/>
      <c r="B78" s="18"/>
      <c r="C78" s="7"/>
      <c r="D78" s="18"/>
      <c r="F78" s="94"/>
      <c r="J78" s="24"/>
      <c r="K78" s="24"/>
      <c r="L78" s="24"/>
      <c r="M78" s="24"/>
      <c r="Y78" s="572"/>
      <c r="Z78" s="571"/>
    </row>
    <row r="79" spans="1:26" s="2" customFormat="1" ht="14.25">
      <c r="A79" s="18"/>
      <c r="B79" s="18"/>
      <c r="C79" s="7"/>
      <c r="D79" s="18"/>
      <c r="F79" s="94"/>
      <c r="J79" s="24"/>
      <c r="K79" s="24"/>
      <c r="L79" s="24"/>
      <c r="M79" s="24"/>
      <c r="Y79" s="572"/>
      <c r="Z79" s="571"/>
    </row>
    <row r="80" spans="1:26" s="2" customFormat="1" ht="14.25">
      <c r="A80" s="18"/>
      <c r="B80" s="18"/>
      <c r="C80" s="7"/>
      <c r="D80" s="18"/>
      <c r="F80" s="94"/>
      <c r="J80" s="24"/>
      <c r="K80" s="24"/>
      <c r="L80" s="24"/>
      <c r="M80" s="24"/>
      <c r="Y80" s="572"/>
      <c r="Z80" s="571"/>
    </row>
    <row r="81" spans="1:26" s="2" customFormat="1" ht="14.25">
      <c r="A81" s="18"/>
      <c r="B81" s="18"/>
      <c r="C81" s="7"/>
      <c r="D81" s="18"/>
      <c r="F81" s="94"/>
      <c r="J81" s="24"/>
      <c r="K81" s="24"/>
      <c r="L81" s="24"/>
      <c r="M81" s="24"/>
      <c r="Y81" s="572"/>
      <c r="Z81" s="571"/>
    </row>
    <row r="82" spans="1:26" s="2" customFormat="1" ht="14.25">
      <c r="A82" s="18"/>
      <c r="B82" s="18"/>
      <c r="C82" s="7"/>
      <c r="D82" s="18"/>
      <c r="F82" s="94"/>
      <c r="J82" s="24"/>
      <c r="K82" s="24"/>
      <c r="L82" s="24"/>
      <c r="M82" s="24"/>
      <c r="Y82" s="572"/>
      <c r="Z82" s="571"/>
    </row>
    <row r="83" spans="1:26" s="2" customFormat="1" ht="14.25">
      <c r="A83" s="18"/>
      <c r="B83" s="18"/>
      <c r="C83" s="7"/>
      <c r="D83" s="18"/>
      <c r="F83" s="94"/>
      <c r="J83" s="24"/>
      <c r="K83" s="24"/>
      <c r="L83" s="24"/>
      <c r="M83" s="24"/>
      <c r="Y83" s="572"/>
      <c r="Z83" s="571"/>
    </row>
    <row r="84" spans="1:26" s="2" customFormat="1" ht="14.25">
      <c r="A84" s="18"/>
      <c r="B84" s="18"/>
      <c r="C84" s="7"/>
      <c r="D84" s="18"/>
      <c r="F84" s="94"/>
      <c r="J84" s="24"/>
      <c r="K84" s="24"/>
      <c r="L84" s="24"/>
      <c r="M84" s="24"/>
      <c r="Y84" s="572"/>
      <c r="Z84" s="571"/>
    </row>
    <row r="85" spans="1:26" s="2" customFormat="1" ht="14.25">
      <c r="A85" s="18"/>
      <c r="B85" s="18"/>
      <c r="C85" s="7"/>
      <c r="D85" s="18"/>
      <c r="F85" s="94"/>
      <c r="J85" s="24"/>
      <c r="K85" s="24"/>
      <c r="L85" s="24"/>
      <c r="M85" s="24"/>
      <c r="Y85" s="572"/>
      <c r="Z85" s="571"/>
    </row>
    <row r="86" spans="1:26" s="2" customFormat="1" ht="14.25">
      <c r="A86" s="18"/>
      <c r="B86" s="18"/>
      <c r="C86" s="7"/>
      <c r="D86" s="18"/>
      <c r="F86" s="94"/>
      <c r="J86" s="24"/>
      <c r="K86" s="24"/>
      <c r="L86" s="24"/>
      <c r="M86" s="24"/>
      <c r="Y86" s="572"/>
      <c r="Z86" s="571"/>
    </row>
    <row r="87" spans="1:26" s="2" customFormat="1" ht="14.25">
      <c r="A87" s="18"/>
      <c r="B87" s="18"/>
      <c r="C87" s="7"/>
      <c r="D87" s="18"/>
      <c r="F87" s="94"/>
      <c r="J87" s="24"/>
      <c r="K87" s="24"/>
      <c r="L87" s="24"/>
      <c r="M87" s="24"/>
      <c r="Y87" s="572"/>
      <c r="Z87" s="571"/>
    </row>
    <row r="88" spans="1:26" s="2" customFormat="1" ht="14.25">
      <c r="A88" s="18"/>
      <c r="B88" s="18"/>
      <c r="C88" s="7"/>
      <c r="D88" s="18"/>
      <c r="F88" s="94"/>
      <c r="J88" s="24"/>
      <c r="K88" s="24"/>
      <c r="L88" s="24"/>
      <c r="M88" s="24"/>
      <c r="Y88" s="572"/>
      <c r="Z88" s="571"/>
    </row>
    <row r="89" spans="1:26" s="2" customFormat="1" ht="14.25">
      <c r="A89" s="18"/>
      <c r="B89" s="18"/>
      <c r="C89" s="7"/>
      <c r="D89" s="18"/>
      <c r="F89" s="94"/>
      <c r="J89" s="24"/>
      <c r="K89" s="24"/>
      <c r="L89" s="24"/>
      <c r="M89" s="24"/>
      <c r="Y89" s="572"/>
      <c r="Z89" s="571"/>
    </row>
    <row r="90" spans="1:26" s="2" customFormat="1" ht="14.25">
      <c r="A90" s="18"/>
      <c r="B90" s="18"/>
      <c r="C90" s="7"/>
      <c r="D90" s="18"/>
      <c r="F90" s="94"/>
      <c r="J90" s="24"/>
      <c r="K90" s="24"/>
      <c r="L90" s="24"/>
      <c r="M90" s="24"/>
      <c r="Y90" s="572"/>
      <c r="Z90" s="571"/>
    </row>
    <row r="91" spans="1:26" s="2" customFormat="1" ht="14.25">
      <c r="A91" s="18"/>
      <c r="B91" s="18"/>
      <c r="C91" s="7"/>
      <c r="D91" s="18"/>
      <c r="F91" s="94"/>
      <c r="J91" s="24"/>
      <c r="K91" s="24"/>
      <c r="L91" s="24"/>
      <c r="M91" s="24"/>
      <c r="Y91" s="572"/>
      <c r="Z91" s="571"/>
    </row>
    <row r="92" spans="1:26" s="2" customFormat="1" ht="14.25">
      <c r="A92" s="18"/>
      <c r="B92" s="18"/>
      <c r="C92" s="7"/>
      <c r="D92" s="18"/>
      <c r="F92" s="94"/>
      <c r="J92" s="24"/>
      <c r="K92" s="24"/>
      <c r="L92" s="24"/>
      <c r="M92" s="24"/>
      <c r="Y92" s="572"/>
      <c r="Z92" s="571"/>
    </row>
    <row r="93" spans="1:26" s="2" customFormat="1" ht="14.25">
      <c r="A93" s="18"/>
      <c r="B93" s="18"/>
      <c r="C93" s="7"/>
      <c r="D93" s="18"/>
      <c r="F93" s="94"/>
      <c r="J93" s="24"/>
      <c r="K93" s="24"/>
      <c r="L93" s="24"/>
      <c r="M93" s="24"/>
      <c r="Y93" s="572"/>
      <c r="Z93" s="571"/>
    </row>
    <row r="94" spans="1:26" s="2" customFormat="1" ht="14.25">
      <c r="A94" s="18"/>
      <c r="B94" s="18"/>
      <c r="C94" s="7"/>
      <c r="D94" s="18"/>
      <c r="F94" s="94"/>
      <c r="J94" s="24"/>
      <c r="K94" s="24"/>
      <c r="L94" s="24"/>
      <c r="M94" s="24"/>
      <c r="Y94" s="572"/>
      <c r="Z94" s="571"/>
    </row>
    <row r="95" spans="1:26" s="2" customFormat="1" ht="14.25">
      <c r="A95" s="18"/>
      <c r="B95" s="18"/>
      <c r="C95" s="7"/>
      <c r="D95" s="18"/>
      <c r="F95" s="94"/>
      <c r="J95" s="24"/>
      <c r="K95" s="24"/>
      <c r="L95" s="24"/>
      <c r="M95" s="24"/>
      <c r="Y95" s="572"/>
      <c r="Z95" s="571"/>
    </row>
    <row r="96" spans="1:26" s="2" customFormat="1" ht="14.25">
      <c r="A96" s="18"/>
      <c r="B96" s="18"/>
      <c r="C96" s="7"/>
      <c r="D96" s="18"/>
      <c r="F96" s="94"/>
      <c r="J96" s="24"/>
      <c r="K96" s="24"/>
      <c r="L96" s="24"/>
      <c r="M96" s="24"/>
      <c r="Y96" s="572"/>
      <c r="Z96" s="571"/>
    </row>
    <row r="97" spans="1:26" s="2" customFormat="1" ht="14.25">
      <c r="A97" s="18"/>
      <c r="B97" s="18"/>
      <c r="C97" s="7"/>
      <c r="D97" s="18"/>
      <c r="F97" s="94"/>
      <c r="J97" s="24"/>
      <c r="K97" s="24"/>
      <c r="L97" s="24"/>
      <c r="M97" s="24"/>
      <c r="Y97" s="572"/>
      <c r="Z97" s="571"/>
    </row>
    <row r="98" spans="1:26" s="2" customFormat="1" ht="14.25">
      <c r="A98" s="18"/>
      <c r="B98" s="18"/>
      <c r="C98" s="7"/>
      <c r="D98" s="18"/>
      <c r="F98" s="94"/>
      <c r="J98" s="24"/>
      <c r="K98" s="24"/>
      <c r="L98" s="24"/>
      <c r="M98" s="24"/>
      <c r="Y98" s="572"/>
      <c r="Z98" s="571"/>
    </row>
    <row r="99" spans="1:26" s="2" customFormat="1" ht="14.25">
      <c r="A99" s="18"/>
      <c r="B99" s="18"/>
      <c r="C99" s="7"/>
      <c r="D99" s="18"/>
      <c r="F99" s="94"/>
      <c r="J99" s="24"/>
      <c r="K99" s="24"/>
      <c r="L99" s="24"/>
      <c r="M99" s="24"/>
      <c r="Y99" s="572"/>
      <c r="Z99" s="571"/>
    </row>
    <row r="100" spans="1:26" s="2" customFormat="1" ht="14.25">
      <c r="A100" s="18"/>
      <c r="B100" s="18"/>
      <c r="C100" s="7"/>
      <c r="D100" s="18"/>
      <c r="F100" s="94"/>
      <c r="J100" s="24"/>
      <c r="K100" s="24"/>
      <c r="L100" s="24"/>
      <c r="M100" s="24"/>
      <c r="Y100" s="572"/>
      <c r="Z100" s="571"/>
    </row>
    <row r="101" spans="1:26" s="2" customFormat="1" ht="14.25">
      <c r="A101" s="18"/>
      <c r="B101" s="18"/>
      <c r="C101" s="7"/>
      <c r="D101" s="18"/>
      <c r="F101" s="94"/>
      <c r="J101" s="24"/>
      <c r="K101" s="24"/>
      <c r="L101" s="24"/>
      <c r="M101" s="24"/>
      <c r="Y101" s="572"/>
      <c r="Z101" s="571"/>
    </row>
    <row r="102" spans="1:26" s="2" customFormat="1" ht="14.25">
      <c r="A102" s="18"/>
      <c r="B102" s="18"/>
      <c r="C102" s="7"/>
      <c r="D102" s="18"/>
      <c r="F102" s="94"/>
      <c r="J102" s="24"/>
      <c r="K102" s="24"/>
      <c r="L102" s="24"/>
      <c r="M102" s="24"/>
      <c r="Y102" s="572"/>
      <c r="Z102" s="571"/>
    </row>
    <row r="103" spans="1:26" s="2" customFormat="1" ht="14.25">
      <c r="A103" s="18"/>
      <c r="B103" s="18"/>
      <c r="C103" s="7"/>
      <c r="D103" s="18"/>
      <c r="F103" s="94"/>
      <c r="J103" s="24"/>
      <c r="K103" s="24"/>
      <c r="L103" s="24"/>
      <c r="M103" s="24"/>
      <c r="Y103" s="572"/>
      <c r="Z103" s="571"/>
    </row>
    <row r="104" spans="1:26" s="2" customFormat="1" ht="14.25">
      <c r="A104" s="18"/>
      <c r="B104" s="18"/>
      <c r="C104" s="7"/>
      <c r="D104" s="18"/>
      <c r="F104" s="94"/>
      <c r="J104" s="24"/>
      <c r="K104" s="24"/>
      <c r="L104" s="24"/>
      <c r="M104" s="24"/>
      <c r="Y104" s="572"/>
      <c r="Z104" s="571"/>
    </row>
    <row r="105" spans="1:26" s="2" customFormat="1" ht="14.25">
      <c r="A105" s="18"/>
      <c r="B105" s="18"/>
      <c r="C105" s="7"/>
      <c r="D105" s="18"/>
      <c r="F105" s="94"/>
      <c r="J105" s="24"/>
      <c r="K105" s="24"/>
      <c r="L105" s="24"/>
      <c r="M105" s="24"/>
      <c r="Y105" s="572"/>
      <c r="Z105" s="571"/>
    </row>
    <row r="106" spans="1:26" s="2" customFormat="1" ht="14.25">
      <c r="A106" s="18"/>
      <c r="B106" s="18"/>
      <c r="C106" s="7"/>
      <c r="D106" s="18"/>
      <c r="F106" s="94"/>
      <c r="J106" s="24"/>
      <c r="K106" s="24"/>
      <c r="L106" s="24"/>
      <c r="M106" s="24"/>
      <c r="Y106" s="572"/>
      <c r="Z106" s="571"/>
    </row>
    <row r="107" spans="1:26" s="2" customFormat="1" ht="14.25">
      <c r="A107" s="18"/>
      <c r="B107" s="18"/>
      <c r="C107" s="7"/>
      <c r="D107" s="18"/>
      <c r="F107" s="94"/>
      <c r="J107" s="24"/>
      <c r="K107" s="24"/>
      <c r="L107" s="24"/>
      <c r="M107" s="24"/>
      <c r="Y107" s="572"/>
      <c r="Z107" s="571"/>
    </row>
    <row r="108" spans="1:26" s="2" customFormat="1" ht="14.25">
      <c r="A108" s="18"/>
      <c r="B108" s="18"/>
      <c r="C108" s="7"/>
      <c r="D108" s="18"/>
      <c r="F108" s="94"/>
      <c r="J108" s="24"/>
      <c r="K108" s="24"/>
      <c r="L108" s="24"/>
      <c r="M108" s="24"/>
      <c r="Y108" s="572"/>
      <c r="Z108" s="571"/>
    </row>
    <row r="109" spans="1:26" s="2" customFormat="1" ht="14.25">
      <c r="A109" s="18"/>
      <c r="B109" s="18"/>
      <c r="C109" s="7"/>
      <c r="D109" s="18"/>
      <c r="F109" s="94"/>
      <c r="J109" s="24"/>
      <c r="K109" s="24"/>
      <c r="L109" s="24"/>
      <c r="M109" s="24"/>
      <c r="Y109" s="572"/>
      <c r="Z109" s="571"/>
    </row>
    <row r="110" spans="1:26" s="2" customFormat="1" ht="14.25">
      <c r="A110" s="18"/>
      <c r="B110" s="18"/>
      <c r="C110" s="7"/>
      <c r="D110" s="18"/>
      <c r="F110" s="94"/>
      <c r="J110" s="24"/>
      <c r="K110" s="24"/>
      <c r="L110" s="24"/>
      <c r="M110" s="24"/>
      <c r="Y110" s="572"/>
      <c r="Z110" s="571"/>
    </row>
    <row r="111" spans="1:26" s="2" customFormat="1" ht="14.25">
      <c r="A111" s="18"/>
      <c r="B111" s="18"/>
      <c r="C111" s="7"/>
      <c r="D111" s="18"/>
      <c r="F111" s="94"/>
      <c r="J111" s="24"/>
      <c r="K111" s="24"/>
      <c r="L111" s="24"/>
      <c r="M111" s="24"/>
      <c r="Y111" s="572"/>
      <c r="Z111" s="571"/>
    </row>
    <row r="112" spans="1:26" s="2" customFormat="1" ht="14.25">
      <c r="A112" s="18"/>
      <c r="B112" s="18"/>
      <c r="C112" s="7"/>
      <c r="D112" s="18"/>
      <c r="F112" s="94"/>
      <c r="J112" s="24"/>
      <c r="K112" s="24"/>
      <c r="L112" s="24"/>
      <c r="M112" s="24"/>
      <c r="Y112" s="572"/>
      <c r="Z112" s="571"/>
    </row>
    <row r="113" spans="1:26" s="2" customFormat="1" ht="14.25">
      <c r="A113" s="18"/>
      <c r="B113" s="18"/>
      <c r="C113" s="7"/>
      <c r="D113" s="18"/>
      <c r="F113" s="94"/>
      <c r="J113" s="24"/>
      <c r="K113" s="24"/>
      <c r="L113" s="24"/>
      <c r="M113" s="24"/>
      <c r="Y113" s="572"/>
      <c r="Z113" s="571"/>
    </row>
    <row r="114" spans="1:26" s="2" customFormat="1" ht="14.25">
      <c r="A114" s="18"/>
      <c r="B114" s="18"/>
      <c r="C114" s="7"/>
      <c r="D114" s="18"/>
      <c r="F114" s="94"/>
      <c r="J114" s="24"/>
      <c r="K114" s="24"/>
      <c r="L114" s="24"/>
      <c r="M114" s="24"/>
      <c r="Y114" s="572"/>
      <c r="Z114" s="571"/>
    </row>
    <row r="115" spans="1:26" s="2" customFormat="1" ht="14.25">
      <c r="A115" s="18"/>
      <c r="B115" s="18"/>
      <c r="C115" s="7"/>
      <c r="D115" s="18"/>
      <c r="F115" s="94"/>
      <c r="J115" s="24"/>
      <c r="K115" s="24"/>
      <c r="L115" s="24"/>
      <c r="M115" s="24"/>
      <c r="Y115" s="572"/>
      <c r="Z115" s="571"/>
    </row>
    <row r="116" spans="1:26" s="2" customFormat="1" ht="14.25">
      <c r="A116" s="18"/>
      <c r="B116" s="18"/>
      <c r="C116" s="7"/>
      <c r="D116" s="18"/>
      <c r="F116" s="94"/>
      <c r="J116" s="24"/>
      <c r="K116" s="24"/>
      <c r="L116" s="24"/>
      <c r="M116" s="24"/>
      <c r="Y116" s="572"/>
      <c r="Z116" s="571"/>
    </row>
    <row r="117" spans="1:26" s="2" customFormat="1" ht="14.25">
      <c r="A117" s="18"/>
      <c r="B117" s="18"/>
      <c r="C117" s="7"/>
      <c r="D117" s="18"/>
      <c r="F117" s="94"/>
      <c r="J117" s="24"/>
      <c r="K117" s="24"/>
      <c r="L117" s="24"/>
      <c r="M117" s="24"/>
      <c r="Y117" s="572"/>
      <c r="Z117" s="571"/>
    </row>
    <row r="118" spans="1:26" s="2" customFormat="1" ht="14.25">
      <c r="A118" s="18"/>
      <c r="B118" s="18"/>
      <c r="C118" s="7"/>
      <c r="D118" s="18"/>
      <c r="F118" s="94"/>
      <c r="J118" s="24"/>
      <c r="K118" s="24"/>
      <c r="L118" s="24"/>
      <c r="M118" s="24"/>
      <c r="Y118" s="572"/>
      <c r="Z118" s="571"/>
    </row>
    <row r="119" spans="1:26" s="2" customFormat="1" ht="14.25">
      <c r="A119" s="18"/>
      <c r="B119" s="18"/>
      <c r="C119" s="7"/>
      <c r="D119" s="18"/>
      <c r="F119" s="94"/>
      <c r="J119" s="24"/>
      <c r="K119" s="24"/>
      <c r="L119" s="24"/>
      <c r="M119" s="24"/>
      <c r="Y119" s="572"/>
      <c r="Z119" s="571"/>
    </row>
    <row r="120" spans="1:26" s="2" customFormat="1" ht="14.25">
      <c r="A120" s="18"/>
      <c r="B120" s="18"/>
      <c r="C120" s="7"/>
      <c r="D120" s="18"/>
      <c r="F120" s="94"/>
      <c r="J120" s="24"/>
      <c r="K120" s="24"/>
      <c r="L120" s="24"/>
      <c r="M120" s="24"/>
      <c r="Y120" s="572"/>
      <c r="Z120" s="571"/>
    </row>
    <row r="121" spans="1:26" s="2" customFormat="1" ht="14.25">
      <c r="A121" s="18"/>
      <c r="B121" s="18"/>
      <c r="C121" s="7"/>
      <c r="D121" s="18"/>
      <c r="F121" s="94"/>
      <c r="J121" s="24"/>
      <c r="K121" s="24"/>
      <c r="L121" s="24"/>
      <c r="M121" s="24"/>
      <c r="Y121" s="572"/>
      <c r="Z121" s="571"/>
    </row>
    <row r="122" spans="1:26" s="2" customFormat="1" ht="14.25">
      <c r="A122" s="18"/>
      <c r="B122" s="18"/>
      <c r="C122" s="7"/>
      <c r="D122" s="18"/>
      <c r="F122" s="94"/>
      <c r="J122" s="24"/>
      <c r="K122" s="24"/>
      <c r="L122" s="24"/>
      <c r="M122" s="24"/>
      <c r="Y122" s="572"/>
      <c r="Z122" s="571"/>
    </row>
    <row r="123" spans="1:26" s="2" customFormat="1" ht="14.25">
      <c r="A123" s="18"/>
      <c r="B123" s="18"/>
      <c r="C123" s="7"/>
      <c r="D123" s="18"/>
      <c r="F123" s="94"/>
      <c r="J123" s="24"/>
      <c r="K123" s="24"/>
      <c r="L123" s="24"/>
      <c r="M123" s="24"/>
      <c r="Y123" s="572"/>
      <c r="Z123" s="571"/>
    </row>
    <row r="124" spans="1:26" s="2" customFormat="1" ht="14.25">
      <c r="A124" s="18"/>
      <c r="B124" s="18"/>
      <c r="C124" s="7"/>
      <c r="D124" s="18"/>
      <c r="F124" s="94"/>
      <c r="J124" s="24"/>
      <c r="K124" s="24"/>
      <c r="L124" s="24"/>
      <c r="M124" s="24"/>
      <c r="Y124" s="572"/>
      <c r="Z124" s="571"/>
    </row>
    <row r="125" spans="1:26" s="2" customFormat="1" ht="14.25">
      <c r="A125" s="18"/>
      <c r="B125" s="18"/>
      <c r="C125" s="7"/>
      <c r="D125" s="18"/>
      <c r="F125" s="94"/>
      <c r="J125" s="24"/>
      <c r="K125" s="24"/>
      <c r="L125" s="24"/>
      <c r="M125" s="24"/>
      <c r="Y125" s="572"/>
      <c r="Z125" s="571"/>
    </row>
    <row r="126" spans="1:26" s="2" customFormat="1" ht="14.25">
      <c r="A126" s="18"/>
      <c r="B126" s="18"/>
      <c r="C126" s="7"/>
      <c r="D126" s="18"/>
      <c r="F126" s="94"/>
      <c r="J126" s="24"/>
      <c r="K126" s="24"/>
      <c r="L126" s="24"/>
      <c r="M126" s="24"/>
      <c r="Y126" s="572"/>
      <c r="Z126" s="571"/>
    </row>
    <row r="127" spans="1:26" s="2" customFormat="1" ht="14.25">
      <c r="A127" s="18"/>
      <c r="B127" s="18"/>
      <c r="C127" s="7"/>
      <c r="D127" s="18"/>
      <c r="F127" s="94"/>
      <c r="J127" s="24"/>
      <c r="K127" s="24"/>
      <c r="L127" s="24"/>
      <c r="M127" s="24"/>
      <c r="Y127" s="572"/>
      <c r="Z127" s="571"/>
    </row>
    <row r="128" spans="1:26" s="2" customFormat="1" ht="14.25">
      <c r="A128" s="18"/>
      <c r="B128" s="18"/>
      <c r="C128" s="7"/>
      <c r="D128" s="18"/>
      <c r="F128" s="94"/>
      <c r="J128" s="24"/>
      <c r="K128" s="24"/>
      <c r="L128" s="24"/>
      <c r="M128" s="24"/>
      <c r="Y128" s="572"/>
      <c r="Z128" s="571"/>
    </row>
    <row r="129" spans="1:26" s="2" customFormat="1" ht="14.25">
      <c r="A129" s="18"/>
      <c r="B129" s="18"/>
      <c r="C129" s="7"/>
      <c r="D129" s="18"/>
      <c r="F129" s="94"/>
      <c r="J129" s="24"/>
      <c r="K129" s="24"/>
      <c r="L129" s="24"/>
      <c r="M129" s="24"/>
      <c r="Y129" s="572"/>
      <c r="Z129" s="571"/>
    </row>
    <row r="130" spans="1:26" s="2" customFormat="1" ht="14.25">
      <c r="A130" s="18"/>
      <c r="B130" s="18"/>
      <c r="C130" s="7"/>
      <c r="D130" s="18"/>
      <c r="F130" s="94"/>
      <c r="J130" s="24"/>
      <c r="K130" s="24"/>
      <c r="L130" s="24"/>
      <c r="M130" s="24"/>
      <c r="Y130" s="572"/>
      <c r="Z130" s="571"/>
    </row>
    <row r="131" spans="1:26" s="2" customFormat="1" ht="14.25">
      <c r="A131" s="18"/>
      <c r="B131" s="18"/>
      <c r="C131" s="7"/>
      <c r="D131" s="18"/>
      <c r="F131" s="94"/>
      <c r="J131" s="24"/>
      <c r="K131" s="24"/>
      <c r="L131" s="24"/>
      <c r="M131" s="24"/>
      <c r="Y131" s="572"/>
      <c r="Z131" s="571"/>
    </row>
    <row r="132" spans="1:26" s="2" customFormat="1" ht="14.25">
      <c r="A132" s="18"/>
      <c r="B132" s="18"/>
      <c r="C132" s="7"/>
      <c r="D132" s="18"/>
      <c r="F132" s="94"/>
      <c r="J132" s="24"/>
      <c r="K132" s="24"/>
      <c r="L132" s="24"/>
      <c r="M132" s="24"/>
      <c r="Y132" s="572"/>
      <c r="Z132" s="571"/>
    </row>
    <row r="133" spans="1:26" s="2" customFormat="1" ht="14.25">
      <c r="A133" s="18"/>
      <c r="B133" s="18"/>
      <c r="C133" s="7"/>
      <c r="D133" s="18"/>
      <c r="F133" s="94"/>
      <c r="J133" s="24"/>
      <c r="K133" s="24"/>
      <c r="L133" s="24"/>
      <c r="M133" s="24"/>
      <c r="Y133" s="572"/>
      <c r="Z133" s="571"/>
    </row>
    <row r="134" spans="1:26" s="2" customFormat="1" ht="14.25">
      <c r="A134" s="18"/>
      <c r="B134" s="18"/>
      <c r="C134" s="7"/>
      <c r="D134" s="18"/>
      <c r="F134" s="94"/>
      <c r="J134" s="24"/>
      <c r="K134" s="24"/>
      <c r="L134" s="24"/>
      <c r="M134" s="24"/>
      <c r="Y134" s="572"/>
      <c r="Z134" s="571"/>
    </row>
    <row r="135" spans="1:26" s="2" customFormat="1" ht="14.25">
      <c r="A135" s="18"/>
      <c r="B135" s="18"/>
      <c r="C135" s="7"/>
      <c r="D135" s="18"/>
      <c r="F135" s="94"/>
      <c r="J135" s="24"/>
      <c r="K135" s="24"/>
      <c r="L135" s="24"/>
      <c r="M135" s="24"/>
      <c r="Y135" s="572"/>
      <c r="Z135" s="571"/>
    </row>
    <row r="136" spans="1:26" s="2" customFormat="1" ht="14.25">
      <c r="A136" s="18"/>
      <c r="B136" s="18"/>
      <c r="C136" s="7"/>
      <c r="D136" s="18"/>
      <c r="F136" s="94"/>
      <c r="J136" s="24"/>
      <c r="K136" s="24"/>
      <c r="L136" s="24"/>
      <c r="M136" s="24"/>
      <c r="Y136" s="572"/>
      <c r="Z136" s="571"/>
    </row>
    <row r="137" spans="1:26" s="2" customFormat="1" ht="14.25">
      <c r="A137" s="18"/>
      <c r="B137" s="18"/>
      <c r="C137" s="7"/>
      <c r="D137" s="18"/>
      <c r="F137" s="94"/>
      <c r="J137" s="24"/>
      <c r="K137" s="24"/>
      <c r="L137" s="24"/>
      <c r="M137" s="24"/>
      <c r="Y137" s="572"/>
      <c r="Z137" s="571"/>
    </row>
    <row r="138" spans="1:26" s="2" customFormat="1" ht="14.25">
      <c r="A138" s="18"/>
      <c r="B138" s="18"/>
      <c r="C138" s="7"/>
      <c r="D138" s="18"/>
      <c r="F138" s="94"/>
      <c r="J138" s="24"/>
      <c r="K138" s="24"/>
      <c r="L138" s="24"/>
      <c r="M138" s="24"/>
      <c r="Y138" s="572"/>
      <c r="Z138" s="571"/>
    </row>
    <row r="139" spans="1:26" s="2" customFormat="1" ht="14.25">
      <c r="A139" s="18"/>
      <c r="B139" s="18"/>
      <c r="C139" s="7"/>
      <c r="D139" s="18"/>
      <c r="F139" s="94"/>
      <c r="J139" s="24"/>
      <c r="K139" s="24"/>
      <c r="L139" s="24"/>
      <c r="M139" s="24"/>
      <c r="Y139" s="572"/>
      <c r="Z139" s="571"/>
    </row>
    <row r="140" spans="1:26" s="2" customFormat="1" ht="14.25">
      <c r="A140" s="18"/>
      <c r="B140" s="18"/>
      <c r="C140" s="7"/>
      <c r="D140" s="18"/>
      <c r="F140" s="94"/>
      <c r="J140" s="24"/>
      <c r="K140" s="24"/>
      <c r="L140" s="24"/>
      <c r="M140" s="24"/>
      <c r="Y140" s="572"/>
      <c r="Z140" s="571"/>
    </row>
    <row r="141" spans="1:26" s="2" customFormat="1" ht="14.25">
      <c r="A141" s="18"/>
      <c r="B141" s="18"/>
      <c r="C141" s="7"/>
      <c r="D141" s="18"/>
      <c r="F141" s="94"/>
      <c r="J141" s="24"/>
      <c r="K141" s="24"/>
      <c r="L141" s="24"/>
      <c r="M141" s="24"/>
      <c r="Y141" s="572"/>
      <c r="Z141" s="571"/>
    </row>
    <row r="142" spans="1:26" s="2" customFormat="1" ht="14.25">
      <c r="A142" s="18"/>
      <c r="B142" s="18"/>
      <c r="C142" s="7"/>
      <c r="D142" s="18"/>
      <c r="F142" s="94"/>
      <c r="J142" s="24"/>
      <c r="K142" s="24"/>
      <c r="L142" s="24"/>
      <c r="M142" s="24"/>
      <c r="Y142" s="572"/>
      <c r="Z142" s="571"/>
    </row>
    <row r="143" spans="1:26" s="2" customFormat="1" ht="14.25">
      <c r="A143" s="18"/>
      <c r="B143" s="18"/>
      <c r="C143" s="7"/>
      <c r="D143" s="18"/>
      <c r="F143" s="94"/>
      <c r="J143" s="24"/>
      <c r="K143" s="24"/>
      <c r="L143" s="24"/>
      <c r="M143" s="24"/>
      <c r="Y143" s="572"/>
      <c r="Z143" s="571"/>
    </row>
    <row r="144" spans="1:26" s="2" customFormat="1" ht="14.25">
      <c r="A144" s="18"/>
      <c r="B144" s="18"/>
      <c r="C144" s="7"/>
      <c r="D144" s="18"/>
      <c r="F144" s="94"/>
      <c r="J144" s="24"/>
      <c r="K144" s="24"/>
      <c r="L144" s="24"/>
      <c r="M144" s="24"/>
      <c r="Y144" s="572"/>
      <c r="Z144" s="571"/>
    </row>
    <row r="145" spans="1:26" s="2" customFormat="1" ht="14.25">
      <c r="A145" s="18"/>
      <c r="B145" s="18"/>
      <c r="C145" s="7"/>
      <c r="D145" s="18"/>
      <c r="F145" s="94"/>
      <c r="J145" s="24"/>
      <c r="K145" s="24"/>
      <c r="L145" s="24"/>
      <c r="M145" s="24"/>
      <c r="Y145" s="572"/>
      <c r="Z145" s="571"/>
    </row>
    <row r="146" spans="1:26" s="2" customFormat="1" ht="14.25">
      <c r="A146" s="18"/>
      <c r="B146" s="18"/>
      <c r="C146" s="7"/>
      <c r="D146" s="18"/>
      <c r="F146" s="94"/>
      <c r="J146" s="24"/>
      <c r="K146" s="24"/>
      <c r="L146" s="24"/>
      <c r="M146" s="24"/>
      <c r="Y146" s="572"/>
      <c r="Z146" s="571"/>
    </row>
    <row r="147" spans="1:26" s="2" customFormat="1" ht="14.25">
      <c r="A147" s="18"/>
      <c r="B147" s="18"/>
      <c r="C147" s="7"/>
      <c r="D147" s="18"/>
      <c r="F147" s="94"/>
      <c r="J147" s="24"/>
      <c r="K147" s="24"/>
      <c r="L147" s="24"/>
      <c r="M147" s="24"/>
      <c r="Y147" s="572"/>
      <c r="Z147" s="571"/>
    </row>
    <row r="148" spans="1:26" s="2" customFormat="1" ht="14.25">
      <c r="A148" s="18"/>
      <c r="B148" s="18"/>
      <c r="C148" s="7"/>
      <c r="D148" s="18"/>
      <c r="F148" s="94"/>
      <c r="J148" s="24"/>
      <c r="K148" s="24"/>
      <c r="L148" s="24"/>
      <c r="M148" s="24"/>
      <c r="Y148" s="572"/>
      <c r="Z148" s="571"/>
    </row>
    <row r="149" spans="1:26" s="2" customFormat="1" ht="14.25">
      <c r="A149" s="18"/>
      <c r="B149" s="18"/>
      <c r="C149" s="7"/>
      <c r="D149" s="18"/>
      <c r="F149" s="94"/>
      <c r="J149" s="24"/>
      <c r="K149" s="24"/>
      <c r="L149" s="24"/>
      <c r="M149" s="24"/>
      <c r="Y149" s="572"/>
      <c r="Z149" s="571"/>
    </row>
    <row r="150" spans="1:26" s="2" customFormat="1" ht="14.25">
      <c r="A150" s="18"/>
      <c r="B150" s="18"/>
      <c r="C150" s="7"/>
      <c r="D150" s="18"/>
      <c r="F150" s="94"/>
      <c r="J150" s="24"/>
      <c r="K150" s="24"/>
      <c r="L150" s="24"/>
      <c r="M150" s="24"/>
      <c r="Y150" s="572"/>
      <c r="Z150" s="571"/>
    </row>
    <row r="151" spans="1:26" s="2" customFormat="1" ht="14.25">
      <c r="A151" s="18"/>
      <c r="B151" s="18"/>
      <c r="C151" s="7"/>
      <c r="D151" s="18"/>
      <c r="F151" s="94"/>
      <c r="J151" s="24"/>
      <c r="K151" s="24"/>
      <c r="L151" s="24"/>
      <c r="M151" s="24"/>
      <c r="Y151" s="572"/>
      <c r="Z151" s="571"/>
    </row>
    <row r="152" spans="1:26" s="2" customFormat="1" ht="14.25">
      <c r="A152" s="18"/>
      <c r="B152" s="18"/>
      <c r="C152" s="7"/>
      <c r="D152" s="18"/>
      <c r="F152" s="94"/>
      <c r="J152" s="24"/>
      <c r="K152" s="24"/>
      <c r="L152" s="24"/>
      <c r="M152" s="24"/>
      <c r="Y152" s="572"/>
      <c r="Z152" s="571"/>
    </row>
    <row r="153" spans="1:26" s="2" customFormat="1" ht="14.25">
      <c r="A153" s="18"/>
      <c r="B153" s="18"/>
      <c r="C153" s="7"/>
      <c r="D153" s="18"/>
      <c r="F153" s="94"/>
      <c r="J153" s="24"/>
      <c r="K153" s="24"/>
      <c r="L153" s="24"/>
      <c r="M153" s="24"/>
      <c r="Y153" s="572"/>
      <c r="Z153" s="571"/>
    </row>
    <row r="154" spans="1:26" s="2" customFormat="1" ht="14.25">
      <c r="A154" s="18"/>
      <c r="B154" s="18"/>
      <c r="C154" s="7"/>
      <c r="D154" s="18"/>
      <c r="F154" s="94"/>
      <c r="J154" s="24"/>
      <c r="K154" s="24"/>
      <c r="L154" s="24"/>
      <c r="M154" s="24"/>
      <c r="Y154" s="572"/>
      <c r="Z154" s="571"/>
    </row>
    <row r="155" spans="1:26" s="2" customFormat="1" ht="14.25">
      <c r="A155" s="18"/>
      <c r="B155" s="18"/>
      <c r="C155" s="7"/>
      <c r="D155" s="18"/>
      <c r="F155" s="94"/>
      <c r="J155" s="24"/>
      <c r="K155" s="24"/>
      <c r="L155" s="24"/>
      <c r="M155" s="24"/>
      <c r="Y155" s="572"/>
      <c r="Z155" s="571"/>
    </row>
    <row r="156" spans="1:26" s="2" customFormat="1" ht="14.25">
      <c r="A156" s="18"/>
      <c r="B156" s="18"/>
      <c r="C156" s="7"/>
      <c r="D156" s="18"/>
      <c r="F156" s="94"/>
      <c r="J156" s="24"/>
      <c r="K156" s="24"/>
      <c r="L156" s="24"/>
      <c r="M156" s="24"/>
      <c r="Y156" s="572"/>
      <c r="Z156" s="571"/>
    </row>
    <row r="157" spans="1:26" s="2" customFormat="1" ht="14.25">
      <c r="A157" s="18"/>
      <c r="B157" s="18"/>
      <c r="C157" s="7"/>
      <c r="D157" s="18"/>
      <c r="F157" s="94"/>
      <c r="J157" s="24"/>
      <c r="K157" s="24"/>
      <c r="L157" s="24"/>
      <c r="M157" s="24"/>
      <c r="Y157" s="572"/>
      <c r="Z157" s="571"/>
    </row>
    <row r="158" spans="1:26" s="2" customFormat="1" ht="14.25">
      <c r="A158" s="18"/>
      <c r="B158" s="18"/>
      <c r="C158" s="7"/>
      <c r="D158" s="18"/>
      <c r="F158" s="94"/>
      <c r="J158" s="24"/>
      <c r="K158" s="24"/>
      <c r="L158" s="24"/>
      <c r="M158" s="24"/>
      <c r="Y158" s="572"/>
      <c r="Z158" s="571"/>
    </row>
    <row r="159" spans="1:26" s="2" customFormat="1" ht="14.25">
      <c r="A159" s="18"/>
      <c r="B159" s="18"/>
      <c r="C159" s="7"/>
      <c r="D159" s="18"/>
      <c r="F159" s="94"/>
      <c r="J159" s="24"/>
      <c r="K159" s="24"/>
      <c r="L159" s="24"/>
      <c r="M159" s="24"/>
      <c r="Y159" s="572"/>
      <c r="Z159" s="571"/>
    </row>
    <row r="160" spans="1:26" s="2" customFormat="1" ht="14.25">
      <c r="A160" s="18"/>
      <c r="B160" s="18"/>
      <c r="C160" s="7"/>
      <c r="D160" s="18"/>
      <c r="F160" s="94"/>
      <c r="J160" s="24"/>
      <c r="K160" s="24"/>
      <c r="L160" s="24"/>
      <c r="M160" s="24"/>
      <c r="Y160" s="572"/>
      <c r="Z160" s="571"/>
    </row>
    <row r="161" spans="1:26" s="2" customFormat="1" ht="14.25">
      <c r="A161" s="18"/>
      <c r="B161" s="18"/>
      <c r="C161" s="7"/>
      <c r="D161" s="18"/>
      <c r="F161" s="94"/>
      <c r="J161" s="24"/>
      <c r="K161" s="24"/>
      <c r="L161" s="24"/>
      <c r="M161" s="24"/>
      <c r="Y161" s="572"/>
      <c r="Z161" s="571"/>
    </row>
    <row r="162" spans="1:26" s="2" customFormat="1" ht="14.25">
      <c r="A162" s="18"/>
      <c r="B162" s="18"/>
      <c r="C162" s="7"/>
      <c r="D162" s="18"/>
      <c r="F162" s="94"/>
      <c r="J162" s="24"/>
      <c r="K162" s="24"/>
      <c r="L162" s="24"/>
      <c r="M162" s="24"/>
      <c r="Y162" s="572"/>
      <c r="Z162" s="571"/>
    </row>
    <row r="163" spans="1:26" s="2" customFormat="1" ht="14.25">
      <c r="A163" s="18"/>
      <c r="B163" s="18"/>
      <c r="C163" s="7"/>
      <c r="D163" s="18"/>
      <c r="F163" s="94"/>
      <c r="J163" s="24"/>
      <c r="K163" s="24"/>
      <c r="L163" s="24"/>
      <c r="M163" s="24"/>
      <c r="Y163" s="572"/>
      <c r="Z163" s="571"/>
    </row>
    <row r="164" spans="1:26" s="2" customFormat="1" ht="14.25">
      <c r="A164" s="18"/>
      <c r="B164" s="18"/>
      <c r="C164" s="7"/>
      <c r="D164" s="18"/>
      <c r="F164" s="94"/>
      <c r="J164" s="24"/>
      <c r="K164" s="24"/>
      <c r="L164" s="24"/>
      <c r="M164" s="24"/>
      <c r="Y164" s="572"/>
      <c r="Z164" s="571"/>
    </row>
    <row r="165" spans="1:26" s="2" customFormat="1" ht="14.25">
      <c r="A165" s="18"/>
      <c r="B165" s="18"/>
      <c r="C165" s="7"/>
      <c r="D165" s="18"/>
      <c r="F165" s="94"/>
      <c r="J165" s="24"/>
      <c r="K165" s="24"/>
      <c r="L165" s="24"/>
      <c r="M165" s="24"/>
      <c r="Y165" s="572"/>
      <c r="Z165" s="571"/>
    </row>
    <row r="166" spans="1:26" s="2" customFormat="1">
      <c r="A166" s="19"/>
      <c r="B166" s="19"/>
      <c r="C166" s="7"/>
      <c r="D166" s="19"/>
      <c r="F166" s="95"/>
      <c r="J166" s="24"/>
      <c r="K166" s="24"/>
      <c r="L166" s="24"/>
      <c r="M166" s="24"/>
      <c r="Y166" s="572"/>
      <c r="Z166" s="571"/>
    </row>
    <row r="167" spans="1:26" s="2" customFormat="1">
      <c r="A167" s="19"/>
      <c r="B167" s="19"/>
      <c r="C167" s="7"/>
      <c r="D167" s="19"/>
      <c r="F167" s="95"/>
      <c r="J167" s="24"/>
      <c r="K167" s="24"/>
      <c r="L167" s="24"/>
      <c r="M167" s="24"/>
      <c r="Y167" s="572"/>
      <c r="Z167" s="571"/>
    </row>
    <row r="168" spans="1:26" s="2" customFormat="1">
      <c r="A168" s="19"/>
      <c r="B168" s="19"/>
      <c r="C168" s="7"/>
      <c r="D168" s="19"/>
      <c r="F168" s="95"/>
      <c r="J168" s="24"/>
      <c r="K168" s="24"/>
      <c r="L168" s="24"/>
      <c r="M168" s="24"/>
      <c r="Y168" s="572"/>
      <c r="Z168" s="571"/>
    </row>
    <row r="169" spans="1:26">
      <c r="C169" s="7"/>
      <c r="J169" s="24"/>
      <c r="K169" s="24"/>
      <c r="L169" s="24"/>
      <c r="M169" s="24"/>
    </row>
    <row r="170" spans="1:26">
      <c r="C170" s="7"/>
      <c r="J170" s="24"/>
      <c r="K170" s="24"/>
      <c r="L170" s="24"/>
      <c r="M170" s="24"/>
    </row>
  </sheetData>
  <mergeCells count="11">
    <mergeCell ref="A7:A10"/>
    <mergeCell ref="B7:B10"/>
    <mergeCell ref="Y1:Z1"/>
    <mergeCell ref="R19:R20"/>
    <mergeCell ref="H19:H20"/>
    <mergeCell ref="P19:P20"/>
    <mergeCell ref="O19:O20"/>
    <mergeCell ref="S19:S20"/>
    <mergeCell ref="T19:T20"/>
    <mergeCell ref="U19:U20"/>
    <mergeCell ref="Q19:Q20"/>
  </mergeCells>
  <phoneticPr fontId="3" type="noConversion"/>
  <conditionalFormatting sqref="N4:N21">
    <cfRule type="cellIs" dxfId="118" priority="24" operator="lessThan">
      <formula>-0.3</formula>
    </cfRule>
    <cfRule type="cellIs" dxfId="117" priority="25" operator="greaterThan">
      <formula>0.3</formula>
    </cfRule>
  </conditionalFormatting>
  <conditionalFormatting sqref="N4:N21">
    <cfRule type="cellIs" dxfId="116" priority="22" stopIfTrue="1" operator="lessThanOrEqual">
      <formula>-0.3</formula>
    </cfRule>
    <cfRule type="cellIs" dxfId="115" priority="23" stopIfTrue="1" operator="greaterThanOrEqual">
      <formula>0.3</formula>
    </cfRule>
  </conditionalFormatting>
  <conditionalFormatting sqref="R16:U19 S7:S19 R7:U14 R4:R5 S4 T4:U19 R21:U21">
    <cfRule type="expression" dxfId="114" priority="19">
      <formula>R4&lt;&gt;0</formula>
    </cfRule>
  </conditionalFormatting>
  <conditionalFormatting sqref="R15:U17">
    <cfRule type="expression" dxfId="113" priority="10">
      <formula>$R$15&lt;&gt;0</formula>
    </cfRule>
  </conditionalFormatting>
  <conditionalFormatting sqref="Q4:Q19 Q21">
    <cfRule type="cellIs" dxfId="112" priority="5" stopIfTrue="1" operator="lessThan">
      <formula>0</formula>
    </cfRule>
    <cfRule type="cellIs" dxfId="111" priority="6" operator="greaterThan">
      <formula>0</formula>
    </cfRule>
  </conditionalFormatting>
  <hyperlinks>
    <hyperlink ref="D31" location="权重!A1" display="权重!A1"/>
    <hyperlink ref="D32" location="目录!A1" display="目录!A1"/>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55"/>
  <sheetViews>
    <sheetView workbookViewId="0">
      <selection activeCell="D1" sqref="D1"/>
    </sheetView>
  </sheetViews>
  <sheetFormatPr defaultRowHeight="13.5"/>
  <cols>
    <col min="3" max="3" width="18.125" customWidth="1"/>
    <col min="4" max="4" width="13.5" customWidth="1"/>
    <col min="5" max="5" width="11.5" style="1138" customWidth="1"/>
    <col min="9" max="9" width="5.25" customWidth="1"/>
    <col min="10" max="10" width="17.375" customWidth="1"/>
    <col min="11" max="11" width="35.125" customWidth="1"/>
    <col min="12" max="12" width="12.5" bestFit="1" customWidth="1"/>
  </cols>
  <sheetData>
    <row r="1" spans="1:11" ht="39" thickBot="1">
      <c r="A1" s="1408" t="s">
        <v>2489</v>
      </c>
      <c r="B1" s="1408" t="s">
        <v>2490</v>
      </c>
      <c r="C1" s="1408" t="s">
        <v>2491</v>
      </c>
      <c r="D1" s="1408" t="s">
        <v>2492</v>
      </c>
      <c r="E1" s="1408" t="s">
        <v>2493</v>
      </c>
      <c r="F1" s="1408" t="s">
        <v>2229</v>
      </c>
      <c r="I1" s="1706"/>
      <c r="J1" s="1706"/>
      <c r="K1" s="1706"/>
    </row>
    <row r="2" spans="1:11" ht="14.25">
      <c r="A2" s="1384" t="s">
        <v>2252</v>
      </c>
      <c r="B2" s="1385" t="s">
        <v>2253</v>
      </c>
      <c r="C2" s="1094">
        <v>186</v>
      </c>
      <c r="D2" s="1094">
        <v>189</v>
      </c>
      <c r="E2" s="1386">
        <f t="shared" ref="E2:E12" si="0">C2/D2</f>
        <v>0.98412698412698407</v>
      </c>
      <c r="F2" s="1374">
        <f t="shared" ref="F2:F12" si="1">IF(E2&gt;=0.9,2,IF(E2&gt;=0.8,1,0))</f>
        <v>2</v>
      </c>
      <c r="I2" s="1149"/>
      <c r="J2" s="1149" t="s">
        <v>2267</v>
      </c>
      <c r="K2" s="1149" t="s">
        <v>2271</v>
      </c>
    </row>
    <row r="3" spans="1:11" ht="14.25">
      <c r="A3" s="1387" t="s">
        <v>2254</v>
      </c>
      <c r="B3" s="1381" t="s">
        <v>2253</v>
      </c>
      <c r="C3" s="71">
        <v>9</v>
      </c>
      <c r="D3" s="71">
        <v>9</v>
      </c>
      <c r="E3" s="1383">
        <f t="shared" si="0"/>
        <v>1</v>
      </c>
      <c r="F3" s="1388">
        <f t="shared" si="1"/>
        <v>2</v>
      </c>
      <c r="I3" s="1251" t="s">
        <v>2181</v>
      </c>
      <c r="J3" s="1203">
        <v>2</v>
      </c>
      <c r="K3" s="1145">
        <v>0.96289650738701671</v>
      </c>
    </row>
    <row r="4" spans="1:11" ht="14.25">
      <c r="A4" s="1387" t="s">
        <v>2255</v>
      </c>
      <c r="B4" s="1381" t="s">
        <v>2253</v>
      </c>
      <c r="C4" s="71">
        <v>19</v>
      </c>
      <c r="D4" s="71">
        <v>19</v>
      </c>
      <c r="E4" s="1383">
        <f t="shared" si="0"/>
        <v>1</v>
      </c>
      <c r="F4" s="1388">
        <f t="shared" si="1"/>
        <v>2</v>
      </c>
      <c r="I4" s="1251" t="s">
        <v>2178</v>
      </c>
      <c r="J4" s="1203">
        <v>2</v>
      </c>
      <c r="K4" s="1145">
        <v>0.98392562971199049</v>
      </c>
    </row>
    <row r="5" spans="1:11" ht="14.25">
      <c r="A5" s="1387" t="s">
        <v>2256</v>
      </c>
      <c r="B5" s="1381" t="s">
        <v>2253</v>
      </c>
      <c r="C5" s="71">
        <v>449</v>
      </c>
      <c r="D5" s="71">
        <v>474</v>
      </c>
      <c r="E5" s="1383">
        <f t="shared" si="0"/>
        <v>0.9472573839662447</v>
      </c>
      <c r="F5" s="1388">
        <f t="shared" si="1"/>
        <v>2</v>
      </c>
      <c r="I5" s="1251" t="s">
        <v>2179</v>
      </c>
      <c r="J5" s="1203">
        <v>2</v>
      </c>
      <c r="K5" s="1145">
        <v>1</v>
      </c>
    </row>
    <row r="6" spans="1:11" ht="15" thickBot="1">
      <c r="A6" s="1389" t="s">
        <v>2257</v>
      </c>
      <c r="B6" s="1390" t="s">
        <v>2253</v>
      </c>
      <c r="C6" s="1097">
        <v>13</v>
      </c>
      <c r="D6" s="1097">
        <v>13</v>
      </c>
      <c r="E6" s="1391">
        <f t="shared" si="0"/>
        <v>1</v>
      </c>
      <c r="F6" s="1392">
        <f t="shared" si="1"/>
        <v>2</v>
      </c>
      <c r="I6" s="1251" t="s">
        <v>2177</v>
      </c>
      <c r="J6" s="1203">
        <v>1.8</v>
      </c>
      <c r="K6" s="1145">
        <v>0.94965105779153769</v>
      </c>
    </row>
    <row r="7" spans="1:11" ht="14.25">
      <c r="A7" s="1384" t="s">
        <v>2252</v>
      </c>
      <c r="B7" s="1385" t="s">
        <v>2258</v>
      </c>
      <c r="C7" s="1094">
        <v>2058</v>
      </c>
      <c r="D7" s="1094">
        <v>2083</v>
      </c>
      <c r="E7" s="1386">
        <f t="shared" si="0"/>
        <v>0.98799807969275089</v>
      </c>
      <c r="F7" s="1374">
        <f t="shared" si="1"/>
        <v>2</v>
      </c>
      <c r="I7" s="1251" t="s">
        <v>2180</v>
      </c>
      <c r="J7" s="1203">
        <v>2</v>
      </c>
      <c r="K7" s="1145">
        <v>0.97989205455883577</v>
      </c>
    </row>
    <row r="8" spans="1:11" ht="14.25">
      <c r="A8" s="1387" t="s">
        <v>2254</v>
      </c>
      <c r="B8" s="1381" t="s">
        <v>2258</v>
      </c>
      <c r="C8" s="71">
        <v>9</v>
      </c>
      <c r="D8" s="71">
        <v>9</v>
      </c>
      <c r="E8" s="1383">
        <f t="shared" si="0"/>
        <v>1</v>
      </c>
      <c r="F8" s="1388">
        <f t="shared" si="1"/>
        <v>2</v>
      </c>
    </row>
    <row r="9" spans="1:11" ht="14.25">
      <c r="A9" s="1387" t="s">
        <v>2255</v>
      </c>
      <c r="B9" s="1381" t="s">
        <v>2258</v>
      </c>
      <c r="C9" s="71">
        <v>66</v>
      </c>
      <c r="D9" s="71">
        <v>70</v>
      </c>
      <c r="E9" s="1383">
        <f t="shared" si="0"/>
        <v>0.94285714285714284</v>
      </c>
      <c r="F9" s="1388">
        <f t="shared" si="1"/>
        <v>2</v>
      </c>
    </row>
    <row r="10" spans="1:11" ht="14.25">
      <c r="A10" s="1387" t="s">
        <v>2256</v>
      </c>
      <c r="B10" s="1381" t="s">
        <v>2258</v>
      </c>
      <c r="C10" s="71"/>
      <c r="D10" s="71"/>
      <c r="E10" s="1383"/>
      <c r="F10" s="1393"/>
    </row>
    <row r="11" spans="1:11" ht="15" thickBot="1">
      <c r="A11" s="1389" t="s">
        <v>2257</v>
      </c>
      <c r="B11" s="1390" t="s">
        <v>2258</v>
      </c>
      <c r="C11" s="1097">
        <v>21</v>
      </c>
      <c r="D11" s="1097">
        <v>21</v>
      </c>
      <c r="E11" s="1391">
        <f t="shared" si="0"/>
        <v>1</v>
      </c>
      <c r="F11" s="1392">
        <f t="shared" si="1"/>
        <v>2</v>
      </c>
      <c r="J11" t="s">
        <v>2276</v>
      </c>
    </row>
    <row r="12" spans="1:11" ht="14.25">
      <c r="A12" s="1384" t="s">
        <v>2178</v>
      </c>
      <c r="B12" s="1385" t="s">
        <v>2259</v>
      </c>
      <c r="C12" s="1094">
        <v>3075</v>
      </c>
      <c r="D12" s="1094">
        <v>3097</v>
      </c>
      <c r="E12" s="1386">
        <f t="shared" si="0"/>
        <v>0.99289635130771714</v>
      </c>
      <c r="F12" s="1374">
        <f t="shared" si="1"/>
        <v>2</v>
      </c>
      <c r="J12" t="s">
        <v>2277</v>
      </c>
    </row>
    <row r="13" spans="1:11" ht="14.25">
      <c r="A13" s="1387" t="s">
        <v>2179</v>
      </c>
      <c r="B13" s="1381" t="s">
        <v>2259</v>
      </c>
      <c r="C13" s="71"/>
      <c r="D13" s="71"/>
      <c r="E13" s="1383"/>
      <c r="F13" s="1393"/>
      <c r="J13" t="s">
        <v>2278</v>
      </c>
    </row>
    <row r="14" spans="1:11" ht="14.25">
      <c r="A14" s="1387" t="s">
        <v>2180</v>
      </c>
      <c r="B14" s="1381" t="s">
        <v>2259</v>
      </c>
      <c r="C14" s="71"/>
      <c r="D14" s="71"/>
      <c r="E14" s="1383"/>
      <c r="F14" s="1393"/>
    </row>
    <row r="15" spans="1:11" ht="14.25">
      <c r="A15" s="1387" t="s">
        <v>2181</v>
      </c>
      <c r="B15" s="1381" t="s">
        <v>2259</v>
      </c>
      <c r="C15" s="71">
        <v>1633</v>
      </c>
      <c r="D15" s="71">
        <v>1664</v>
      </c>
      <c r="E15" s="1383">
        <f>C15/D15</f>
        <v>0.98137019230769229</v>
      </c>
      <c r="F15" s="1388">
        <f>IF(E15&gt;=0.9,2,IF(E15&gt;=0.8,1,0))</f>
        <v>2</v>
      </c>
    </row>
    <row r="16" spans="1:11" ht="15" thickBot="1">
      <c r="A16" s="1389" t="s">
        <v>2177</v>
      </c>
      <c r="B16" s="1390" t="s">
        <v>2259</v>
      </c>
      <c r="C16" s="1097">
        <v>49</v>
      </c>
      <c r="D16" s="1097">
        <v>49</v>
      </c>
      <c r="E16" s="1391">
        <f>C16/D16</f>
        <v>1</v>
      </c>
      <c r="F16" s="1392">
        <f>IF(E16&gt;=0.9,2,IF(E16&gt;=0.8,1,0))</f>
        <v>2</v>
      </c>
    </row>
    <row r="17" spans="1:9" ht="14.25">
      <c r="A17" s="1384" t="s">
        <v>2252</v>
      </c>
      <c r="B17" s="1385" t="s">
        <v>2260</v>
      </c>
      <c r="C17" s="1094">
        <v>332</v>
      </c>
      <c r="D17" s="1094">
        <v>339</v>
      </c>
      <c r="E17" s="1386">
        <f>C17/D17</f>
        <v>0.97935103244837762</v>
      </c>
      <c r="F17" s="1374">
        <f>IF(E17&gt;=0.9,2,IF(E17&gt;=0.8,1,0))</f>
        <v>2</v>
      </c>
      <c r="I17" s="843" t="s">
        <v>2337</v>
      </c>
    </row>
    <row r="18" spans="1:9" ht="14.25">
      <c r="A18" s="1387" t="s">
        <v>2254</v>
      </c>
      <c r="B18" s="1381" t="s">
        <v>2260</v>
      </c>
      <c r="C18" s="71"/>
      <c r="D18" s="71"/>
      <c r="E18" s="1383"/>
      <c r="F18" s="1393"/>
      <c r="I18" s="843" t="s">
        <v>2338</v>
      </c>
    </row>
    <row r="19" spans="1:9" ht="14.25">
      <c r="A19" s="1387" t="s">
        <v>2255</v>
      </c>
      <c r="B19" s="1381" t="s">
        <v>2260</v>
      </c>
      <c r="C19" s="71">
        <v>222</v>
      </c>
      <c r="D19" s="71">
        <v>235</v>
      </c>
      <c r="E19" s="1383">
        <f>C19/D19</f>
        <v>0.94468085106382982</v>
      </c>
      <c r="F19" s="1388">
        <f>IF(E19&gt;=0.9,2,IF(E19&gt;=0.8,1,0))</f>
        <v>2</v>
      </c>
      <c r="I19" s="843" t="s">
        <v>2339</v>
      </c>
    </row>
    <row r="20" spans="1:9" ht="14.25">
      <c r="A20" s="1387" t="s">
        <v>2256</v>
      </c>
      <c r="B20" s="1381" t="s">
        <v>2260</v>
      </c>
      <c r="C20" s="71"/>
      <c r="D20" s="71"/>
      <c r="E20" s="1383"/>
      <c r="F20" s="1393"/>
    </row>
    <row r="21" spans="1:9" ht="15" thickBot="1">
      <c r="A21" s="1389" t="s">
        <v>2257</v>
      </c>
      <c r="B21" s="1390" t="s">
        <v>2260</v>
      </c>
      <c r="C21" s="1097">
        <v>3</v>
      </c>
      <c r="D21" s="1097">
        <v>5</v>
      </c>
      <c r="E21" s="1391">
        <f t="shared" ref="E21:E32" si="2">C21/D21</f>
        <v>0.6</v>
      </c>
      <c r="F21" s="1392">
        <f t="shared" ref="F21:F32" si="3">IF(E21&gt;=0.9,2,IF(E21&gt;=0.8,1,0))</f>
        <v>0</v>
      </c>
    </row>
    <row r="22" spans="1:9" ht="14.25">
      <c r="A22" s="1384" t="s">
        <v>2252</v>
      </c>
      <c r="B22" s="1385" t="s">
        <v>2261</v>
      </c>
      <c r="C22" s="1094">
        <v>2745</v>
      </c>
      <c r="D22" s="1094">
        <v>2817</v>
      </c>
      <c r="E22" s="1386">
        <f t="shared" si="2"/>
        <v>0.9744408945686901</v>
      </c>
      <c r="F22" s="1374">
        <f t="shared" si="3"/>
        <v>2</v>
      </c>
    </row>
    <row r="23" spans="1:9" ht="14.25">
      <c r="A23" s="1387" t="s">
        <v>2254</v>
      </c>
      <c r="B23" s="1381" t="s">
        <v>2261</v>
      </c>
      <c r="C23" s="71">
        <v>0</v>
      </c>
      <c r="D23" s="71">
        <v>0</v>
      </c>
      <c r="E23" s="1383"/>
      <c r="F23" s="1393"/>
    </row>
    <row r="24" spans="1:9" ht="14.25">
      <c r="A24" s="1387" t="s">
        <v>2255</v>
      </c>
      <c r="B24" s="1381" t="s">
        <v>2261</v>
      </c>
      <c r="C24" s="71">
        <v>4</v>
      </c>
      <c r="D24" s="71">
        <v>4</v>
      </c>
      <c r="E24" s="1383">
        <f t="shared" si="2"/>
        <v>1</v>
      </c>
      <c r="F24" s="1388">
        <f t="shared" si="3"/>
        <v>2</v>
      </c>
    </row>
    <row r="25" spans="1:9" ht="14.25">
      <c r="A25" s="1387" t="s">
        <v>2256</v>
      </c>
      <c r="B25" s="1381" t="s">
        <v>2261</v>
      </c>
      <c r="C25" s="71">
        <v>860</v>
      </c>
      <c r="D25" s="71">
        <v>929</v>
      </c>
      <c r="E25" s="1383">
        <f t="shared" si="2"/>
        <v>0.92572658772874061</v>
      </c>
      <c r="F25" s="1388">
        <f t="shared" si="3"/>
        <v>2</v>
      </c>
    </row>
    <row r="26" spans="1:9" ht="15" thickBot="1">
      <c r="A26" s="1389" t="s">
        <v>2257</v>
      </c>
      <c r="B26" s="1390" t="s">
        <v>2261</v>
      </c>
      <c r="C26" s="1097">
        <v>50</v>
      </c>
      <c r="D26" s="1097">
        <v>51</v>
      </c>
      <c r="E26" s="1391">
        <f t="shared" si="2"/>
        <v>0.98039215686274506</v>
      </c>
      <c r="F26" s="1392">
        <f t="shared" si="3"/>
        <v>2</v>
      </c>
    </row>
    <row r="27" spans="1:9" ht="14.25">
      <c r="A27" s="1384" t="s">
        <v>2252</v>
      </c>
      <c r="B27" s="1385" t="s">
        <v>2262</v>
      </c>
      <c r="C27" s="1094">
        <v>2373</v>
      </c>
      <c r="D27" s="1094">
        <v>2377</v>
      </c>
      <c r="E27" s="1386">
        <f t="shared" si="2"/>
        <v>0.99831720656289435</v>
      </c>
      <c r="F27" s="1374">
        <f t="shared" si="3"/>
        <v>2</v>
      </c>
    </row>
    <row r="28" spans="1:9" ht="14.25">
      <c r="A28" s="1387" t="s">
        <v>2254</v>
      </c>
      <c r="B28" s="1381" t="s">
        <v>2262</v>
      </c>
      <c r="C28" s="71">
        <v>17</v>
      </c>
      <c r="D28" s="71">
        <v>17</v>
      </c>
      <c r="E28" s="1383">
        <f t="shared" si="2"/>
        <v>1</v>
      </c>
      <c r="F28" s="1388">
        <f t="shared" si="3"/>
        <v>2</v>
      </c>
    </row>
    <row r="29" spans="1:9" ht="14.25">
      <c r="A29" s="1387" t="s">
        <v>2255</v>
      </c>
      <c r="B29" s="1381" t="s">
        <v>2262</v>
      </c>
      <c r="C29" s="71">
        <v>140</v>
      </c>
      <c r="D29" s="71">
        <v>141</v>
      </c>
      <c r="E29" s="1383">
        <f t="shared" si="2"/>
        <v>0.99290780141843971</v>
      </c>
      <c r="F29" s="1388">
        <f t="shared" si="3"/>
        <v>2</v>
      </c>
    </row>
    <row r="30" spans="1:9" ht="14.25">
      <c r="A30" s="1387" t="s">
        <v>2256</v>
      </c>
      <c r="B30" s="1381" t="s">
        <v>2262</v>
      </c>
      <c r="C30" s="71">
        <v>1063</v>
      </c>
      <c r="D30" s="71">
        <v>1074</v>
      </c>
      <c r="E30" s="1383">
        <f t="shared" si="2"/>
        <v>0.98975791433891991</v>
      </c>
      <c r="F30" s="1388">
        <f t="shared" si="3"/>
        <v>2</v>
      </c>
    </row>
    <row r="31" spans="1:9" ht="15" thickBot="1">
      <c r="A31" s="1389" t="s">
        <v>2257</v>
      </c>
      <c r="B31" s="1390" t="s">
        <v>2262</v>
      </c>
      <c r="C31" s="1097">
        <v>62</v>
      </c>
      <c r="D31" s="1097">
        <v>64</v>
      </c>
      <c r="E31" s="1391">
        <f t="shared" si="2"/>
        <v>0.96875</v>
      </c>
      <c r="F31" s="1392">
        <f t="shared" si="3"/>
        <v>2</v>
      </c>
    </row>
    <row r="32" spans="1:9" ht="14.25">
      <c r="A32" s="1384" t="s">
        <v>2178</v>
      </c>
      <c r="B32" s="1385" t="s">
        <v>2263</v>
      </c>
      <c r="C32" s="1094">
        <v>475</v>
      </c>
      <c r="D32" s="1094">
        <v>479</v>
      </c>
      <c r="E32" s="1386">
        <f t="shared" si="2"/>
        <v>0.99164926931106467</v>
      </c>
      <c r="F32" s="1374">
        <f t="shared" si="3"/>
        <v>2</v>
      </c>
    </row>
    <row r="33" spans="1:6" ht="14.25">
      <c r="A33" s="1387" t="s">
        <v>2179</v>
      </c>
      <c r="B33" s="1381" t="s">
        <v>2263</v>
      </c>
      <c r="C33" s="71"/>
      <c r="D33" s="71"/>
      <c r="E33" s="1383"/>
      <c r="F33" s="1393"/>
    </row>
    <row r="34" spans="1:6" ht="14.25">
      <c r="A34" s="1387" t="s">
        <v>2180</v>
      </c>
      <c r="B34" s="1381" t="s">
        <v>2263</v>
      </c>
      <c r="C34" s="71"/>
      <c r="D34" s="71"/>
      <c r="E34" s="1383"/>
      <c r="F34" s="1393"/>
    </row>
    <row r="35" spans="1:6" ht="14.25">
      <c r="A35" s="1387" t="s">
        <v>2181</v>
      </c>
      <c r="B35" s="1381" t="s">
        <v>2263</v>
      </c>
      <c r="C35" s="71"/>
      <c r="D35" s="71"/>
      <c r="E35" s="1383"/>
      <c r="F35" s="1393"/>
    </row>
    <row r="36" spans="1:6" ht="15" thickBot="1">
      <c r="A36" s="1389" t="s">
        <v>2177</v>
      </c>
      <c r="B36" s="1390" t="s">
        <v>2263</v>
      </c>
      <c r="C36" s="1097">
        <v>8</v>
      </c>
      <c r="D36" s="1097">
        <v>8</v>
      </c>
      <c r="E36" s="1391">
        <f t="shared" ref="E36:E42" si="4">C36/D36</f>
        <v>1</v>
      </c>
      <c r="F36" s="1392">
        <f t="shared" ref="F36:F42" si="5">IF(E36&gt;=0.9,2,IF(E36&gt;=0.8,1,0))</f>
        <v>2</v>
      </c>
    </row>
    <row r="37" spans="1:6" ht="14.25">
      <c r="A37" s="1384" t="s">
        <v>2252</v>
      </c>
      <c r="B37" s="1385" t="s">
        <v>2264</v>
      </c>
      <c r="C37" s="1094">
        <v>2713</v>
      </c>
      <c r="D37" s="1094">
        <v>2742</v>
      </c>
      <c r="E37" s="1386">
        <f t="shared" si="4"/>
        <v>0.98942377826404082</v>
      </c>
      <c r="F37" s="1374">
        <f t="shared" si="5"/>
        <v>2</v>
      </c>
    </row>
    <row r="38" spans="1:6" ht="14.25">
      <c r="A38" s="1387" t="s">
        <v>2254</v>
      </c>
      <c r="B38" s="1381" t="s">
        <v>2264</v>
      </c>
      <c r="C38" s="71">
        <v>2</v>
      </c>
      <c r="D38" s="71">
        <v>2</v>
      </c>
      <c r="E38" s="1383">
        <f t="shared" si="4"/>
        <v>1</v>
      </c>
      <c r="F38" s="1388">
        <f t="shared" si="5"/>
        <v>2</v>
      </c>
    </row>
    <row r="39" spans="1:6" ht="14.25">
      <c r="A39" s="1387" t="s">
        <v>2255</v>
      </c>
      <c r="B39" s="1381" t="s">
        <v>2264</v>
      </c>
      <c r="C39" s="71">
        <v>277</v>
      </c>
      <c r="D39" s="71">
        <v>283</v>
      </c>
      <c r="E39" s="1383">
        <f t="shared" si="4"/>
        <v>0.97879858657243812</v>
      </c>
      <c r="F39" s="1388">
        <f t="shared" si="5"/>
        <v>2</v>
      </c>
    </row>
    <row r="40" spans="1:6" ht="14.25">
      <c r="A40" s="1387" t="s">
        <v>2256</v>
      </c>
      <c r="B40" s="1381" t="s">
        <v>2264</v>
      </c>
      <c r="C40" s="71">
        <v>1057</v>
      </c>
      <c r="D40" s="71">
        <v>1064</v>
      </c>
      <c r="E40" s="1383">
        <f t="shared" si="4"/>
        <v>0.99342105263157898</v>
      </c>
      <c r="F40" s="1388">
        <f t="shared" si="5"/>
        <v>2</v>
      </c>
    </row>
    <row r="41" spans="1:6" ht="15" thickBot="1">
      <c r="A41" s="1389" t="s">
        <v>2257</v>
      </c>
      <c r="B41" s="1390" t="s">
        <v>2264</v>
      </c>
      <c r="C41" s="1097">
        <v>18</v>
      </c>
      <c r="D41" s="1097">
        <v>19</v>
      </c>
      <c r="E41" s="1391">
        <f t="shared" si="4"/>
        <v>0.94736842105263153</v>
      </c>
      <c r="F41" s="1392">
        <f t="shared" si="5"/>
        <v>2</v>
      </c>
    </row>
    <row r="42" spans="1:6" ht="14.25">
      <c r="A42" s="1384" t="s">
        <v>2252</v>
      </c>
      <c r="B42" s="1385" t="s">
        <v>2265</v>
      </c>
      <c r="C42" s="1094">
        <v>590</v>
      </c>
      <c r="D42" s="1094">
        <v>623</v>
      </c>
      <c r="E42" s="1386">
        <f t="shared" si="4"/>
        <v>0.9470304975922953</v>
      </c>
      <c r="F42" s="1374">
        <f t="shared" si="5"/>
        <v>2</v>
      </c>
    </row>
    <row r="43" spans="1:6" ht="14.25">
      <c r="A43" s="1387" t="s">
        <v>2254</v>
      </c>
      <c r="B43" s="1394" t="s">
        <v>2265</v>
      </c>
      <c r="C43" s="71"/>
      <c r="D43" s="71"/>
      <c r="E43" s="1383"/>
      <c r="F43" s="1393"/>
    </row>
    <row r="44" spans="1:6" ht="14.25">
      <c r="A44" s="1387" t="s">
        <v>2255</v>
      </c>
      <c r="B44" s="1394" t="s">
        <v>2265</v>
      </c>
      <c r="C44" s="71"/>
      <c r="D44" s="71"/>
      <c r="E44" s="1383"/>
      <c r="F44" s="1393"/>
    </row>
    <row r="45" spans="1:6" ht="14.25">
      <c r="A45" s="1387" t="s">
        <v>2256</v>
      </c>
      <c r="B45" s="1394" t="s">
        <v>2265</v>
      </c>
      <c r="C45" s="71">
        <v>109</v>
      </c>
      <c r="D45" s="71">
        <v>116</v>
      </c>
      <c r="E45" s="1383">
        <f t="shared" ref="E45:E51" si="6">C45/D45</f>
        <v>0.93965517241379315</v>
      </c>
      <c r="F45" s="1388">
        <f t="shared" ref="F45:F51" si="7">IF(E45&gt;=0.9,2,IF(E45&gt;=0.8,1,0))</f>
        <v>2</v>
      </c>
    </row>
    <row r="46" spans="1:6" ht="15" thickBot="1">
      <c r="A46" s="1389" t="s">
        <v>2257</v>
      </c>
      <c r="B46" s="1395" t="s">
        <v>2265</v>
      </c>
      <c r="C46" s="1097">
        <v>4</v>
      </c>
      <c r="D46" s="1097">
        <v>4</v>
      </c>
      <c r="E46" s="1391">
        <f t="shared" si="6"/>
        <v>1</v>
      </c>
      <c r="F46" s="1392">
        <f t="shared" si="7"/>
        <v>2</v>
      </c>
    </row>
    <row r="47" spans="1:6" ht="14.25">
      <c r="A47" s="1384" t="s">
        <v>2178</v>
      </c>
      <c r="B47" s="1385" t="s">
        <v>2266</v>
      </c>
      <c r="C47" s="1094">
        <v>1164</v>
      </c>
      <c r="D47" s="1094">
        <v>1171</v>
      </c>
      <c r="E47" s="1386">
        <f t="shared" si="6"/>
        <v>0.99402220324508972</v>
      </c>
      <c r="F47" s="1374">
        <f t="shared" si="7"/>
        <v>2</v>
      </c>
    </row>
    <row r="48" spans="1:6" ht="14.25">
      <c r="A48" s="1387" t="s">
        <v>2179</v>
      </c>
      <c r="B48" s="1381" t="s">
        <v>2266</v>
      </c>
      <c r="C48" s="71">
        <v>1</v>
      </c>
      <c r="D48" s="71">
        <v>1</v>
      </c>
      <c r="E48" s="1383">
        <f t="shared" si="6"/>
        <v>1</v>
      </c>
      <c r="F48" s="1388">
        <f t="shared" si="7"/>
        <v>2</v>
      </c>
    </row>
    <row r="49" spans="1:6" ht="14.25">
      <c r="A49" s="1387" t="s">
        <v>2180</v>
      </c>
      <c r="B49" s="1381" t="s">
        <v>2266</v>
      </c>
      <c r="C49" s="71">
        <v>2</v>
      </c>
      <c r="D49" s="71">
        <v>2</v>
      </c>
      <c r="E49" s="1383">
        <f t="shared" si="6"/>
        <v>1</v>
      </c>
      <c r="F49" s="1388">
        <f t="shared" si="7"/>
        <v>2</v>
      </c>
    </row>
    <row r="50" spans="1:6" ht="14.25">
      <c r="A50" s="1387" t="s">
        <v>2181</v>
      </c>
      <c r="B50" s="1381" t="s">
        <v>2266</v>
      </c>
      <c r="C50" s="71">
        <v>287</v>
      </c>
      <c r="D50" s="71">
        <v>298</v>
      </c>
      <c r="E50" s="1383">
        <f t="shared" si="6"/>
        <v>0.96308724832214765</v>
      </c>
      <c r="F50" s="1388">
        <f t="shared" si="7"/>
        <v>2</v>
      </c>
    </row>
    <row r="51" spans="1:6" ht="15" thickBot="1">
      <c r="A51" s="1389" t="s">
        <v>2177</v>
      </c>
      <c r="B51" s="1390" t="s">
        <v>2266</v>
      </c>
      <c r="C51" s="1097">
        <v>9</v>
      </c>
      <c r="D51" s="1097">
        <v>9</v>
      </c>
      <c r="E51" s="1391">
        <f t="shared" si="6"/>
        <v>1</v>
      </c>
      <c r="F51" s="1392">
        <f t="shared" si="7"/>
        <v>2</v>
      </c>
    </row>
    <row r="52" spans="1:6">
      <c r="F52" s="1234"/>
    </row>
    <row r="53" spans="1:6">
      <c r="F53" s="1234"/>
    </row>
    <row r="54" spans="1:6">
      <c r="F54" s="1234"/>
    </row>
    <row r="55" spans="1:6">
      <c r="F55" s="1234"/>
    </row>
  </sheetData>
  <mergeCells count="1">
    <mergeCell ref="I1:K1"/>
  </mergeCells>
  <phoneticPr fontId="3" type="noConversion"/>
  <conditionalFormatting sqref="F2:F9 F11:F12 F15:F17 F19 F21:F22 F24:F32 F36:F42 F45:F51">
    <cfRule type="cellIs" dxfId="409" priority="1" operator="lessThan">
      <formula>2</formula>
    </cfRule>
  </conditionalFormatting>
  <hyperlinks>
    <hyperlink ref="I17" location="'总公司绩效-II'!A1" display="总公司绩效-II"/>
    <hyperlink ref="I18" location="目录!A1" display="目录"/>
    <hyperlink ref="I19" location="'OR04-分公司销售、承保、保全'!A1" display="OR0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I85"/>
  <sheetViews>
    <sheetView workbookViewId="0">
      <pane xSplit="8" ySplit="3" topLeftCell="I31" activePane="bottomRight" state="frozenSplit"/>
      <selection activeCell="C1" sqref="C1"/>
      <selection pane="topRight" activeCell="T1" sqref="T1"/>
      <selection pane="bottomLeft" activeCell="C15" sqref="C15"/>
      <selection pane="bottomRight" activeCell="H36" sqref="H36"/>
    </sheetView>
  </sheetViews>
  <sheetFormatPr defaultColWidth="8.875" defaultRowHeight="16.5" outlineLevelCol="1"/>
  <cols>
    <col min="1" max="1" width="20.75" style="1" hidden="1" customWidth="1" outlineLevel="1"/>
    <col min="2" max="2" width="20.75" style="312" hidden="1" customWidth="1" outlineLevel="1"/>
    <col min="3" max="3" width="4.625" style="8" customWidth="1" collapsed="1"/>
    <col min="4" max="4" width="29.75" style="1" customWidth="1"/>
    <col min="5" max="5" width="13.125" style="478" customWidth="1"/>
    <col min="6" max="6" width="11.5" style="31" customWidth="1" outlineLevel="1"/>
    <col min="7" max="7" width="10.5" style="1" customWidth="1" outlineLevel="1"/>
    <col min="8" max="8" width="9" style="1" customWidth="1"/>
    <col min="9" max="9" width="10.75" style="1" customWidth="1" outlineLevel="1"/>
    <col min="10" max="10" width="12.5" style="1" customWidth="1" outlineLevel="1"/>
    <col min="11" max="11" width="9.75" style="1" customWidth="1" outlineLevel="1"/>
    <col min="12" max="12" width="13.375" style="452" customWidth="1"/>
    <col min="13" max="13" width="13.875" style="452" customWidth="1"/>
    <col min="14" max="14" width="13.125" style="27" customWidth="1"/>
    <col min="15" max="15" width="9.375" style="27" customWidth="1"/>
    <col min="16" max="16" width="9.5" style="1" customWidth="1"/>
    <col min="17" max="17" width="10" style="1" customWidth="1"/>
    <col min="18" max="19" width="9" style="1" customWidth="1"/>
    <col min="20" max="20" width="8.625" style="1" customWidth="1"/>
    <col min="21" max="21" width="10.25" style="1" customWidth="1"/>
    <col min="22" max="22" width="10.375" style="1" customWidth="1"/>
    <col min="23" max="24" width="9" style="1" customWidth="1"/>
    <col min="25" max="25" width="8.375" style="670" customWidth="1" outlineLevel="1"/>
    <col min="26" max="34" width="8.875" style="670" customWidth="1" outlineLevel="1"/>
    <col min="35" max="35" width="17.25" style="1" customWidth="1"/>
    <col min="36" max="16384" width="8.875" style="1"/>
  </cols>
  <sheetData>
    <row r="1" spans="1:34">
      <c r="A1" s="162"/>
      <c r="B1" s="363"/>
      <c r="C1" s="160" t="s">
        <v>148</v>
      </c>
      <c r="D1" s="161"/>
      <c r="E1" s="126"/>
      <c r="F1" s="162"/>
      <c r="L1" s="447"/>
      <c r="M1" s="447"/>
      <c r="N1" s="47"/>
      <c r="O1" s="47"/>
    </row>
    <row r="2" spans="1:34">
      <c r="A2" s="763"/>
      <c r="B2" s="764"/>
      <c r="C2" s="37"/>
      <c r="D2" s="37"/>
      <c r="E2" s="126"/>
      <c r="F2" s="37"/>
      <c r="L2" s="447"/>
      <c r="M2" s="447"/>
      <c r="N2" s="47"/>
      <c r="O2" s="47"/>
      <c r="Q2" s="308" t="s">
        <v>1945</v>
      </c>
      <c r="Z2" s="670" t="s">
        <v>1612</v>
      </c>
    </row>
    <row r="3" spans="1:34" s="2" customFormat="1" ht="15">
      <c r="A3" s="67" t="s">
        <v>470</v>
      </c>
      <c r="B3" s="67" t="s">
        <v>471</v>
      </c>
      <c r="C3" s="757" t="s">
        <v>233</v>
      </c>
      <c r="D3" s="15" t="s">
        <v>227</v>
      </c>
      <c r="E3" s="15" t="s">
        <v>1797</v>
      </c>
      <c r="F3" s="15" t="s">
        <v>1798</v>
      </c>
      <c r="G3" s="15" t="s">
        <v>1837</v>
      </c>
      <c r="H3" s="15" t="s">
        <v>1834</v>
      </c>
      <c r="I3" s="15"/>
      <c r="J3" s="15"/>
      <c r="K3" s="15"/>
      <c r="L3" s="15" t="s">
        <v>1835</v>
      </c>
      <c r="M3" s="15" t="s">
        <v>1759</v>
      </c>
      <c r="N3" s="707" t="s">
        <v>2347</v>
      </c>
      <c r="O3" s="15" t="s">
        <v>1836</v>
      </c>
      <c r="P3" s="707" t="s">
        <v>2349</v>
      </c>
      <c r="Q3" s="15" t="s">
        <v>1826</v>
      </c>
      <c r="R3" s="752" t="s">
        <v>1190</v>
      </c>
      <c r="S3" s="751" t="s">
        <v>1838</v>
      </c>
      <c r="T3" s="751" t="s">
        <v>1889</v>
      </c>
      <c r="U3" s="751" t="s">
        <v>1890</v>
      </c>
      <c r="V3" s="751" t="s">
        <v>1891</v>
      </c>
      <c r="Y3" s="572"/>
      <c r="Z3" s="572" t="s">
        <v>1624</v>
      </c>
      <c r="AA3" s="572" t="s">
        <v>1620</v>
      </c>
      <c r="AB3" s="572" t="s">
        <v>1625</v>
      </c>
      <c r="AC3" s="572" t="s">
        <v>1626</v>
      </c>
      <c r="AD3" s="572" t="s">
        <v>1585</v>
      </c>
      <c r="AE3" s="572" t="s">
        <v>1586</v>
      </c>
      <c r="AF3" s="572" t="s">
        <v>1649</v>
      </c>
      <c r="AG3" s="572" t="s">
        <v>1650</v>
      </c>
      <c r="AH3" s="572"/>
    </row>
    <row r="4" spans="1:34" s="2" customFormat="1" ht="15.6" customHeight="1">
      <c r="A4" s="749" t="s">
        <v>387</v>
      </c>
      <c r="B4" s="1028" t="s">
        <v>2172</v>
      </c>
      <c r="C4" s="758">
        <v>1</v>
      </c>
      <c r="D4" s="1009" t="s">
        <v>2024</v>
      </c>
      <c r="E4" s="473" t="s">
        <v>256</v>
      </c>
      <c r="F4" s="102" t="s">
        <v>479</v>
      </c>
      <c r="G4" s="5" t="s">
        <v>284</v>
      </c>
      <c r="H4" s="200">
        <v>6</v>
      </c>
      <c r="I4" s="5" t="s">
        <v>149</v>
      </c>
      <c r="J4" s="5" t="s">
        <v>150</v>
      </c>
      <c r="K4" s="5" t="s">
        <v>151</v>
      </c>
      <c r="L4" s="49" t="s">
        <v>149</v>
      </c>
      <c r="M4" s="62" t="s">
        <v>2031</v>
      </c>
      <c r="N4" s="62" t="s">
        <v>2031</v>
      </c>
      <c r="O4" s="290">
        <f>IF((N4=M4)=TRUE,0,1)</f>
        <v>0</v>
      </c>
      <c r="P4" s="747">
        <v>0</v>
      </c>
      <c r="Q4" s="747">
        <v>0</v>
      </c>
      <c r="R4" s="1012">
        <f t="shared" ref="R4:R40" si="0">P4-Q4</f>
        <v>0</v>
      </c>
      <c r="S4" s="542">
        <f t="shared" ref="S4:S40" si="1">H4-P4</f>
        <v>6</v>
      </c>
      <c r="T4" s="542">
        <f>S4*0.6</f>
        <v>3.5999999999999996</v>
      </c>
      <c r="U4" s="542">
        <f>T4/9</f>
        <v>0.39999999999999997</v>
      </c>
      <c r="V4" s="542">
        <f>U4/2</f>
        <v>0.19999999999999998</v>
      </c>
      <c r="W4" s="2" t="b">
        <f t="shared" ref="W4:W40" si="2">Q4=P4</f>
        <v>1</v>
      </c>
      <c r="Y4" s="572"/>
      <c r="Z4" s="570">
        <v>0.5</v>
      </c>
      <c r="AA4" s="570">
        <f t="shared" ref="AA4:AA41" si="3">$P4</f>
        <v>0</v>
      </c>
      <c r="AB4" s="570">
        <v>0.5</v>
      </c>
      <c r="AC4" s="570">
        <f t="shared" ref="AC4:AC41" si="4">$P4</f>
        <v>0</v>
      </c>
      <c r="AD4" s="570">
        <v>0</v>
      </c>
      <c r="AE4" s="570"/>
      <c r="AF4" s="570"/>
      <c r="AG4" s="570"/>
      <c r="AH4" s="676">
        <f t="shared" ref="AH4:AH41" si="5">SUM(AD4,AB4,Z4)</f>
        <v>1</v>
      </c>
    </row>
    <row r="5" spans="1:34" s="2" customFormat="1" ht="15.6" customHeight="1">
      <c r="A5" s="749"/>
      <c r="B5" s="744"/>
      <c r="C5" s="758">
        <v>2</v>
      </c>
      <c r="D5" s="23" t="s">
        <v>2171</v>
      </c>
      <c r="E5" s="473" t="s">
        <v>256</v>
      </c>
      <c r="F5" s="102" t="s">
        <v>479</v>
      </c>
      <c r="G5" s="5" t="s">
        <v>284</v>
      </c>
      <c r="H5" s="385"/>
      <c r="I5" s="5"/>
      <c r="J5" s="5"/>
      <c r="K5" s="5"/>
      <c r="L5" s="448" t="s">
        <v>723</v>
      </c>
      <c r="M5" s="1319" t="s">
        <v>274</v>
      </c>
      <c r="N5" s="386" t="s">
        <v>274</v>
      </c>
      <c r="O5" s="290">
        <f>IF((N5=M5)=TRUE,0,1)</f>
        <v>0</v>
      </c>
      <c r="P5" s="747"/>
      <c r="Q5" s="747"/>
      <c r="R5" s="502">
        <f t="shared" si="0"/>
        <v>0</v>
      </c>
      <c r="S5" s="542">
        <f t="shared" si="1"/>
        <v>0</v>
      </c>
      <c r="T5" s="542">
        <f t="shared" ref="T5:T44" si="6">S5*0.6</f>
        <v>0</v>
      </c>
      <c r="U5" s="542">
        <f t="shared" ref="U5:U44" si="7">T5/9</f>
        <v>0</v>
      </c>
      <c r="V5" s="542">
        <f t="shared" ref="V5:V44" si="8">U5/2</f>
        <v>0</v>
      </c>
      <c r="W5" s="2" t="b">
        <f t="shared" si="2"/>
        <v>1</v>
      </c>
      <c r="Y5" s="572"/>
      <c r="Z5" s="570">
        <v>0</v>
      </c>
      <c r="AA5" s="570">
        <f t="shared" si="3"/>
        <v>0</v>
      </c>
      <c r="AB5" s="570">
        <v>1</v>
      </c>
      <c r="AC5" s="570">
        <f t="shared" si="4"/>
        <v>0</v>
      </c>
      <c r="AD5" s="570">
        <v>0</v>
      </c>
      <c r="AE5" s="570"/>
      <c r="AF5" s="570"/>
      <c r="AG5" s="570"/>
      <c r="AH5" s="676">
        <f t="shared" si="5"/>
        <v>1</v>
      </c>
    </row>
    <row r="6" spans="1:34" s="2" customFormat="1" ht="15.6" customHeight="1">
      <c r="A6" s="749" t="s">
        <v>388</v>
      </c>
      <c r="B6" s="744" t="s">
        <v>1164</v>
      </c>
      <c r="C6" s="758">
        <v>3</v>
      </c>
      <c r="D6" s="23" t="s">
        <v>236</v>
      </c>
      <c r="E6" s="473" t="s">
        <v>256</v>
      </c>
      <c r="F6" s="102" t="s">
        <v>479</v>
      </c>
      <c r="G6" s="5" t="s">
        <v>284</v>
      </c>
      <c r="H6" s="200">
        <v>4</v>
      </c>
      <c r="I6" s="5"/>
      <c r="J6" s="5"/>
      <c r="K6" s="5"/>
      <c r="L6" s="448"/>
      <c r="M6" s="1319">
        <v>30</v>
      </c>
      <c r="N6" s="386">
        <v>33</v>
      </c>
      <c r="O6" s="290">
        <f t="shared" ref="O6:O13" si="9">IF(AND(M6=0,N6&lt;&gt;0),1,IF(AND(M6=0,N6=0),0,N6/M6-1))</f>
        <v>0.10000000000000009</v>
      </c>
      <c r="P6" s="747">
        <v>4</v>
      </c>
      <c r="Q6" s="747">
        <v>4</v>
      </c>
      <c r="R6" s="502">
        <f t="shared" si="0"/>
        <v>0</v>
      </c>
      <c r="S6" s="542">
        <f t="shared" si="1"/>
        <v>0</v>
      </c>
      <c r="T6" s="542">
        <f t="shared" si="6"/>
        <v>0</v>
      </c>
      <c r="U6" s="542">
        <f t="shared" si="7"/>
        <v>0</v>
      </c>
      <c r="V6" s="542">
        <f t="shared" si="8"/>
        <v>0</v>
      </c>
      <c r="W6" s="2" t="b">
        <f t="shared" si="2"/>
        <v>1</v>
      </c>
      <c r="Y6" s="572"/>
      <c r="Z6" s="570">
        <v>1</v>
      </c>
      <c r="AA6" s="570">
        <f t="shared" si="3"/>
        <v>4</v>
      </c>
      <c r="AB6" s="570">
        <v>1</v>
      </c>
      <c r="AC6" s="570">
        <f t="shared" si="4"/>
        <v>4</v>
      </c>
      <c r="AD6" s="570">
        <v>0</v>
      </c>
      <c r="AE6" s="570"/>
      <c r="AF6" s="570"/>
      <c r="AG6" s="570"/>
      <c r="AH6" s="676">
        <f t="shared" si="5"/>
        <v>2</v>
      </c>
    </row>
    <row r="7" spans="1:34" s="2" customFormat="1" ht="15.6" customHeight="1">
      <c r="A7" s="1980" t="s">
        <v>389</v>
      </c>
      <c r="B7" s="1855" t="s">
        <v>2045</v>
      </c>
      <c r="C7" s="758">
        <v>4</v>
      </c>
      <c r="D7" s="1315" t="s">
        <v>2044</v>
      </c>
      <c r="E7" s="475"/>
      <c r="F7" s="390" t="s">
        <v>478</v>
      </c>
      <c r="G7" s="5" t="s">
        <v>284</v>
      </c>
      <c r="H7" s="388">
        <v>2</v>
      </c>
      <c r="I7" s="5"/>
      <c r="J7" s="5"/>
      <c r="K7" s="5"/>
      <c r="L7" s="448"/>
      <c r="M7" s="129">
        <f>M8/(M9+M10)</f>
        <v>0.1891891891891892</v>
      </c>
      <c r="N7" s="129">
        <f>N8/(N9+N10)</f>
        <v>0.10810810810810811</v>
      </c>
      <c r="O7" s="290">
        <f t="shared" si="9"/>
        <v>-0.4285714285714286</v>
      </c>
      <c r="P7" s="747">
        <f>IF(N7&lt;=0.2,2,0)</f>
        <v>2</v>
      </c>
      <c r="Q7" s="747">
        <f>IF(M7&lt;=0.2,2,0)</f>
        <v>2</v>
      </c>
      <c r="R7" s="502">
        <f t="shared" si="0"/>
        <v>0</v>
      </c>
      <c r="S7" s="542">
        <f t="shared" si="1"/>
        <v>0</v>
      </c>
      <c r="T7" s="542">
        <f t="shared" si="6"/>
        <v>0</v>
      </c>
      <c r="U7" s="542">
        <f t="shared" si="7"/>
        <v>0</v>
      </c>
      <c r="V7" s="542">
        <f t="shared" si="8"/>
        <v>0</v>
      </c>
      <c r="W7" s="2" t="b">
        <f t="shared" si="2"/>
        <v>1</v>
      </c>
      <c r="Y7" s="572"/>
      <c r="Z7" s="570">
        <v>1</v>
      </c>
      <c r="AA7" s="570">
        <f t="shared" si="3"/>
        <v>2</v>
      </c>
      <c r="AB7" s="570">
        <v>1</v>
      </c>
      <c r="AC7" s="570">
        <f t="shared" si="4"/>
        <v>2</v>
      </c>
      <c r="AD7" s="570">
        <v>0</v>
      </c>
      <c r="AE7" s="570"/>
      <c r="AF7" s="570"/>
      <c r="AG7" s="570"/>
      <c r="AH7" s="676">
        <f t="shared" si="5"/>
        <v>2</v>
      </c>
    </row>
    <row r="8" spans="1:34" s="2" customFormat="1" ht="15.6" customHeight="1">
      <c r="A8" s="1980"/>
      <c r="B8" s="1855"/>
      <c r="C8" s="759">
        <v>4.0999999999999996</v>
      </c>
      <c r="D8" s="17" t="s">
        <v>152</v>
      </c>
      <c r="E8" s="473" t="s">
        <v>256</v>
      </c>
      <c r="F8" s="104"/>
      <c r="G8" s="5"/>
      <c r="H8" s="51"/>
      <c r="I8" s="5"/>
      <c r="J8" s="5"/>
      <c r="K8" s="5"/>
      <c r="L8" s="448" t="s">
        <v>723</v>
      </c>
      <c r="M8" s="1319">
        <v>7</v>
      </c>
      <c r="N8" s="57">
        <v>4</v>
      </c>
      <c r="O8" s="290">
        <f t="shared" si="9"/>
        <v>-0.4285714285714286</v>
      </c>
      <c r="P8" s="747"/>
      <c r="Q8" s="747"/>
      <c r="R8" s="502">
        <f t="shared" si="0"/>
        <v>0</v>
      </c>
      <c r="S8" s="542">
        <f t="shared" si="1"/>
        <v>0</v>
      </c>
      <c r="T8" s="542">
        <f t="shared" si="6"/>
        <v>0</v>
      </c>
      <c r="U8" s="542">
        <f t="shared" si="7"/>
        <v>0</v>
      </c>
      <c r="V8" s="542">
        <f t="shared" si="8"/>
        <v>0</v>
      </c>
      <c r="W8" s="2" t="b">
        <f t="shared" si="2"/>
        <v>1</v>
      </c>
      <c r="Y8" s="572"/>
      <c r="Z8" s="570"/>
      <c r="AA8" s="570">
        <f t="shared" si="3"/>
        <v>0</v>
      </c>
      <c r="AB8" s="570"/>
      <c r="AC8" s="570">
        <f t="shared" si="4"/>
        <v>0</v>
      </c>
      <c r="AD8" s="570">
        <v>0</v>
      </c>
      <c r="AE8" s="570"/>
      <c r="AF8" s="570"/>
      <c r="AG8" s="570"/>
      <c r="AH8" s="676">
        <f t="shared" si="5"/>
        <v>0</v>
      </c>
    </row>
    <row r="9" spans="1:34" s="2" customFormat="1" ht="15.6" customHeight="1">
      <c r="A9" s="1980"/>
      <c r="B9" s="1855"/>
      <c r="C9" s="759">
        <v>4.2</v>
      </c>
      <c r="D9" s="17" t="s">
        <v>153</v>
      </c>
      <c r="E9" s="473" t="s">
        <v>256</v>
      </c>
      <c r="F9" s="104"/>
      <c r="G9" s="5"/>
      <c r="H9" s="51"/>
      <c r="I9" s="5"/>
      <c r="J9" s="5"/>
      <c r="K9" s="5"/>
      <c r="L9" s="448" t="s">
        <v>723</v>
      </c>
      <c r="M9" s="1319">
        <v>28</v>
      </c>
      <c r="N9" s="57">
        <v>28</v>
      </c>
      <c r="O9" s="290">
        <f t="shared" si="9"/>
        <v>0</v>
      </c>
      <c r="P9" s="747"/>
      <c r="Q9" s="747"/>
      <c r="R9" s="502">
        <f t="shared" si="0"/>
        <v>0</v>
      </c>
      <c r="S9" s="542">
        <f t="shared" si="1"/>
        <v>0</v>
      </c>
      <c r="T9" s="542">
        <f t="shared" si="6"/>
        <v>0</v>
      </c>
      <c r="U9" s="542">
        <f t="shared" si="7"/>
        <v>0</v>
      </c>
      <c r="V9" s="542">
        <f t="shared" si="8"/>
        <v>0</v>
      </c>
      <c r="W9" s="2" t="b">
        <f t="shared" si="2"/>
        <v>1</v>
      </c>
      <c r="Y9" s="572"/>
      <c r="Z9" s="570"/>
      <c r="AA9" s="570">
        <f t="shared" si="3"/>
        <v>0</v>
      </c>
      <c r="AB9" s="570"/>
      <c r="AC9" s="570">
        <f t="shared" si="4"/>
        <v>0</v>
      </c>
      <c r="AD9" s="570">
        <v>0</v>
      </c>
      <c r="AE9" s="570"/>
      <c r="AF9" s="570"/>
      <c r="AG9" s="570"/>
      <c r="AH9" s="676">
        <f t="shared" si="5"/>
        <v>0</v>
      </c>
    </row>
    <row r="10" spans="1:34" s="2" customFormat="1" ht="15.6" customHeight="1">
      <c r="A10" s="1980"/>
      <c r="B10" s="1855"/>
      <c r="C10" s="759">
        <v>4.3</v>
      </c>
      <c r="D10" s="17" t="s">
        <v>154</v>
      </c>
      <c r="E10" s="473" t="s">
        <v>256</v>
      </c>
      <c r="F10" s="391"/>
      <c r="G10" s="5"/>
      <c r="H10" s="51"/>
      <c r="I10" s="5"/>
      <c r="J10" s="5"/>
      <c r="K10" s="5"/>
      <c r="L10" s="448" t="s">
        <v>723</v>
      </c>
      <c r="M10" s="1319">
        <v>9</v>
      </c>
      <c r="N10" s="57">
        <v>9</v>
      </c>
      <c r="O10" s="290">
        <f t="shared" si="9"/>
        <v>0</v>
      </c>
      <c r="P10" s="747"/>
      <c r="Q10" s="747"/>
      <c r="R10" s="502">
        <f t="shared" si="0"/>
        <v>0</v>
      </c>
      <c r="S10" s="542">
        <f t="shared" si="1"/>
        <v>0</v>
      </c>
      <c r="T10" s="542">
        <f t="shared" si="6"/>
        <v>0</v>
      </c>
      <c r="U10" s="542">
        <f t="shared" si="7"/>
        <v>0</v>
      </c>
      <c r="V10" s="542">
        <f t="shared" si="8"/>
        <v>0</v>
      </c>
      <c r="W10" s="2" t="b">
        <f t="shared" si="2"/>
        <v>1</v>
      </c>
      <c r="Y10" s="572"/>
      <c r="Z10" s="570"/>
      <c r="AA10" s="570">
        <f t="shared" si="3"/>
        <v>0</v>
      </c>
      <c r="AB10" s="570"/>
      <c r="AC10" s="570">
        <f t="shared" si="4"/>
        <v>0</v>
      </c>
      <c r="AD10" s="570">
        <v>0</v>
      </c>
      <c r="AE10" s="570"/>
      <c r="AF10" s="570"/>
      <c r="AG10" s="570"/>
      <c r="AH10" s="676">
        <f t="shared" si="5"/>
        <v>0</v>
      </c>
    </row>
    <row r="11" spans="1:34" s="2" customFormat="1" ht="15.6" customHeight="1">
      <c r="A11" s="749" t="s">
        <v>390</v>
      </c>
      <c r="B11" s="744" t="s">
        <v>391</v>
      </c>
      <c r="C11" s="758">
        <v>5</v>
      </c>
      <c r="D11" s="23" t="s">
        <v>2046</v>
      </c>
      <c r="E11" s="475"/>
      <c r="F11" s="390" t="s">
        <v>478</v>
      </c>
      <c r="G11" s="5" t="s">
        <v>284</v>
      </c>
      <c r="H11" s="388">
        <v>4</v>
      </c>
      <c r="I11" s="5"/>
      <c r="J11" s="5"/>
      <c r="K11" s="5"/>
      <c r="L11" s="448"/>
      <c r="M11" s="64">
        <f>M12/M13</f>
        <v>15.033333333333333</v>
      </c>
      <c r="N11" s="64">
        <f>N12/N13</f>
        <v>16.030303030303031</v>
      </c>
      <c r="O11" s="290">
        <f t="shared" si="9"/>
        <v>6.6317274742995425E-2</v>
      </c>
      <c r="P11" s="747">
        <f>IF(N11&gt;=2,4,0)</f>
        <v>4</v>
      </c>
      <c r="Q11" s="747">
        <f>IF(M11&gt;=2,4,0)</f>
        <v>4</v>
      </c>
      <c r="R11" s="502">
        <f t="shared" si="0"/>
        <v>0</v>
      </c>
      <c r="S11" s="542">
        <f t="shared" si="1"/>
        <v>0</v>
      </c>
      <c r="T11" s="542">
        <f t="shared" si="6"/>
        <v>0</v>
      </c>
      <c r="U11" s="542">
        <f t="shared" si="7"/>
        <v>0</v>
      </c>
      <c r="V11" s="542">
        <f t="shared" si="8"/>
        <v>0</v>
      </c>
      <c r="W11" s="2" t="b">
        <f t="shared" si="2"/>
        <v>1</v>
      </c>
      <c r="Y11" s="572"/>
      <c r="Z11" s="570">
        <v>1</v>
      </c>
      <c r="AA11" s="570">
        <f t="shared" si="3"/>
        <v>4</v>
      </c>
      <c r="AB11" s="570">
        <v>1</v>
      </c>
      <c r="AC11" s="570">
        <f t="shared" si="4"/>
        <v>4</v>
      </c>
      <c r="AD11" s="570">
        <v>0</v>
      </c>
      <c r="AE11" s="570"/>
      <c r="AF11" s="570"/>
      <c r="AG11" s="570"/>
      <c r="AH11" s="676">
        <f t="shared" si="5"/>
        <v>2</v>
      </c>
    </row>
    <row r="12" spans="1:34" s="2" customFormat="1" ht="15.6" customHeight="1">
      <c r="A12" s="749"/>
      <c r="B12" s="744"/>
      <c r="C12" s="759">
        <v>5.0999999999999996</v>
      </c>
      <c r="D12" s="17" t="s">
        <v>237</v>
      </c>
      <c r="E12" s="473" t="s">
        <v>256</v>
      </c>
      <c r="F12" s="104"/>
      <c r="G12" s="5"/>
      <c r="H12" s="385"/>
      <c r="I12" s="5"/>
      <c r="J12" s="5"/>
      <c r="K12" s="5"/>
      <c r="L12" s="448" t="s">
        <v>724</v>
      </c>
      <c r="M12" s="1319">
        <v>451</v>
      </c>
      <c r="N12" s="386">
        <v>529</v>
      </c>
      <c r="O12" s="290">
        <f t="shared" si="9"/>
        <v>0.17294900221729481</v>
      </c>
      <c r="P12" s="747"/>
      <c r="Q12" s="747"/>
      <c r="R12" s="502">
        <f t="shared" si="0"/>
        <v>0</v>
      </c>
      <c r="S12" s="542">
        <f t="shared" si="1"/>
        <v>0</v>
      </c>
      <c r="T12" s="542">
        <f t="shared" si="6"/>
        <v>0</v>
      </c>
      <c r="U12" s="542">
        <f t="shared" si="7"/>
        <v>0</v>
      </c>
      <c r="V12" s="542">
        <f t="shared" si="8"/>
        <v>0</v>
      </c>
      <c r="W12" s="2" t="b">
        <f t="shared" si="2"/>
        <v>1</v>
      </c>
      <c r="Y12" s="572"/>
      <c r="Z12" s="570"/>
      <c r="AA12" s="570">
        <f t="shared" si="3"/>
        <v>0</v>
      </c>
      <c r="AB12" s="570"/>
      <c r="AC12" s="570">
        <f t="shared" si="4"/>
        <v>0</v>
      </c>
      <c r="AD12" s="570">
        <v>0</v>
      </c>
      <c r="AE12" s="570"/>
      <c r="AF12" s="570"/>
      <c r="AG12" s="570"/>
      <c r="AH12" s="676">
        <f t="shared" si="5"/>
        <v>0</v>
      </c>
    </row>
    <row r="13" spans="1:34" s="2" customFormat="1" ht="15.6" customHeight="1">
      <c r="A13" s="749"/>
      <c r="B13" s="744"/>
      <c r="C13" s="759">
        <v>5.2</v>
      </c>
      <c r="D13" s="17" t="s">
        <v>155</v>
      </c>
      <c r="E13" s="473" t="s">
        <v>256</v>
      </c>
      <c r="F13" s="391"/>
      <c r="G13" s="5"/>
      <c r="H13" s="54"/>
      <c r="I13" s="5"/>
      <c r="J13" s="5"/>
      <c r="K13" s="5"/>
      <c r="L13" s="448" t="s">
        <v>723</v>
      </c>
      <c r="M13" s="1319">
        <v>30</v>
      </c>
      <c r="N13" s="57">
        <v>33</v>
      </c>
      <c r="O13" s="290">
        <f t="shared" si="9"/>
        <v>0.10000000000000009</v>
      </c>
      <c r="P13" s="747"/>
      <c r="Q13" s="747"/>
      <c r="R13" s="502">
        <f t="shared" si="0"/>
        <v>0</v>
      </c>
      <c r="S13" s="542">
        <f t="shared" si="1"/>
        <v>0</v>
      </c>
      <c r="T13" s="542">
        <f t="shared" si="6"/>
        <v>0</v>
      </c>
      <c r="U13" s="542">
        <f t="shared" si="7"/>
        <v>0</v>
      </c>
      <c r="V13" s="542">
        <f t="shared" si="8"/>
        <v>0</v>
      </c>
      <c r="W13" s="2" t="b">
        <f t="shared" si="2"/>
        <v>1</v>
      </c>
      <c r="Y13" s="572"/>
      <c r="Z13" s="570"/>
      <c r="AA13" s="570">
        <f t="shared" si="3"/>
        <v>0</v>
      </c>
      <c r="AB13" s="570"/>
      <c r="AC13" s="570">
        <f t="shared" si="4"/>
        <v>0</v>
      </c>
      <c r="AD13" s="570">
        <v>0</v>
      </c>
      <c r="AE13" s="570"/>
      <c r="AF13" s="570"/>
      <c r="AG13" s="570"/>
      <c r="AH13" s="676">
        <f t="shared" si="5"/>
        <v>0</v>
      </c>
    </row>
    <row r="14" spans="1:34" s="2" customFormat="1" ht="15.6" customHeight="1">
      <c r="A14" s="749" t="s">
        <v>392</v>
      </c>
      <c r="B14" s="744" t="s">
        <v>393</v>
      </c>
      <c r="C14" s="758">
        <v>6</v>
      </c>
      <c r="D14" s="20" t="s">
        <v>156</v>
      </c>
      <c r="E14" s="473" t="s">
        <v>256</v>
      </c>
      <c r="F14" s="102" t="s">
        <v>474</v>
      </c>
      <c r="G14" s="5" t="s">
        <v>284</v>
      </c>
      <c r="H14" s="388">
        <v>4</v>
      </c>
      <c r="I14" s="5" t="s">
        <v>157</v>
      </c>
      <c r="J14" s="5" t="s">
        <v>158</v>
      </c>
      <c r="K14" s="5"/>
      <c r="L14" s="49" t="s">
        <v>157</v>
      </c>
      <c r="M14" s="625" t="s">
        <v>157</v>
      </c>
      <c r="N14" s="387" t="s">
        <v>157</v>
      </c>
      <c r="O14" s="290">
        <f>IF((N14=M14)=TRUE,0,1)</f>
        <v>0</v>
      </c>
      <c r="P14" s="747">
        <v>4</v>
      </c>
      <c r="Q14" s="747">
        <v>4</v>
      </c>
      <c r="R14" s="502">
        <f t="shared" si="0"/>
        <v>0</v>
      </c>
      <c r="S14" s="542">
        <f t="shared" si="1"/>
        <v>0</v>
      </c>
      <c r="T14" s="542">
        <f t="shared" si="6"/>
        <v>0</v>
      </c>
      <c r="U14" s="542">
        <f t="shared" si="7"/>
        <v>0</v>
      </c>
      <c r="V14" s="542">
        <f t="shared" si="8"/>
        <v>0</v>
      </c>
      <c r="W14" s="2" t="b">
        <f t="shared" si="2"/>
        <v>1</v>
      </c>
      <c r="Y14" s="572"/>
      <c r="Z14" s="570">
        <v>1</v>
      </c>
      <c r="AA14" s="570">
        <f t="shared" si="3"/>
        <v>4</v>
      </c>
      <c r="AB14" s="570">
        <v>1</v>
      </c>
      <c r="AC14" s="570">
        <f t="shared" si="4"/>
        <v>4</v>
      </c>
      <c r="AD14" s="570">
        <v>0</v>
      </c>
      <c r="AE14" s="570"/>
      <c r="AF14" s="570"/>
      <c r="AG14" s="570"/>
      <c r="AH14" s="676">
        <f t="shared" si="5"/>
        <v>2</v>
      </c>
    </row>
    <row r="15" spans="1:34" s="2" customFormat="1" ht="15.6" customHeight="1">
      <c r="A15" s="749" t="s">
        <v>394</v>
      </c>
      <c r="B15" s="744" t="s">
        <v>395</v>
      </c>
      <c r="C15" s="758">
        <v>7</v>
      </c>
      <c r="D15" s="20" t="s">
        <v>69</v>
      </c>
      <c r="E15" s="473" t="s">
        <v>256</v>
      </c>
      <c r="F15" s="102" t="s">
        <v>474</v>
      </c>
      <c r="G15" s="5" t="s">
        <v>284</v>
      </c>
      <c r="H15" s="200">
        <v>5</v>
      </c>
      <c r="I15" s="5" t="s">
        <v>159</v>
      </c>
      <c r="J15" s="5" t="s">
        <v>160</v>
      </c>
      <c r="K15" s="5"/>
      <c r="L15" s="49"/>
      <c r="M15" s="625" t="s">
        <v>159</v>
      </c>
      <c r="N15" s="240" t="s">
        <v>159</v>
      </c>
      <c r="O15" s="290">
        <f>IF((N15=M15)=TRUE,0,1)</f>
        <v>0</v>
      </c>
      <c r="P15" s="747">
        <v>5</v>
      </c>
      <c r="Q15" s="747">
        <v>5</v>
      </c>
      <c r="R15" s="502">
        <f t="shared" si="0"/>
        <v>0</v>
      </c>
      <c r="S15" s="542">
        <f t="shared" si="1"/>
        <v>0</v>
      </c>
      <c r="T15" s="542">
        <f t="shared" si="6"/>
        <v>0</v>
      </c>
      <c r="U15" s="542">
        <f t="shared" si="7"/>
        <v>0</v>
      </c>
      <c r="V15" s="542">
        <f t="shared" si="8"/>
        <v>0</v>
      </c>
      <c r="W15" s="2" t="b">
        <f t="shared" si="2"/>
        <v>1</v>
      </c>
      <c r="Y15" s="572"/>
      <c r="Z15" s="570">
        <v>1</v>
      </c>
      <c r="AA15" s="570">
        <f t="shared" si="3"/>
        <v>5</v>
      </c>
      <c r="AB15" s="570">
        <v>1</v>
      </c>
      <c r="AC15" s="570">
        <f t="shared" si="4"/>
        <v>5</v>
      </c>
      <c r="AD15" s="570">
        <v>0</v>
      </c>
      <c r="AE15" s="570"/>
      <c r="AF15" s="570"/>
      <c r="AG15" s="570"/>
      <c r="AH15" s="676">
        <f t="shared" si="5"/>
        <v>2</v>
      </c>
    </row>
    <row r="16" spans="1:34" s="2" customFormat="1" ht="15.6" customHeight="1">
      <c r="A16" s="749" t="s">
        <v>396</v>
      </c>
      <c r="B16" s="744" t="s">
        <v>397</v>
      </c>
      <c r="C16" s="758">
        <v>8</v>
      </c>
      <c r="D16" s="20" t="s">
        <v>161</v>
      </c>
      <c r="E16" s="473" t="s">
        <v>256</v>
      </c>
      <c r="F16" s="102" t="s">
        <v>474</v>
      </c>
      <c r="G16" s="5" t="s">
        <v>284</v>
      </c>
      <c r="H16" s="200">
        <v>1</v>
      </c>
      <c r="I16" s="5" t="s">
        <v>162</v>
      </c>
      <c r="J16" s="5" t="s">
        <v>163</v>
      </c>
      <c r="K16" s="5"/>
      <c r="L16" s="49" t="s">
        <v>162</v>
      </c>
      <c r="M16" s="625" t="s">
        <v>162</v>
      </c>
      <c r="N16" s="240" t="s">
        <v>162</v>
      </c>
      <c r="O16" s="290">
        <f>IF((N16=M16)=TRUE,0,1)</f>
        <v>0</v>
      </c>
      <c r="P16" s="747">
        <v>1</v>
      </c>
      <c r="Q16" s="747">
        <v>1</v>
      </c>
      <c r="R16" s="502">
        <f t="shared" si="0"/>
        <v>0</v>
      </c>
      <c r="S16" s="542">
        <f t="shared" si="1"/>
        <v>0</v>
      </c>
      <c r="T16" s="542">
        <f t="shared" si="6"/>
        <v>0</v>
      </c>
      <c r="U16" s="542">
        <f t="shared" si="7"/>
        <v>0</v>
      </c>
      <c r="V16" s="542">
        <f t="shared" si="8"/>
        <v>0</v>
      </c>
      <c r="W16" s="2" t="b">
        <f t="shared" si="2"/>
        <v>1</v>
      </c>
      <c r="Y16" s="572"/>
      <c r="Z16" s="570">
        <v>0</v>
      </c>
      <c r="AA16" s="570">
        <f t="shared" si="3"/>
        <v>1</v>
      </c>
      <c r="AB16" s="570">
        <v>1</v>
      </c>
      <c r="AC16" s="570">
        <f t="shared" si="4"/>
        <v>1</v>
      </c>
      <c r="AD16" s="570">
        <v>0</v>
      </c>
      <c r="AE16" s="570"/>
      <c r="AF16" s="570"/>
      <c r="AG16" s="570"/>
      <c r="AH16" s="676">
        <f t="shared" si="5"/>
        <v>1</v>
      </c>
    </row>
    <row r="17" spans="1:34" s="2" customFormat="1" ht="15.6" customHeight="1">
      <c r="A17" s="749" t="s">
        <v>398</v>
      </c>
      <c r="B17" s="744" t="s">
        <v>399</v>
      </c>
      <c r="C17" s="758">
        <v>9</v>
      </c>
      <c r="D17" s="20" t="s">
        <v>164</v>
      </c>
      <c r="E17" s="473" t="s">
        <v>256</v>
      </c>
      <c r="F17" s="389" t="s">
        <v>545</v>
      </c>
      <c r="G17" s="5" t="s">
        <v>284</v>
      </c>
      <c r="H17" s="200">
        <v>4</v>
      </c>
      <c r="I17" s="5"/>
      <c r="J17" s="5"/>
      <c r="K17" s="5"/>
      <c r="L17" s="448"/>
      <c r="M17" s="1319">
        <v>0</v>
      </c>
      <c r="N17" s="386">
        <v>0</v>
      </c>
      <c r="O17" s="290">
        <f>IF(AND(M17=0,N17&lt;&gt;0),1,IF(AND(M17=0,N17=0),0,N17/M17-1))</f>
        <v>0</v>
      </c>
      <c r="P17" s="747">
        <f>IF(N17&lt;=2,4,0)</f>
        <v>4</v>
      </c>
      <c r="Q17" s="747">
        <f>IF(M17&lt;=2,4,0)</f>
        <v>4</v>
      </c>
      <c r="R17" s="502">
        <f t="shared" si="0"/>
        <v>0</v>
      </c>
      <c r="S17" s="542">
        <f t="shared" si="1"/>
        <v>0</v>
      </c>
      <c r="T17" s="542">
        <f t="shared" si="6"/>
        <v>0</v>
      </c>
      <c r="U17" s="542">
        <f t="shared" si="7"/>
        <v>0</v>
      </c>
      <c r="V17" s="542">
        <f t="shared" si="8"/>
        <v>0</v>
      </c>
      <c r="W17" s="2" t="b">
        <f t="shared" si="2"/>
        <v>1</v>
      </c>
      <c r="Y17" s="572"/>
      <c r="Z17" s="570">
        <v>0</v>
      </c>
      <c r="AA17" s="570">
        <f t="shared" si="3"/>
        <v>4</v>
      </c>
      <c r="AB17" s="570">
        <v>1</v>
      </c>
      <c r="AC17" s="570">
        <f t="shared" si="4"/>
        <v>4</v>
      </c>
      <c r="AD17" s="570">
        <v>0</v>
      </c>
      <c r="AE17" s="570"/>
      <c r="AF17" s="570"/>
      <c r="AG17" s="570"/>
      <c r="AH17" s="676">
        <f t="shared" si="5"/>
        <v>1</v>
      </c>
    </row>
    <row r="18" spans="1:34" s="2" customFormat="1" ht="15.6" customHeight="1">
      <c r="A18" s="749" t="s">
        <v>400</v>
      </c>
      <c r="B18" s="744" t="s">
        <v>401</v>
      </c>
      <c r="C18" s="758">
        <v>10</v>
      </c>
      <c r="D18" s="20" t="s">
        <v>165</v>
      </c>
      <c r="E18" s="473" t="s">
        <v>256</v>
      </c>
      <c r="F18" s="392" t="s">
        <v>474</v>
      </c>
      <c r="G18" s="5" t="s">
        <v>284</v>
      </c>
      <c r="H18" s="200">
        <v>1</v>
      </c>
      <c r="I18" s="5" t="s">
        <v>166</v>
      </c>
      <c r="J18" s="5" t="s">
        <v>167</v>
      </c>
      <c r="K18" s="5"/>
      <c r="L18" s="49" t="s">
        <v>166</v>
      </c>
      <c r="M18" s="1319" t="s">
        <v>166</v>
      </c>
      <c r="N18" s="57" t="s">
        <v>166</v>
      </c>
      <c r="O18" s="290">
        <f>IF((N18=M18)=TRUE,0,1)</f>
        <v>0</v>
      </c>
      <c r="P18" s="747">
        <v>1</v>
      </c>
      <c r="Q18" s="747">
        <v>1</v>
      </c>
      <c r="R18" s="502">
        <f t="shared" si="0"/>
        <v>0</v>
      </c>
      <c r="S18" s="542">
        <f t="shared" si="1"/>
        <v>0</v>
      </c>
      <c r="T18" s="542">
        <f t="shared" si="6"/>
        <v>0</v>
      </c>
      <c r="U18" s="542">
        <f t="shared" si="7"/>
        <v>0</v>
      </c>
      <c r="V18" s="542">
        <f t="shared" si="8"/>
        <v>0</v>
      </c>
      <c r="W18" s="2" t="b">
        <f t="shared" si="2"/>
        <v>1</v>
      </c>
      <c r="Y18" s="572"/>
      <c r="Z18" s="570">
        <v>1</v>
      </c>
      <c r="AA18" s="570">
        <f t="shared" si="3"/>
        <v>1</v>
      </c>
      <c r="AB18" s="570">
        <v>0</v>
      </c>
      <c r="AC18" s="570">
        <f t="shared" si="4"/>
        <v>1</v>
      </c>
      <c r="AD18" s="570">
        <v>0</v>
      </c>
      <c r="AE18" s="570"/>
      <c r="AF18" s="570"/>
      <c r="AG18" s="570"/>
      <c r="AH18" s="676">
        <f t="shared" si="5"/>
        <v>1</v>
      </c>
    </row>
    <row r="19" spans="1:34" s="2" customFormat="1" ht="15.6" customHeight="1">
      <c r="A19" s="749" t="s">
        <v>402</v>
      </c>
      <c r="B19" s="744" t="s">
        <v>403</v>
      </c>
      <c r="C19" s="758">
        <v>11</v>
      </c>
      <c r="D19" s="20" t="s">
        <v>168</v>
      </c>
      <c r="E19" s="473" t="s">
        <v>256</v>
      </c>
      <c r="F19" s="102" t="s">
        <v>477</v>
      </c>
      <c r="G19" s="5" t="s">
        <v>284</v>
      </c>
      <c r="H19" s="200">
        <v>5</v>
      </c>
      <c r="I19" s="5"/>
      <c r="J19" s="5"/>
      <c r="K19" s="5"/>
      <c r="L19" s="48" t="s">
        <v>725</v>
      </c>
      <c r="M19" s="1319">
        <v>0</v>
      </c>
      <c r="N19" s="57">
        <v>0</v>
      </c>
      <c r="O19" s="290">
        <f>IF(AND(M19=0,N19&lt;&gt;0),1,IF(AND(M19=0,N19=0),0,N19/M19-1))</f>
        <v>0</v>
      </c>
      <c r="P19" s="747">
        <v>5</v>
      </c>
      <c r="Q19" s="747">
        <v>5</v>
      </c>
      <c r="R19" s="502">
        <f t="shared" si="0"/>
        <v>0</v>
      </c>
      <c r="S19" s="542">
        <f t="shared" si="1"/>
        <v>0</v>
      </c>
      <c r="T19" s="542">
        <f t="shared" si="6"/>
        <v>0</v>
      </c>
      <c r="U19" s="542">
        <f t="shared" si="7"/>
        <v>0</v>
      </c>
      <c r="V19" s="542">
        <f t="shared" si="8"/>
        <v>0</v>
      </c>
      <c r="W19" s="2" t="b">
        <f t="shared" si="2"/>
        <v>1</v>
      </c>
      <c r="Y19" s="572"/>
      <c r="Z19" s="570">
        <v>1</v>
      </c>
      <c r="AA19" s="570">
        <f t="shared" si="3"/>
        <v>5</v>
      </c>
      <c r="AB19" s="570">
        <v>0</v>
      </c>
      <c r="AC19" s="570">
        <f t="shared" si="4"/>
        <v>5</v>
      </c>
      <c r="AD19" s="570">
        <v>0</v>
      </c>
      <c r="AE19" s="570"/>
      <c r="AF19" s="570"/>
      <c r="AG19" s="570"/>
      <c r="AH19" s="676">
        <f t="shared" si="5"/>
        <v>1</v>
      </c>
    </row>
    <row r="20" spans="1:34" s="2" customFormat="1" ht="15.6" customHeight="1">
      <c r="A20" s="749" t="s">
        <v>404</v>
      </c>
      <c r="B20" s="744" t="s">
        <v>403</v>
      </c>
      <c r="C20" s="758">
        <v>12</v>
      </c>
      <c r="D20" s="20" t="s">
        <v>169</v>
      </c>
      <c r="E20" s="474" t="s">
        <v>256</v>
      </c>
      <c r="F20" s="102" t="s">
        <v>477</v>
      </c>
      <c r="G20" s="5" t="s">
        <v>284</v>
      </c>
      <c r="H20" s="200">
        <v>5</v>
      </c>
      <c r="I20" s="5"/>
      <c r="J20" s="5"/>
      <c r="K20" s="5"/>
      <c r="L20" s="449"/>
      <c r="M20" s="1319">
        <v>0</v>
      </c>
      <c r="N20" s="57">
        <v>0</v>
      </c>
      <c r="O20" s="290">
        <f>IF(AND(M20=0,N20&lt;&gt;0),1,IF(AND(M20=0,N20=0),0,N20/M20-1))</f>
        <v>0</v>
      </c>
      <c r="P20" s="747">
        <v>5</v>
      </c>
      <c r="Q20" s="747">
        <v>5</v>
      </c>
      <c r="R20" s="502">
        <f t="shared" si="0"/>
        <v>0</v>
      </c>
      <c r="S20" s="542">
        <f t="shared" si="1"/>
        <v>0</v>
      </c>
      <c r="T20" s="542">
        <f t="shared" si="6"/>
        <v>0</v>
      </c>
      <c r="U20" s="542">
        <f t="shared" si="7"/>
        <v>0</v>
      </c>
      <c r="V20" s="542">
        <f t="shared" si="8"/>
        <v>0</v>
      </c>
      <c r="W20" s="2" t="b">
        <f t="shared" si="2"/>
        <v>1</v>
      </c>
      <c r="Y20" s="572"/>
      <c r="Z20" s="570">
        <v>0</v>
      </c>
      <c r="AA20" s="570">
        <f t="shared" si="3"/>
        <v>5</v>
      </c>
      <c r="AB20" s="570">
        <v>1</v>
      </c>
      <c r="AC20" s="570">
        <f t="shared" si="4"/>
        <v>5</v>
      </c>
      <c r="AD20" s="570">
        <v>0</v>
      </c>
      <c r="AE20" s="570"/>
      <c r="AF20" s="570"/>
      <c r="AG20" s="570"/>
      <c r="AH20" s="676">
        <f t="shared" si="5"/>
        <v>1</v>
      </c>
    </row>
    <row r="21" spans="1:34" s="2" customFormat="1" ht="15.6" customHeight="1">
      <c r="A21" s="749" t="s">
        <v>405</v>
      </c>
      <c r="B21" s="744" t="s">
        <v>406</v>
      </c>
      <c r="C21" s="758">
        <v>13</v>
      </c>
      <c r="D21" s="20" t="s">
        <v>238</v>
      </c>
      <c r="E21" s="473" t="s">
        <v>256</v>
      </c>
      <c r="F21" s="102" t="s">
        <v>474</v>
      </c>
      <c r="G21" s="5" t="s">
        <v>284</v>
      </c>
      <c r="H21" s="200">
        <v>1</v>
      </c>
      <c r="I21" s="165" t="s">
        <v>166</v>
      </c>
      <c r="J21" s="5" t="s">
        <v>167</v>
      </c>
      <c r="K21" s="5"/>
      <c r="L21" s="49" t="s">
        <v>166</v>
      </c>
      <c r="M21" s="40" t="s">
        <v>166</v>
      </c>
      <c r="N21" s="40" t="s">
        <v>166</v>
      </c>
      <c r="O21" s="290">
        <f>IF((N21=M21)=TRUE,0,1)</f>
        <v>0</v>
      </c>
      <c r="P21" s="747">
        <v>1</v>
      </c>
      <c r="Q21" s="747">
        <v>1</v>
      </c>
      <c r="R21" s="502">
        <f t="shared" si="0"/>
        <v>0</v>
      </c>
      <c r="S21" s="542">
        <f t="shared" si="1"/>
        <v>0</v>
      </c>
      <c r="T21" s="542">
        <f t="shared" si="6"/>
        <v>0</v>
      </c>
      <c r="U21" s="542">
        <f t="shared" si="7"/>
        <v>0</v>
      </c>
      <c r="V21" s="542">
        <f t="shared" si="8"/>
        <v>0</v>
      </c>
      <c r="W21" s="2" t="b">
        <f t="shared" si="2"/>
        <v>1</v>
      </c>
      <c r="Y21" s="572"/>
      <c r="Z21" s="570">
        <v>1</v>
      </c>
      <c r="AA21" s="570">
        <f t="shared" si="3"/>
        <v>1</v>
      </c>
      <c r="AB21" s="570">
        <v>0</v>
      </c>
      <c r="AC21" s="570">
        <f t="shared" si="4"/>
        <v>1</v>
      </c>
      <c r="AD21" s="570">
        <v>0</v>
      </c>
      <c r="AE21" s="570"/>
      <c r="AF21" s="570"/>
      <c r="AG21" s="570"/>
      <c r="AH21" s="676">
        <f t="shared" si="5"/>
        <v>1</v>
      </c>
    </row>
    <row r="22" spans="1:34" s="2" customFormat="1" ht="15.6" customHeight="1">
      <c r="A22" s="749" t="s">
        <v>407</v>
      </c>
      <c r="B22" s="744" t="s">
        <v>406</v>
      </c>
      <c r="C22" s="758">
        <v>14</v>
      </c>
      <c r="D22" s="20" t="s">
        <v>170</v>
      </c>
      <c r="E22" s="473" t="s">
        <v>256</v>
      </c>
      <c r="F22" s="102" t="s">
        <v>474</v>
      </c>
      <c r="G22" s="5" t="s">
        <v>284</v>
      </c>
      <c r="H22" s="200">
        <v>1</v>
      </c>
      <c r="I22" s="165" t="s">
        <v>166</v>
      </c>
      <c r="J22" s="5" t="s">
        <v>167</v>
      </c>
      <c r="K22" s="5"/>
      <c r="L22" s="49" t="s">
        <v>166</v>
      </c>
      <c r="M22" s="40" t="s">
        <v>166</v>
      </c>
      <c r="N22" s="40" t="s">
        <v>166</v>
      </c>
      <c r="O22" s="290">
        <f>IF((N22=M22)=TRUE,0,1)</f>
        <v>0</v>
      </c>
      <c r="P22" s="747">
        <v>1</v>
      </c>
      <c r="Q22" s="747">
        <v>1</v>
      </c>
      <c r="R22" s="502">
        <f t="shared" si="0"/>
        <v>0</v>
      </c>
      <c r="S22" s="542">
        <f t="shared" si="1"/>
        <v>0</v>
      </c>
      <c r="T22" s="542">
        <f t="shared" si="6"/>
        <v>0</v>
      </c>
      <c r="U22" s="542">
        <f t="shared" si="7"/>
        <v>0</v>
      </c>
      <c r="V22" s="542">
        <f t="shared" si="8"/>
        <v>0</v>
      </c>
      <c r="W22" s="2" t="b">
        <f t="shared" si="2"/>
        <v>1</v>
      </c>
      <c r="Y22" s="572"/>
      <c r="Z22" s="570">
        <v>1</v>
      </c>
      <c r="AA22" s="570">
        <f t="shared" si="3"/>
        <v>1</v>
      </c>
      <c r="AB22" s="570">
        <v>0</v>
      </c>
      <c r="AC22" s="570">
        <f t="shared" si="4"/>
        <v>1</v>
      </c>
      <c r="AD22" s="570">
        <v>0</v>
      </c>
      <c r="AE22" s="570"/>
      <c r="AF22" s="570"/>
      <c r="AG22" s="570"/>
      <c r="AH22" s="676">
        <f t="shared" si="5"/>
        <v>1</v>
      </c>
    </row>
    <row r="23" spans="1:34" s="2" customFormat="1" ht="15.6" customHeight="1">
      <c r="A23" s="749" t="s">
        <v>408</v>
      </c>
      <c r="B23" s="744" t="s">
        <v>1737</v>
      </c>
      <c r="C23" s="758">
        <v>15</v>
      </c>
      <c r="D23" s="971" t="s">
        <v>2025</v>
      </c>
      <c r="E23" s="473" t="s">
        <v>256</v>
      </c>
      <c r="F23" s="390" t="s">
        <v>478</v>
      </c>
      <c r="G23" s="5" t="s">
        <v>284</v>
      </c>
      <c r="H23" s="200">
        <v>4</v>
      </c>
      <c r="I23" s="165"/>
      <c r="J23" s="5"/>
      <c r="K23" s="5"/>
      <c r="L23" s="448"/>
      <c r="M23" s="40">
        <v>1</v>
      </c>
      <c r="N23" s="40">
        <v>1</v>
      </c>
      <c r="O23" s="290">
        <f>IF(AND(M23=0,N23&lt;&gt;0),1,IF(AND(M23=0,N23=0),0,N23/M23-1))</f>
        <v>0</v>
      </c>
      <c r="P23" s="747">
        <f>IF(N23&gt;3,0,IF(N23=0,4,2))</f>
        <v>2</v>
      </c>
      <c r="Q23" s="747">
        <f>IF(M23&gt;3,0,IF(M23=0,4,2))</f>
        <v>2</v>
      </c>
      <c r="R23" s="1012">
        <f t="shared" si="0"/>
        <v>0</v>
      </c>
      <c r="S23" s="542">
        <f t="shared" si="1"/>
        <v>2</v>
      </c>
      <c r="T23" s="542">
        <f t="shared" si="6"/>
        <v>1.2</v>
      </c>
      <c r="U23" s="542">
        <f t="shared" si="7"/>
        <v>0.13333333333333333</v>
      </c>
      <c r="V23" s="542">
        <f t="shared" si="8"/>
        <v>6.6666666666666666E-2</v>
      </c>
      <c r="W23" s="2" t="b">
        <f t="shared" si="2"/>
        <v>1</v>
      </c>
      <c r="Y23" s="572"/>
      <c r="Z23" s="570">
        <v>1</v>
      </c>
      <c r="AA23" s="570">
        <f t="shared" si="3"/>
        <v>2</v>
      </c>
      <c r="AB23" s="570">
        <v>0</v>
      </c>
      <c r="AC23" s="570">
        <f t="shared" si="4"/>
        <v>2</v>
      </c>
      <c r="AD23" s="570">
        <v>0</v>
      </c>
      <c r="AE23" s="570"/>
      <c r="AF23" s="570"/>
      <c r="AG23" s="570"/>
      <c r="AH23" s="676">
        <f t="shared" si="5"/>
        <v>1</v>
      </c>
    </row>
    <row r="24" spans="1:34" s="2" customFormat="1" ht="15.6" customHeight="1">
      <c r="A24" s="749" t="s">
        <v>409</v>
      </c>
      <c r="B24" s="744" t="s">
        <v>410</v>
      </c>
      <c r="C24" s="758">
        <v>16</v>
      </c>
      <c r="D24" s="20" t="s">
        <v>239</v>
      </c>
      <c r="E24" s="473" t="s">
        <v>256</v>
      </c>
      <c r="F24" s="102" t="s">
        <v>474</v>
      </c>
      <c r="G24" s="5" t="s">
        <v>284</v>
      </c>
      <c r="H24" s="200">
        <v>1</v>
      </c>
      <c r="I24" s="165" t="s">
        <v>171</v>
      </c>
      <c r="J24" s="5" t="s">
        <v>172</v>
      </c>
      <c r="K24" s="5"/>
      <c r="L24" s="49"/>
      <c r="M24" s="61" t="s">
        <v>171</v>
      </c>
      <c r="N24" s="61" t="s">
        <v>171</v>
      </c>
      <c r="O24" s="290">
        <f>IF((N24=M24)=TRUE,0,1)</f>
        <v>0</v>
      </c>
      <c r="P24" s="747">
        <v>1</v>
      </c>
      <c r="Q24" s="747">
        <v>1</v>
      </c>
      <c r="R24" s="502">
        <f t="shared" si="0"/>
        <v>0</v>
      </c>
      <c r="S24" s="542">
        <f t="shared" si="1"/>
        <v>0</v>
      </c>
      <c r="T24" s="542">
        <f t="shared" si="6"/>
        <v>0</v>
      </c>
      <c r="U24" s="542">
        <f t="shared" si="7"/>
        <v>0</v>
      </c>
      <c r="V24" s="542">
        <f t="shared" si="8"/>
        <v>0</v>
      </c>
      <c r="W24" s="2" t="b">
        <f t="shared" si="2"/>
        <v>1</v>
      </c>
      <c r="Y24" s="572"/>
      <c r="Z24" s="570">
        <v>1</v>
      </c>
      <c r="AA24" s="570">
        <f t="shared" si="3"/>
        <v>1</v>
      </c>
      <c r="AB24" s="570">
        <v>0</v>
      </c>
      <c r="AC24" s="570">
        <f t="shared" si="4"/>
        <v>1</v>
      </c>
      <c r="AD24" s="570">
        <v>0</v>
      </c>
      <c r="AE24" s="570"/>
      <c r="AF24" s="570"/>
      <c r="AG24" s="570"/>
      <c r="AH24" s="676">
        <f t="shared" si="5"/>
        <v>1</v>
      </c>
    </row>
    <row r="25" spans="1:34" s="2" customFormat="1" ht="16.5" customHeight="1">
      <c r="A25" s="749" t="s">
        <v>411</v>
      </c>
      <c r="B25" s="1351" t="s">
        <v>2400</v>
      </c>
      <c r="C25" s="758">
        <v>17</v>
      </c>
      <c r="D25" s="1010" t="s">
        <v>2032</v>
      </c>
      <c r="E25" s="475"/>
      <c r="F25" s="390" t="s">
        <v>478</v>
      </c>
      <c r="G25" s="5" t="s">
        <v>284</v>
      </c>
      <c r="H25" s="200">
        <v>3</v>
      </c>
      <c r="I25" s="165"/>
      <c r="J25" s="5"/>
      <c r="K25" s="5"/>
      <c r="L25" s="448"/>
      <c r="M25" s="166">
        <f>M26/M27</f>
        <v>2.2696159665681965E-2</v>
      </c>
      <c r="N25" s="166">
        <f>N26/N27</f>
        <v>0</v>
      </c>
      <c r="O25" s="290">
        <f>IF(AND(M25=0,N25&lt;&gt;0),1,IF(AND(M25=0,N25=0),0,N25/M25-1))</f>
        <v>-1</v>
      </c>
      <c r="P25" s="747">
        <f>IF(N25&lt;0.001,3,0)</f>
        <v>3</v>
      </c>
      <c r="Q25" s="747">
        <f>IF(M25&lt;0.001,3,0)</f>
        <v>0</v>
      </c>
      <c r="R25" s="1012">
        <f t="shared" si="0"/>
        <v>3</v>
      </c>
      <c r="S25" s="542">
        <f t="shared" si="1"/>
        <v>0</v>
      </c>
      <c r="T25" s="542">
        <f t="shared" si="6"/>
        <v>0</v>
      </c>
      <c r="U25" s="542">
        <f t="shared" si="7"/>
        <v>0</v>
      </c>
      <c r="V25" s="542">
        <f t="shared" si="8"/>
        <v>0</v>
      </c>
      <c r="W25" s="2" t="b">
        <f t="shared" si="2"/>
        <v>0</v>
      </c>
      <c r="Y25" s="572"/>
      <c r="Z25" s="570">
        <v>1</v>
      </c>
      <c r="AA25" s="570">
        <f t="shared" si="3"/>
        <v>3</v>
      </c>
      <c r="AB25" s="570">
        <v>0</v>
      </c>
      <c r="AC25" s="570">
        <f t="shared" si="4"/>
        <v>3</v>
      </c>
      <c r="AD25" s="676">
        <f>SUM(Y25:AB25)</f>
        <v>4</v>
      </c>
      <c r="AE25" s="570">
        <f t="shared" ref="AE25" si="10">$P25</f>
        <v>3</v>
      </c>
      <c r="AF25" s="570"/>
      <c r="AG25" s="570"/>
      <c r="AH25" s="676">
        <f t="shared" si="5"/>
        <v>5</v>
      </c>
    </row>
    <row r="26" spans="1:34" s="2" customFormat="1" ht="15.6" customHeight="1">
      <c r="A26" s="749"/>
      <c r="B26" s="744"/>
      <c r="C26" s="760">
        <v>17.100000000000001</v>
      </c>
      <c r="D26" s="17" t="s">
        <v>173</v>
      </c>
      <c r="E26" s="473" t="s">
        <v>256</v>
      </c>
      <c r="F26" s="104"/>
      <c r="G26" s="5"/>
      <c r="H26" s="51"/>
      <c r="I26" s="165"/>
      <c r="J26" s="5"/>
      <c r="K26" s="5"/>
      <c r="L26" s="48" t="s">
        <v>726</v>
      </c>
      <c r="M26" s="40">
        <v>630</v>
      </c>
      <c r="N26" s="40">
        <v>0</v>
      </c>
      <c r="O26" s="290">
        <f>IF(AND(M26=0,N26&lt;&gt;0),1,IF(AND(M26=0,N26=0),0,N26/M26-1))</f>
        <v>-1</v>
      </c>
      <c r="P26" s="747"/>
      <c r="Q26" s="747"/>
      <c r="R26" s="502">
        <f t="shared" si="0"/>
        <v>0</v>
      </c>
      <c r="S26" s="542">
        <f t="shared" si="1"/>
        <v>0</v>
      </c>
      <c r="T26" s="542">
        <f t="shared" si="6"/>
        <v>0</v>
      </c>
      <c r="U26" s="542">
        <f t="shared" si="7"/>
        <v>0</v>
      </c>
      <c r="V26" s="542">
        <f t="shared" si="8"/>
        <v>0</v>
      </c>
      <c r="W26" s="2" t="b">
        <f t="shared" si="2"/>
        <v>1</v>
      </c>
      <c r="Y26" s="572"/>
      <c r="Z26" s="570"/>
      <c r="AA26" s="570">
        <f t="shared" si="3"/>
        <v>0</v>
      </c>
      <c r="AB26" s="570"/>
      <c r="AC26" s="570">
        <f t="shared" si="4"/>
        <v>0</v>
      </c>
      <c r="AD26" s="570"/>
      <c r="AE26" s="570"/>
      <c r="AF26" s="570"/>
      <c r="AG26" s="570"/>
      <c r="AH26" s="676">
        <f t="shared" si="5"/>
        <v>0</v>
      </c>
    </row>
    <row r="27" spans="1:34" s="2" customFormat="1" ht="15.6" customHeight="1">
      <c r="A27" s="749"/>
      <c r="B27" s="744"/>
      <c r="C27" s="760">
        <v>17.2</v>
      </c>
      <c r="D27" s="17" t="s">
        <v>2026</v>
      </c>
      <c r="E27" s="473" t="s">
        <v>256</v>
      </c>
      <c r="F27" s="105"/>
      <c r="G27" s="5"/>
      <c r="H27" s="63"/>
      <c r="I27" s="165"/>
      <c r="J27" s="5"/>
      <c r="K27" s="5"/>
      <c r="L27" s="48" t="s">
        <v>726</v>
      </c>
      <c r="M27" s="232">
        <v>27758</v>
      </c>
      <c r="N27" s="232">
        <v>24128</v>
      </c>
      <c r="O27" s="290">
        <f>IF(AND(M27=0,N27&lt;&gt;0),1,IF(AND(M27=0,N27=0),0,N27/M27-1))</f>
        <v>-0.13077311045464368</v>
      </c>
      <c r="P27" s="747"/>
      <c r="Q27" s="747"/>
      <c r="R27" s="502">
        <f t="shared" si="0"/>
        <v>0</v>
      </c>
      <c r="S27" s="542">
        <f t="shared" si="1"/>
        <v>0</v>
      </c>
      <c r="T27" s="542">
        <f t="shared" si="6"/>
        <v>0</v>
      </c>
      <c r="U27" s="542">
        <f t="shared" si="7"/>
        <v>0</v>
      </c>
      <c r="V27" s="542">
        <f t="shared" si="8"/>
        <v>0</v>
      </c>
      <c r="W27" s="2" t="b">
        <f t="shared" si="2"/>
        <v>1</v>
      </c>
      <c r="Y27" s="572"/>
      <c r="Z27" s="570"/>
      <c r="AA27" s="570">
        <f t="shared" si="3"/>
        <v>0</v>
      </c>
      <c r="AB27" s="570"/>
      <c r="AC27" s="570">
        <f t="shared" si="4"/>
        <v>0</v>
      </c>
      <c r="AD27" s="570"/>
      <c r="AE27" s="570"/>
      <c r="AF27" s="570"/>
      <c r="AG27" s="570"/>
      <c r="AH27" s="676">
        <f t="shared" si="5"/>
        <v>0</v>
      </c>
    </row>
    <row r="28" spans="1:34" s="2" customFormat="1" ht="15.6" customHeight="1">
      <c r="A28" s="749" t="s">
        <v>412</v>
      </c>
      <c r="B28" s="744" t="s">
        <v>413</v>
      </c>
      <c r="C28" s="758">
        <v>18</v>
      </c>
      <c r="D28" s="20" t="s">
        <v>240</v>
      </c>
      <c r="E28" s="473" t="s">
        <v>256</v>
      </c>
      <c r="F28" s="102" t="s">
        <v>474</v>
      </c>
      <c r="G28" s="5" t="s">
        <v>284</v>
      </c>
      <c r="H28" s="200">
        <v>1</v>
      </c>
      <c r="I28" s="165" t="s">
        <v>175</v>
      </c>
      <c r="J28" s="5" t="s">
        <v>176</v>
      </c>
      <c r="K28" s="5"/>
      <c r="L28" s="49"/>
      <c r="M28" s="61" t="s">
        <v>175</v>
      </c>
      <c r="N28" s="61" t="s">
        <v>175</v>
      </c>
      <c r="O28" s="290">
        <f>IF((N28=M28)=TRUE,0,1)</f>
        <v>0</v>
      </c>
      <c r="P28" s="747">
        <v>1</v>
      </c>
      <c r="Q28" s="747">
        <v>1</v>
      </c>
      <c r="R28" s="502">
        <f t="shared" si="0"/>
        <v>0</v>
      </c>
      <c r="S28" s="542">
        <f t="shared" si="1"/>
        <v>0</v>
      </c>
      <c r="T28" s="542">
        <f t="shared" si="6"/>
        <v>0</v>
      </c>
      <c r="U28" s="542">
        <f t="shared" si="7"/>
        <v>0</v>
      </c>
      <c r="V28" s="542">
        <f t="shared" si="8"/>
        <v>0</v>
      </c>
      <c r="W28" s="2" t="b">
        <f t="shared" si="2"/>
        <v>1</v>
      </c>
      <c r="Y28" s="572"/>
      <c r="Z28" s="570">
        <v>0</v>
      </c>
      <c r="AA28" s="570">
        <f t="shared" si="3"/>
        <v>1</v>
      </c>
      <c r="AB28" s="570">
        <v>1</v>
      </c>
      <c r="AC28" s="570">
        <f t="shared" si="4"/>
        <v>1</v>
      </c>
      <c r="AD28" s="570">
        <v>0</v>
      </c>
      <c r="AE28" s="570"/>
      <c r="AF28" s="570"/>
      <c r="AG28" s="570"/>
      <c r="AH28" s="676">
        <f t="shared" si="5"/>
        <v>1</v>
      </c>
    </row>
    <row r="29" spans="1:34" s="2" customFormat="1" ht="15.6" customHeight="1">
      <c r="A29" s="749" t="s">
        <v>414</v>
      </c>
      <c r="B29" s="744" t="s">
        <v>415</v>
      </c>
      <c r="C29" s="758">
        <v>19</v>
      </c>
      <c r="D29" s="20" t="s">
        <v>177</v>
      </c>
      <c r="E29" s="473" t="s">
        <v>256</v>
      </c>
      <c r="F29" s="103" t="s">
        <v>478</v>
      </c>
      <c r="G29" s="5" t="s">
        <v>284</v>
      </c>
      <c r="H29" s="200">
        <v>3</v>
      </c>
      <c r="I29" s="165"/>
      <c r="J29" s="5"/>
      <c r="K29" s="5"/>
      <c r="L29" s="448"/>
      <c r="M29" s="40">
        <v>0</v>
      </c>
      <c r="N29" s="40">
        <v>0</v>
      </c>
      <c r="O29" s="290">
        <f>IF(AND(M29=0,N29&lt;&gt;0),1,IF(AND(M29=0,N29=0),0,N29/M29-1))</f>
        <v>0</v>
      </c>
      <c r="P29" s="747">
        <f>IF(N29=0,3,IF(N29&gt;3,0,1))</f>
        <v>3</v>
      </c>
      <c r="Q29" s="747">
        <f>IF(M29=0,3,IF(M29&gt;3,0,1))</f>
        <v>3</v>
      </c>
      <c r="R29" s="502">
        <f t="shared" si="0"/>
        <v>0</v>
      </c>
      <c r="S29" s="542">
        <f t="shared" si="1"/>
        <v>0</v>
      </c>
      <c r="T29" s="542">
        <f t="shared" si="6"/>
        <v>0</v>
      </c>
      <c r="U29" s="542">
        <f t="shared" si="7"/>
        <v>0</v>
      </c>
      <c r="V29" s="542">
        <f t="shared" si="8"/>
        <v>0</v>
      </c>
      <c r="W29" s="2" t="b">
        <f t="shared" si="2"/>
        <v>1</v>
      </c>
      <c r="Y29" s="572"/>
      <c r="Z29" s="570">
        <v>0</v>
      </c>
      <c r="AA29" s="570">
        <f t="shared" si="3"/>
        <v>3</v>
      </c>
      <c r="AB29" s="570">
        <v>1</v>
      </c>
      <c r="AC29" s="570">
        <f t="shared" si="4"/>
        <v>3</v>
      </c>
      <c r="AD29" s="570">
        <v>0</v>
      </c>
      <c r="AE29" s="570"/>
      <c r="AF29" s="570"/>
      <c r="AG29" s="570"/>
      <c r="AH29" s="676">
        <f t="shared" si="5"/>
        <v>1</v>
      </c>
    </row>
    <row r="30" spans="1:34" s="2" customFormat="1" ht="15.6" customHeight="1">
      <c r="A30" s="749" t="s">
        <v>416</v>
      </c>
      <c r="B30" s="744" t="s">
        <v>417</v>
      </c>
      <c r="C30" s="758">
        <v>20</v>
      </c>
      <c r="D30" s="20" t="s">
        <v>178</v>
      </c>
      <c r="E30" s="473" t="s">
        <v>256</v>
      </c>
      <c r="F30" s="102" t="s">
        <v>474</v>
      </c>
      <c r="G30" s="5" t="s">
        <v>284</v>
      </c>
      <c r="H30" s="200">
        <v>1</v>
      </c>
      <c r="I30" s="5" t="s">
        <v>179</v>
      </c>
      <c r="J30" s="5" t="s">
        <v>180</v>
      </c>
      <c r="K30" s="5" t="s">
        <v>151</v>
      </c>
      <c r="L30" s="49"/>
      <c r="M30" s="625" t="s">
        <v>180</v>
      </c>
      <c r="N30" s="241" t="s">
        <v>180</v>
      </c>
      <c r="O30" s="290">
        <f>IF((N30=M30)=TRUE,0,1)</f>
        <v>0</v>
      </c>
      <c r="P30" s="747">
        <v>1</v>
      </c>
      <c r="Q30" s="747">
        <v>1</v>
      </c>
      <c r="R30" s="502">
        <f t="shared" si="0"/>
        <v>0</v>
      </c>
      <c r="S30" s="542">
        <f t="shared" si="1"/>
        <v>0</v>
      </c>
      <c r="T30" s="542">
        <f t="shared" si="6"/>
        <v>0</v>
      </c>
      <c r="U30" s="542">
        <f t="shared" si="7"/>
        <v>0</v>
      </c>
      <c r="V30" s="542">
        <f t="shared" si="8"/>
        <v>0</v>
      </c>
      <c r="W30" s="2" t="b">
        <f t="shared" si="2"/>
        <v>1</v>
      </c>
      <c r="Y30" s="572"/>
      <c r="Z30" s="570">
        <v>0</v>
      </c>
      <c r="AA30" s="570">
        <f t="shared" si="3"/>
        <v>1</v>
      </c>
      <c r="AB30" s="570">
        <v>1</v>
      </c>
      <c r="AC30" s="570">
        <f t="shared" si="4"/>
        <v>1</v>
      </c>
      <c r="AD30" s="570">
        <v>0</v>
      </c>
      <c r="AE30" s="570"/>
      <c r="AF30" s="570"/>
      <c r="AG30" s="570"/>
      <c r="AH30" s="676">
        <f t="shared" si="5"/>
        <v>1</v>
      </c>
    </row>
    <row r="31" spans="1:34" s="2" customFormat="1" ht="15.6" customHeight="1">
      <c r="A31" s="749" t="s">
        <v>418</v>
      </c>
      <c r="B31" s="744" t="s">
        <v>419</v>
      </c>
      <c r="C31" s="758">
        <v>21</v>
      </c>
      <c r="D31" s="20" t="s">
        <v>181</v>
      </c>
      <c r="E31" s="473" t="s">
        <v>256</v>
      </c>
      <c r="F31" s="103" t="s">
        <v>478</v>
      </c>
      <c r="G31" s="5" t="s">
        <v>284</v>
      </c>
      <c r="H31" s="200">
        <v>4</v>
      </c>
      <c r="I31" s="5"/>
      <c r="J31" s="5"/>
      <c r="K31" s="5"/>
      <c r="L31" s="448"/>
      <c r="M31" s="1319">
        <v>0</v>
      </c>
      <c r="N31" s="57">
        <v>0</v>
      </c>
      <c r="O31" s="290">
        <f>IF(AND(M31=0,N31&lt;&gt;0),1,IF(AND(M31=0,N31=0),0,N31/M31-1))</f>
        <v>0</v>
      </c>
      <c r="P31" s="747">
        <f>IF(N31=0,4,IF(N31&gt;3,0,2))</f>
        <v>4</v>
      </c>
      <c r="Q31" s="747">
        <f>IF(M31=0,4,IF(M31&gt;3,0,2))</f>
        <v>4</v>
      </c>
      <c r="R31" s="502">
        <f t="shared" si="0"/>
        <v>0</v>
      </c>
      <c r="S31" s="542">
        <f t="shared" si="1"/>
        <v>0</v>
      </c>
      <c r="T31" s="542">
        <f t="shared" si="6"/>
        <v>0</v>
      </c>
      <c r="U31" s="542">
        <f t="shared" si="7"/>
        <v>0</v>
      </c>
      <c r="V31" s="542">
        <f t="shared" si="8"/>
        <v>0</v>
      </c>
      <c r="W31" s="2" t="b">
        <f t="shared" si="2"/>
        <v>1</v>
      </c>
      <c r="Y31" s="572"/>
      <c r="Z31" s="570">
        <v>0</v>
      </c>
      <c r="AA31" s="570">
        <f t="shared" si="3"/>
        <v>4</v>
      </c>
      <c r="AB31" s="570">
        <v>1</v>
      </c>
      <c r="AC31" s="570">
        <f t="shared" si="4"/>
        <v>4</v>
      </c>
      <c r="AD31" s="570">
        <v>0</v>
      </c>
      <c r="AE31" s="570"/>
      <c r="AF31" s="570"/>
      <c r="AG31" s="570"/>
      <c r="AH31" s="676">
        <f t="shared" si="5"/>
        <v>1</v>
      </c>
    </row>
    <row r="32" spans="1:34" s="2" customFormat="1" ht="15.6" customHeight="1">
      <c r="A32" s="749" t="s">
        <v>420</v>
      </c>
      <c r="B32" s="744" t="s">
        <v>421</v>
      </c>
      <c r="C32" s="758">
        <v>22</v>
      </c>
      <c r="D32" s="20" t="s">
        <v>182</v>
      </c>
      <c r="E32" s="473" t="s">
        <v>256</v>
      </c>
      <c r="F32" s="102" t="s">
        <v>474</v>
      </c>
      <c r="G32" s="5" t="s">
        <v>284</v>
      </c>
      <c r="H32" s="200">
        <v>2</v>
      </c>
      <c r="I32" s="5" t="s">
        <v>183</v>
      </c>
      <c r="J32" s="5" t="s">
        <v>184</v>
      </c>
      <c r="K32" s="5"/>
      <c r="L32" s="49"/>
      <c r="M32" s="625" t="s">
        <v>183</v>
      </c>
      <c r="N32" s="240" t="s">
        <v>183</v>
      </c>
      <c r="O32" s="290">
        <f>IF((N32=M32)=TRUE,0,1)</f>
        <v>0</v>
      </c>
      <c r="P32" s="747">
        <v>2</v>
      </c>
      <c r="Q32" s="747">
        <v>2</v>
      </c>
      <c r="R32" s="502">
        <f t="shared" si="0"/>
        <v>0</v>
      </c>
      <c r="S32" s="542">
        <f t="shared" si="1"/>
        <v>0</v>
      </c>
      <c r="T32" s="542">
        <f t="shared" si="6"/>
        <v>0</v>
      </c>
      <c r="U32" s="542">
        <f t="shared" si="7"/>
        <v>0</v>
      </c>
      <c r="V32" s="542">
        <f t="shared" si="8"/>
        <v>0</v>
      </c>
      <c r="W32" s="2" t="b">
        <f t="shared" si="2"/>
        <v>1</v>
      </c>
      <c r="Y32" s="572"/>
      <c r="Z32" s="570">
        <v>0</v>
      </c>
      <c r="AA32" s="570">
        <f t="shared" si="3"/>
        <v>2</v>
      </c>
      <c r="AB32" s="570">
        <v>1</v>
      </c>
      <c r="AC32" s="570">
        <f t="shared" si="4"/>
        <v>2</v>
      </c>
      <c r="AD32" s="570">
        <v>0</v>
      </c>
      <c r="AE32" s="570"/>
      <c r="AF32" s="570"/>
      <c r="AG32" s="570"/>
      <c r="AH32" s="676">
        <f t="shared" si="5"/>
        <v>1</v>
      </c>
    </row>
    <row r="33" spans="1:35" s="2" customFormat="1" ht="54">
      <c r="A33" s="749" t="s">
        <v>422</v>
      </c>
      <c r="B33" s="744" t="s">
        <v>423</v>
      </c>
      <c r="C33" s="758">
        <v>23</v>
      </c>
      <c r="D33" s="20" t="s">
        <v>139</v>
      </c>
      <c r="E33" s="473" t="s">
        <v>256</v>
      </c>
      <c r="F33" s="103" t="s">
        <v>478</v>
      </c>
      <c r="G33" s="5" t="s">
        <v>284</v>
      </c>
      <c r="H33" s="200">
        <v>4</v>
      </c>
      <c r="I33" s="5"/>
      <c r="J33" s="5"/>
      <c r="K33" s="5"/>
      <c r="L33" s="448"/>
      <c r="M33" s="1319">
        <v>0</v>
      </c>
      <c r="N33" s="57">
        <v>0</v>
      </c>
      <c r="O33" s="290">
        <f>IF(AND(M33=0,N33&lt;&gt;0),1,IF(AND(M33=0,N33=0),0,N33/M33-1))</f>
        <v>0</v>
      </c>
      <c r="P33" s="747">
        <f>IF(N33&lt;=3,4,IF(N33&gt;5,0,2))</f>
        <v>4</v>
      </c>
      <c r="Q33" s="747">
        <v>4</v>
      </c>
      <c r="R33" s="502">
        <f t="shared" si="0"/>
        <v>0</v>
      </c>
      <c r="S33" s="542">
        <f t="shared" si="1"/>
        <v>0</v>
      </c>
      <c r="T33" s="542">
        <f t="shared" si="6"/>
        <v>0</v>
      </c>
      <c r="U33" s="542">
        <f t="shared" si="7"/>
        <v>0</v>
      </c>
      <c r="V33" s="542">
        <f t="shared" si="8"/>
        <v>0</v>
      </c>
      <c r="W33" s="2" t="b">
        <f t="shared" si="2"/>
        <v>1</v>
      </c>
      <c r="Y33" s="572"/>
      <c r="Z33" s="570">
        <v>0</v>
      </c>
      <c r="AA33" s="570">
        <f t="shared" si="3"/>
        <v>4</v>
      </c>
      <c r="AB33" s="570">
        <v>1</v>
      </c>
      <c r="AC33" s="570">
        <f t="shared" si="4"/>
        <v>4</v>
      </c>
      <c r="AD33" s="570">
        <v>0</v>
      </c>
      <c r="AE33" s="570"/>
      <c r="AF33" s="570"/>
      <c r="AG33" s="570"/>
      <c r="AH33" s="676">
        <f t="shared" si="5"/>
        <v>1</v>
      </c>
    </row>
    <row r="34" spans="1:35" s="2" customFormat="1" ht="15.6" customHeight="1">
      <c r="A34" s="749" t="s">
        <v>424</v>
      </c>
      <c r="B34" s="744" t="s">
        <v>425</v>
      </c>
      <c r="C34" s="758">
        <v>24</v>
      </c>
      <c r="D34" s="20" t="s">
        <v>185</v>
      </c>
      <c r="E34" s="473" t="s">
        <v>1970</v>
      </c>
      <c r="F34" s="102" t="s">
        <v>474</v>
      </c>
      <c r="G34" s="5" t="s">
        <v>284</v>
      </c>
      <c r="H34" s="200">
        <v>3</v>
      </c>
      <c r="I34" s="5" t="s">
        <v>186</v>
      </c>
      <c r="J34" s="5" t="s">
        <v>187</v>
      </c>
      <c r="K34" s="5"/>
      <c r="L34" s="49"/>
      <c r="M34" s="625" t="s">
        <v>186</v>
      </c>
      <c r="N34" s="240" t="s">
        <v>186</v>
      </c>
      <c r="O34" s="290">
        <f>IF((N34=M34)=TRUE,0,1)</f>
        <v>0</v>
      </c>
      <c r="P34" s="747">
        <v>3</v>
      </c>
      <c r="Q34" s="747">
        <v>3</v>
      </c>
      <c r="R34" s="502">
        <f t="shared" si="0"/>
        <v>0</v>
      </c>
      <c r="S34" s="542">
        <f t="shared" si="1"/>
        <v>0</v>
      </c>
      <c r="T34" s="542">
        <f t="shared" si="6"/>
        <v>0</v>
      </c>
      <c r="U34" s="542">
        <f t="shared" si="7"/>
        <v>0</v>
      </c>
      <c r="V34" s="542">
        <f t="shared" si="8"/>
        <v>0</v>
      </c>
      <c r="W34" s="2" t="b">
        <f t="shared" si="2"/>
        <v>1</v>
      </c>
      <c r="Y34" s="572"/>
      <c r="Z34" s="570">
        <v>0</v>
      </c>
      <c r="AA34" s="570">
        <f t="shared" si="3"/>
        <v>3</v>
      </c>
      <c r="AB34" s="570">
        <v>1</v>
      </c>
      <c r="AC34" s="570">
        <f t="shared" si="4"/>
        <v>3</v>
      </c>
      <c r="AD34" s="570">
        <v>0</v>
      </c>
      <c r="AE34" s="570"/>
      <c r="AF34" s="570"/>
      <c r="AG34" s="570"/>
      <c r="AH34" s="676">
        <f t="shared" si="5"/>
        <v>1</v>
      </c>
    </row>
    <row r="35" spans="1:35" s="2" customFormat="1" ht="15.6" customHeight="1">
      <c r="A35" s="748" t="s">
        <v>426</v>
      </c>
      <c r="B35" s="745" t="s">
        <v>427</v>
      </c>
      <c r="C35" s="758">
        <v>25</v>
      </c>
      <c r="D35" s="20" t="s">
        <v>188</v>
      </c>
      <c r="E35" s="473" t="s">
        <v>256</v>
      </c>
      <c r="F35" s="102" t="s">
        <v>474</v>
      </c>
      <c r="G35" s="5" t="s">
        <v>284</v>
      </c>
      <c r="H35" s="200">
        <v>3</v>
      </c>
      <c r="I35" s="5" t="s">
        <v>189</v>
      </c>
      <c r="J35" s="5" t="s">
        <v>190</v>
      </c>
      <c r="K35" s="5" t="s">
        <v>151</v>
      </c>
      <c r="L35" s="49"/>
      <c r="M35" s="625" t="s">
        <v>189</v>
      </c>
      <c r="N35" s="305" t="s">
        <v>189</v>
      </c>
      <c r="O35" s="290">
        <f>IF((N35=M35)=TRUE,0,1)</f>
        <v>0</v>
      </c>
      <c r="P35" s="747">
        <v>3</v>
      </c>
      <c r="Q35" s="747">
        <v>3</v>
      </c>
      <c r="R35" s="502">
        <f t="shared" si="0"/>
        <v>0</v>
      </c>
      <c r="S35" s="542">
        <f t="shared" si="1"/>
        <v>0</v>
      </c>
      <c r="T35" s="542">
        <f t="shared" si="6"/>
        <v>0</v>
      </c>
      <c r="U35" s="542">
        <f t="shared" si="7"/>
        <v>0</v>
      </c>
      <c r="V35" s="542">
        <f t="shared" si="8"/>
        <v>0</v>
      </c>
      <c r="W35" s="2" t="b">
        <f t="shared" si="2"/>
        <v>1</v>
      </c>
      <c r="Y35" s="572"/>
      <c r="Z35" s="570">
        <v>0</v>
      </c>
      <c r="AA35" s="570">
        <f t="shared" si="3"/>
        <v>3</v>
      </c>
      <c r="AB35" s="570">
        <v>1</v>
      </c>
      <c r="AC35" s="570">
        <f t="shared" si="4"/>
        <v>3</v>
      </c>
      <c r="AD35" s="570">
        <v>0</v>
      </c>
      <c r="AE35" s="570"/>
      <c r="AF35" s="570"/>
      <c r="AG35" s="570"/>
      <c r="AH35" s="676">
        <f t="shared" si="5"/>
        <v>1</v>
      </c>
    </row>
    <row r="36" spans="1:35" s="2" customFormat="1" ht="45" customHeight="1">
      <c r="A36" s="749" t="s">
        <v>550</v>
      </c>
      <c r="B36" s="1002" t="s">
        <v>2048</v>
      </c>
      <c r="C36" s="758">
        <v>26</v>
      </c>
      <c r="D36" s="20" t="s">
        <v>2047</v>
      </c>
      <c r="E36" s="475"/>
      <c r="F36" s="103" t="s">
        <v>478</v>
      </c>
      <c r="G36" s="5" t="s">
        <v>284</v>
      </c>
      <c r="H36" s="200">
        <v>3</v>
      </c>
      <c r="I36" s="5"/>
      <c r="J36" s="5"/>
      <c r="K36" s="5"/>
      <c r="L36" s="448"/>
      <c r="M36" s="196">
        <f>IF(M38=0,"",M37/M38)</f>
        <v>3.3801153031353912E-6</v>
      </c>
      <c r="N36" s="196">
        <f>IF(N38=0,"",N37/N38)</f>
        <v>0</v>
      </c>
      <c r="O36" s="290">
        <f>IF(AND(M36=0,N36&lt;&gt;0),1,IF(AND(M36=0,N36=0),0,N36/M36-1))</f>
        <v>-1</v>
      </c>
      <c r="P36" s="747">
        <f>IF(N36&lt;0.0001,3,0)</f>
        <v>3</v>
      </c>
      <c r="Q36" s="747">
        <f>IF(M36&lt;0.0001,3,0)</f>
        <v>3</v>
      </c>
      <c r="R36" s="502">
        <f t="shared" si="0"/>
        <v>0</v>
      </c>
      <c r="S36" s="542">
        <f t="shared" si="1"/>
        <v>0</v>
      </c>
      <c r="T36" s="542">
        <f t="shared" si="6"/>
        <v>0</v>
      </c>
      <c r="U36" s="542">
        <f t="shared" si="7"/>
        <v>0</v>
      </c>
      <c r="V36" s="542">
        <f t="shared" si="8"/>
        <v>0</v>
      </c>
      <c r="W36" s="2" t="b">
        <f t="shared" si="2"/>
        <v>1</v>
      </c>
      <c r="Y36" s="572"/>
      <c r="Z36" s="570">
        <v>0</v>
      </c>
      <c r="AA36" s="570">
        <f t="shared" si="3"/>
        <v>3</v>
      </c>
      <c r="AB36" s="570">
        <v>0.5</v>
      </c>
      <c r="AC36" s="570">
        <f t="shared" si="4"/>
        <v>3</v>
      </c>
      <c r="AD36" s="570">
        <v>0</v>
      </c>
      <c r="AE36" s="570"/>
      <c r="AF36" s="570">
        <v>0.5</v>
      </c>
      <c r="AG36" s="570">
        <f t="shared" ref="AG36" si="11">$P36</f>
        <v>3</v>
      </c>
      <c r="AH36" s="676">
        <f t="shared" si="5"/>
        <v>0.5</v>
      </c>
      <c r="AI36" s="434"/>
    </row>
    <row r="37" spans="1:35" s="2" customFormat="1" ht="15.6" customHeight="1">
      <c r="A37" s="749"/>
      <c r="B37" s="744"/>
      <c r="C37" s="760">
        <v>26.1</v>
      </c>
      <c r="D37" s="17" t="s">
        <v>245</v>
      </c>
      <c r="E37" s="473" t="s">
        <v>256</v>
      </c>
      <c r="F37" s="104"/>
      <c r="G37" s="5"/>
      <c r="H37" s="65"/>
      <c r="I37" s="5"/>
      <c r="J37" s="5"/>
      <c r="K37" s="5"/>
      <c r="L37" s="448"/>
      <c r="M37" s="127">
        <v>10564</v>
      </c>
      <c r="N37" s="127">
        <v>0</v>
      </c>
      <c r="O37" s="290">
        <f>IF(AND(M37=0,N37&lt;&gt;0),1,IF(AND(M37=0,N37=0),0,N37/M37-1))</f>
        <v>-1</v>
      </c>
      <c r="P37" s="747"/>
      <c r="Q37" s="747"/>
      <c r="R37" s="502">
        <f t="shared" si="0"/>
        <v>0</v>
      </c>
      <c r="S37" s="542">
        <f t="shared" si="1"/>
        <v>0</v>
      </c>
      <c r="T37" s="542">
        <f t="shared" si="6"/>
        <v>0</v>
      </c>
      <c r="U37" s="542">
        <f t="shared" si="7"/>
        <v>0</v>
      </c>
      <c r="V37" s="542">
        <f t="shared" si="8"/>
        <v>0</v>
      </c>
      <c r="W37" s="2" t="b">
        <f t="shared" si="2"/>
        <v>1</v>
      </c>
      <c r="Y37" s="572"/>
      <c r="Z37" s="570"/>
      <c r="AA37" s="570">
        <f t="shared" si="3"/>
        <v>0</v>
      </c>
      <c r="AB37" s="570"/>
      <c r="AC37" s="570">
        <f t="shared" si="4"/>
        <v>0</v>
      </c>
      <c r="AD37" s="570"/>
      <c r="AE37" s="570"/>
      <c r="AF37" s="570"/>
      <c r="AG37" s="570"/>
      <c r="AH37" s="676">
        <f t="shared" si="5"/>
        <v>0</v>
      </c>
    </row>
    <row r="38" spans="1:35" s="2" customFormat="1" ht="15.6" customHeight="1">
      <c r="A38" s="749"/>
      <c r="B38" s="744"/>
      <c r="C38" s="760">
        <v>26.2</v>
      </c>
      <c r="D38" s="17" t="s">
        <v>191</v>
      </c>
      <c r="E38" s="476" t="s">
        <v>256</v>
      </c>
      <c r="F38" s="105"/>
      <c r="G38" s="5"/>
      <c r="H38" s="65"/>
      <c r="I38" s="128"/>
      <c r="J38" s="128"/>
      <c r="K38" s="128"/>
      <c r="L38" s="450"/>
      <c r="M38" s="275">
        <v>3125337171.25</v>
      </c>
      <c r="N38" s="275">
        <v>3262969012.6100001</v>
      </c>
      <c r="O38" s="290">
        <f>IF(AND(M38=0,N38&lt;&gt;0),1,IF(AND(M38=0,N38=0),0,N38/M38-1))</f>
        <v>4.4037437824653525E-2</v>
      </c>
      <c r="P38" s="747"/>
      <c r="Q38" s="747"/>
      <c r="R38" s="502">
        <f t="shared" si="0"/>
        <v>0</v>
      </c>
      <c r="S38" s="542">
        <f t="shared" si="1"/>
        <v>0</v>
      </c>
      <c r="T38" s="542">
        <f t="shared" si="6"/>
        <v>0</v>
      </c>
      <c r="U38" s="542">
        <f t="shared" si="7"/>
        <v>0</v>
      </c>
      <c r="V38" s="542">
        <f t="shared" si="8"/>
        <v>0</v>
      </c>
      <c r="W38" s="2" t="b">
        <f t="shared" si="2"/>
        <v>1</v>
      </c>
      <c r="Y38" s="572"/>
      <c r="Z38" s="570"/>
      <c r="AA38" s="570">
        <f t="shared" si="3"/>
        <v>0</v>
      </c>
      <c r="AB38" s="570"/>
      <c r="AC38" s="570">
        <f t="shared" si="4"/>
        <v>0</v>
      </c>
      <c r="AD38" s="570"/>
      <c r="AE38" s="570"/>
      <c r="AF38" s="570"/>
      <c r="AG38" s="570"/>
      <c r="AH38" s="676">
        <f t="shared" si="5"/>
        <v>0</v>
      </c>
    </row>
    <row r="39" spans="1:35" s="2" customFormat="1" ht="15.6" customHeight="1">
      <c r="A39" s="749" t="s">
        <v>428</v>
      </c>
      <c r="B39" s="744" t="s">
        <v>429</v>
      </c>
      <c r="C39" s="758">
        <v>27</v>
      </c>
      <c r="D39" s="20" t="s">
        <v>142</v>
      </c>
      <c r="E39" s="473" t="s">
        <v>256</v>
      </c>
      <c r="F39" s="102" t="s">
        <v>474</v>
      </c>
      <c r="G39" s="5" t="s">
        <v>284</v>
      </c>
      <c r="H39" s="200">
        <v>3</v>
      </c>
      <c r="I39" s="5" t="s">
        <v>192</v>
      </c>
      <c r="J39" s="5" t="s">
        <v>193</v>
      </c>
      <c r="K39" s="5"/>
      <c r="L39" s="448"/>
      <c r="M39" s="62" t="s">
        <v>192</v>
      </c>
      <c r="N39" s="62" t="s">
        <v>2386</v>
      </c>
      <c r="O39" s="290">
        <f>IF((N39=M39)=TRUE,0,1)</f>
        <v>0</v>
      </c>
      <c r="P39" s="747">
        <v>3</v>
      </c>
      <c r="Q39" s="747">
        <v>3</v>
      </c>
      <c r="R39" s="502">
        <f t="shared" si="0"/>
        <v>0</v>
      </c>
      <c r="S39" s="542">
        <f t="shared" si="1"/>
        <v>0</v>
      </c>
      <c r="T39" s="542">
        <f t="shared" si="6"/>
        <v>0</v>
      </c>
      <c r="U39" s="542">
        <f t="shared" si="7"/>
        <v>0</v>
      </c>
      <c r="V39" s="542">
        <f t="shared" si="8"/>
        <v>0</v>
      </c>
      <c r="W39" s="2" t="b">
        <f t="shared" si="2"/>
        <v>1</v>
      </c>
      <c r="Y39" s="572"/>
      <c r="Z39" s="570">
        <v>1</v>
      </c>
      <c r="AA39" s="570">
        <f t="shared" si="3"/>
        <v>3</v>
      </c>
      <c r="AB39" s="570">
        <v>1</v>
      </c>
      <c r="AC39" s="570">
        <f t="shared" si="4"/>
        <v>3</v>
      </c>
      <c r="AD39" s="570">
        <v>0</v>
      </c>
      <c r="AE39" s="570"/>
      <c r="AF39" s="570"/>
      <c r="AG39" s="570"/>
      <c r="AH39" s="676">
        <f t="shared" si="5"/>
        <v>2</v>
      </c>
    </row>
    <row r="40" spans="1:35" s="2" customFormat="1" ht="15.6" customHeight="1">
      <c r="A40" s="749"/>
      <c r="B40" s="744"/>
      <c r="C40" s="761">
        <v>28</v>
      </c>
      <c r="D40" s="60" t="s">
        <v>145</v>
      </c>
      <c r="E40" s="474" t="s">
        <v>256</v>
      </c>
      <c r="F40" s="103" t="s">
        <v>474</v>
      </c>
      <c r="G40" s="56" t="s">
        <v>284</v>
      </c>
      <c r="H40" s="201">
        <v>2</v>
      </c>
      <c r="I40" s="56" t="s">
        <v>194</v>
      </c>
      <c r="J40" s="56" t="s">
        <v>195</v>
      </c>
      <c r="K40" s="56"/>
      <c r="L40" s="449"/>
      <c r="M40" s="753" t="s">
        <v>194</v>
      </c>
      <c r="N40" s="753" t="s">
        <v>194</v>
      </c>
      <c r="O40" s="754">
        <f>IF((N40=M40)=TRUE,0,1)</f>
        <v>0</v>
      </c>
      <c r="P40" s="747">
        <v>2</v>
      </c>
      <c r="Q40" s="747">
        <v>2</v>
      </c>
      <c r="R40" s="502">
        <f t="shared" si="0"/>
        <v>0</v>
      </c>
      <c r="S40" s="755">
        <f t="shared" si="1"/>
        <v>0</v>
      </c>
      <c r="T40" s="542">
        <f t="shared" si="6"/>
        <v>0</v>
      </c>
      <c r="U40" s="542">
        <f t="shared" si="7"/>
        <v>0</v>
      </c>
      <c r="V40" s="542">
        <f t="shared" si="8"/>
        <v>0</v>
      </c>
      <c r="W40" s="2" t="b">
        <f t="shared" si="2"/>
        <v>1</v>
      </c>
      <c r="Y40" s="572"/>
      <c r="Z40" s="570">
        <v>1</v>
      </c>
      <c r="AA40" s="570">
        <f t="shared" si="3"/>
        <v>2</v>
      </c>
      <c r="AB40" s="570">
        <v>1</v>
      </c>
      <c r="AC40" s="570">
        <f t="shared" si="4"/>
        <v>2</v>
      </c>
      <c r="AD40" s="570">
        <v>0</v>
      </c>
      <c r="AE40" s="570"/>
      <c r="AF40" s="570"/>
      <c r="AG40" s="570"/>
      <c r="AH40" s="676">
        <f t="shared" si="5"/>
        <v>2</v>
      </c>
    </row>
    <row r="41" spans="1:35" s="2" customFormat="1" ht="60" customHeight="1">
      <c r="A41" s="749" t="s">
        <v>1735</v>
      </c>
      <c r="B41" s="765" t="s">
        <v>717</v>
      </c>
      <c r="C41" s="762">
        <v>29</v>
      </c>
      <c r="D41" s="20" t="s">
        <v>718</v>
      </c>
      <c r="E41" s="473"/>
      <c r="F41" s="750" t="s">
        <v>487</v>
      </c>
      <c r="G41" s="5" t="s">
        <v>283</v>
      </c>
      <c r="H41" s="746">
        <v>10</v>
      </c>
      <c r="I41" s="5"/>
      <c r="J41" s="5"/>
      <c r="K41" s="5"/>
      <c r="L41" s="756"/>
      <c r="M41" s="62">
        <f>M17+M23+M29+M31+M19+M20</f>
        <v>1</v>
      </c>
      <c r="N41" s="62">
        <f>N17+N23+N29+N31+N19+N20</f>
        <v>1</v>
      </c>
      <c r="O41" s="62"/>
      <c r="P41" s="747" t="str">
        <f>IF(N41=0,10,"行业水平评分")</f>
        <v>行业水平评分</v>
      </c>
      <c r="Q41" s="747" t="str">
        <f>IF(M41=0,10,"行业水平评分")</f>
        <v>行业水平评分</v>
      </c>
      <c r="R41" s="502">
        <f>0</f>
        <v>0</v>
      </c>
      <c r="S41" s="542">
        <f>IF(N41&lt;&gt;0,10,0)</f>
        <v>10</v>
      </c>
      <c r="T41" s="542">
        <f t="shared" si="6"/>
        <v>6</v>
      </c>
      <c r="U41" s="542">
        <f t="shared" si="7"/>
        <v>0.66666666666666663</v>
      </c>
      <c r="V41" s="542">
        <f t="shared" si="8"/>
        <v>0.33333333333333331</v>
      </c>
      <c r="Y41" s="572"/>
      <c r="Z41" s="570">
        <v>1</v>
      </c>
      <c r="AA41" s="570" t="str">
        <f t="shared" si="3"/>
        <v>行业水平评分</v>
      </c>
      <c r="AB41" s="570">
        <v>1</v>
      </c>
      <c r="AC41" s="570" t="str">
        <f t="shared" si="4"/>
        <v>行业水平评分</v>
      </c>
      <c r="AD41" s="572"/>
      <c r="AE41" s="572"/>
      <c r="AF41" s="572"/>
      <c r="AG41" s="572"/>
      <c r="AH41" s="676">
        <f t="shared" si="5"/>
        <v>2</v>
      </c>
    </row>
    <row r="42" spans="1:35" ht="15.6" customHeight="1">
      <c r="A42" s="12"/>
      <c r="B42" s="364"/>
      <c r="C42" s="762"/>
      <c r="D42" s="554" t="s">
        <v>275</v>
      </c>
      <c r="E42" s="477"/>
      <c r="F42" s="70"/>
      <c r="G42" s="5"/>
      <c r="H42" s="729">
        <f>SUM(H4:H41)</f>
        <v>90</v>
      </c>
      <c r="I42" s="12"/>
      <c r="J42" s="12"/>
      <c r="K42" s="12"/>
      <c r="L42" s="451"/>
      <c r="M42" s="446"/>
      <c r="N42" s="57"/>
      <c r="O42" s="40"/>
      <c r="P42" s="768">
        <f>SUBTOTAL(9,P4:P41)</f>
        <v>72</v>
      </c>
      <c r="Q42" s="768">
        <f>SUBTOTAL(9,Q4:Q41)</f>
        <v>69</v>
      </c>
      <c r="R42" s="767">
        <f>P42-Q42</f>
        <v>3</v>
      </c>
      <c r="S42" s="794">
        <f>SUM(S4:S41)</f>
        <v>18</v>
      </c>
      <c r="T42" s="838">
        <f t="shared" si="6"/>
        <v>10.799999999999999</v>
      </c>
      <c r="U42" s="838">
        <f t="shared" si="7"/>
        <v>1.2</v>
      </c>
      <c r="V42" s="838">
        <f t="shared" si="8"/>
        <v>0.6</v>
      </c>
    </row>
    <row r="43" spans="1:35">
      <c r="D43" s="539" t="s">
        <v>1846</v>
      </c>
      <c r="H43" s="772">
        <f>SUM(H4:H40)</f>
        <v>80</v>
      </c>
      <c r="P43" s="704">
        <f>P42-P45</f>
        <v>72</v>
      </c>
      <c r="Q43" s="704">
        <f>Q42-Q45</f>
        <v>69</v>
      </c>
      <c r="S43" s="794">
        <f>SUM(S4:S40)</f>
        <v>8</v>
      </c>
      <c r="T43" s="838">
        <f t="shared" si="6"/>
        <v>4.8</v>
      </c>
      <c r="U43" s="838">
        <f t="shared" si="7"/>
        <v>0.53333333333333333</v>
      </c>
      <c r="V43" s="838">
        <f t="shared" si="8"/>
        <v>0.26666666666666666</v>
      </c>
      <c r="W43" s="539" t="s">
        <v>1762</v>
      </c>
      <c r="X43" s="539"/>
      <c r="Y43" s="670" t="s">
        <v>1616</v>
      </c>
      <c r="AA43" s="571">
        <f>SUMPRODUCT(Z4:Z41,AA4:AA41)</f>
        <v>38</v>
      </c>
      <c r="AB43" s="571"/>
      <c r="AC43" s="571">
        <f>SUMPRODUCT(AB4:AB41,AC4:AC41)</f>
        <v>56.5</v>
      </c>
      <c r="AD43" s="571"/>
      <c r="AE43" s="571">
        <f>SUMPRODUCT(AD4:AD41,AE4:AE41)</f>
        <v>12</v>
      </c>
      <c r="AF43" s="571"/>
      <c r="AG43" s="571">
        <f>SUMPRODUCT(AF4:AF41,AG4:AG41)</f>
        <v>1.5</v>
      </c>
      <c r="AH43" s="571">
        <f>SUMPRODUCT(AD4:AD41,AH4:AH41)</f>
        <v>20</v>
      </c>
    </row>
    <row r="44" spans="1:35">
      <c r="D44" s="539" t="s">
        <v>1847</v>
      </c>
      <c r="H44" s="772">
        <f>H41</f>
        <v>10</v>
      </c>
      <c r="P44" s="704">
        <f>0</f>
        <v>0</v>
      </c>
      <c r="Q44" s="704">
        <f>0</f>
        <v>0</v>
      </c>
      <c r="S44" s="794">
        <f>S41</f>
        <v>10</v>
      </c>
      <c r="T44" s="838">
        <f t="shared" si="6"/>
        <v>6</v>
      </c>
      <c r="U44" s="838">
        <f t="shared" si="7"/>
        <v>0.66666666666666663</v>
      </c>
      <c r="V44" s="838">
        <f t="shared" si="8"/>
        <v>0.33333333333333331</v>
      </c>
      <c r="W44" s="539" t="s">
        <v>1848</v>
      </c>
      <c r="X44" s="539"/>
      <c r="AA44" s="571"/>
      <c r="AB44" s="571"/>
      <c r="AC44" s="571"/>
      <c r="AD44" s="571"/>
      <c r="AE44" s="571"/>
      <c r="AF44" s="571"/>
      <c r="AG44" s="571"/>
      <c r="AH44" s="571"/>
    </row>
    <row r="45" spans="1:35">
      <c r="D45" s="539" t="s">
        <v>537</v>
      </c>
      <c r="P45" s="704">
        <f>IF(P41=10,10,0)</f>
        <v>0</v>
      </c>
      <c r="Q45" s="704">
        <f>IF(Q41=10,10,0)</f>
        <v>0</v>
      </c>
      <c r="Y45" s="670" t="s">
        <v>1619</v>
      </c>
      <c r="AA45" s="571">
        <f>SUMPRODUCT(Z4:Z41,$H$4:$H$41)</f>
        <v>53</v>
      </c>
      <c r="AB45" s="571"/>
      <c r="AC45" s="571">
        <f>SUMPRODUCT(AB4:AB41,$H$4:$H$41)</f>
        <v>69.5</v>
      </c>
      <c r="AD45" s="571"/>
      <c r="AE45" s="571">
        <f>SUMPRODUCT(AD4:AD41,$H$4:$H$41)</f>
        <v>12</v>
      </c>
      <c r="AF45" s="571"/>
      <c r="AG45" s="571">
        <f>SUMPRODUCT(AF4:AF41,$H$4:$H$41)</f>
        <v>1.5</v>
      </c>
      <c r="AH45" s="571">
        <f>SUMPRODUCT(AD4:AD41,$H$4:$H$41)</f>
        <v>12</v>
      </c>
      <c r="AI45" s="135"/>
    </row>
    <row r="46" spans="1:35">
      <c r="D46" s="539" t="s">
        <v>539</v>
      </c>
      <c r="P46" s="704">
        <f>10-P45</f>
        <v>10</v>
      </c>
      <c r="Q46" s="704">
        <f>10-Q45</f>
        <v>10</v>
      </c>
    </row>
    <row r="47" spans="1:35">
      <c r="D47" s="539" t="s">
        <v>538</v>
      </c>
      <c r="H47" s="729">
        <v>10</v>
      </c>
      <c r="P47" s="704">
        <v>10</v>
      </c>
      <c r="Q47" s="704">
        <v>10</v>
      </c>
    </row>
    <row r="48" spans="1:35">
      <c r="D48" s="539" t="s">
        <v>540</v>
      </c>
      <c r="P48" s="704">
        <f>100-SUM(P43:P44)-P47</f>
        <v>18</v>
      </c>
      <c r="Q48" s="704">
        <f>100-SUM(Q43:Q44)-Q47</f>
        <v>21</v>
      </c>
    </row>
    <row r="49" spans="1:12">
      <c r="A49" s="27"/>
      <c r="B49" s="319"/>
      <c r="H49" s="19"/>
      <c r="L49" s="453"/>
    </row>
    <row r="50" spans="1:12">
      <c r="A50" s="27"/>
      <c r="B50" s="319"/>
      <c r="H50" s="19"/>
      <c r="L50" s="453"/>
    </row>
    <row r="51" spans="1:12">
      <c r="A51" s="27"/>
      <c r="B51" s="319"/>
      <c r="H51" s="19"/>
      <c r="L51" s="453"/>
    </row>
    <row r="52" spans="1:12">
      <c r="A52" s="27"/>
      <c r="B52" s="319"/>
      <c r="D52" s="877" t="s">
        <v>1897</v>
      </c>
      <c r="H52" s="19"/>
      <c r="L52" s="453"/>
    </row>
    <row r="53" spans="1:12">
      <c r="A53" s="27"/>
      <c r="B53" s="319"/>
      <c r="D53" s="876" t="s">
        <v>1944</v>
      </c>
      <c r="H53" s="19"/>
      <c r="L53" s="453"/>
    </row>
    <row r="54" spans="1:12">
      <c r="A54" s="27"/>
      <c r="B54" s="319"/>
      <c r="D54" s="27"/>
      <c r="H54" s="19"/>
      <c r="L54" s="453"/>
    </row>
    <row r="55" spans="1:12">
      <c r="A55" s="27"/>
      <c r="B55" s="319"/>
      <c r="D55" s="27"/>
      <c r="H55" s="19"/>
      <c r="L55" s="453"/>
    </row>
    <row r="56" spans="1:12">
      <c r="A56" s="27"/>
      <c r="B56" s="319"/>
      <c r="D56" s="27"/>
      <c r="H56" s="19"/>
      <c r="L56" s="453"/>
    </row>
    <row r="57" spans="1:12">
      <c r="A57" s="27"/>
      <c r="B57" s="319"/>
      <c r="D57" s="27"/>
      <c r="H57" s="19"/>
      <c r="L57" s="453"/>
    </row>
    <row r="58" spans="1:12">
      <c r="A58" s="27"/>
      <c r="B58" s="319"/>
      <c r="D58" s="27"/>
      <c r="H58" s="19"/>
      <c r="L58" s="453"/>
    </row>
    <row r="59" spans="1:12">
      <c r="A59" s="27"/>
      <c r="B59" s="319"/>
      <c r="D59" s="27"/>
      <c r="H59" s="19"/>
      <c r="L59" s="453"/>
    </row>
    <row r="60" spans="1:12">
      <c r="A60" s="27"/>
      <c r="B60" s="319"/>
      <c r="D60" s="27"/>
      <c r="H60" s="19"/>
      <c r="L60" s="453"/>
    </row>
    <row r="61" spans="1:12">
      <c r="A61" s="27"/>
      <c r="B61" s="319"/>
      <c r="D61" s="27"/>
      <c r="H61" s="19"/>
      <c r="L61" s="453"/>
    </row>
    <row r="62" spans="1:12">
      <c r="A62" s="27"/>
      <c r="B62" s="319"/>
      <c r="D62" s="27"/>
      <c r="H62" s="19"/>
      <c r="L62" s="453"/>
    </row>
    <row r="63" spans="1:12">
      <c r="A63" s="27"/>
      <c r="B63" s="319"/>
      <c r="D63" s="27"/>
      <c r="H63" s="19"/>
      <c r="L63" s="453"/>
    </row>
    <row r="64" spans="1:12">
      <c r="A64" s="27"/>
      <c r="B64" s="319"/>
      <c r="D64" s="27"/>
      <c r="H64" s="19"/>
      <c r="L64" s="453"/>
    </row>
    <row r="65" spans="1:12">
      <c r="A65" s="27"/>
      <c r="B65" s="319"/>
      <c r="D65" s="27"/>
      <c r="H65" s="19"/>
      <c r="L65" s="453"/>
    </row>
    <row r="66" spans="1:12">
      <c r="A66" s="27"/>
      <c r="B66" s="319"/>
      <c r="D66" s="27"/>
      <c r="H66" s="19"/>
      <c r="L66" s="453"/>
    </row>
    <row r="67" spans="1:12">
      <c r="A67" s="27"/>
      <c r="B67" s="319"/>
      <c r="D67" s="27"/>
      <c r="H67" s="19"/>
      <c r="L67" s="453"/>
    </row>
    <row r="68" spans="1:12">
      <c r="A68" s="27"/>
      <c r="B68" s="319"/>
      <c r="D68" s="27"/>
      <c r="H68" s="19"/>
      <c r="L68" s="453"/>
    </row>
    <row r="69" spans="1:12">
      <c r="A69" s="27"/>
      <c r="B69" s="319"/>
      <c r="D69" s="27"/>
      <c r="H69" s="19"/>
      <c r="L69" s="453"/>
    </row>
    <row r="70" spans="1:12">
      <c r="A70" s="27"/>
      <c r="B70" s="319"/>
      <c r="D70" s="27"/>
      <c r="H70" s="19"/>
      <c r="L70" s="453"/>
    </row>
    <row r="71" spans="1:12">
      <c r="A71" s="27"/>
      <c r="B71" s="319"/>
      <c r="D71" s="27"/>
      <c r="H71" s="19"/>
      <c r="L71" s="453"/>
    </row>
    <row r="72" spans="1:12">
      <c r="A72" s="27"/>
      <c r="B72" s="319"/>
      <c r="D72" s="27"/>
      <c r="H72" s="19"/>
      <c r="L72" s="453"/>
    </row>
    <row r="73" spans="1:12">
      <c r="A73" s="27"/>
      <c r="B73" s="319"/>
      <c r="D73" s="27"/>
      <c r="H73" s="19"/>
      <c r="L73" s="453"/>
    </row>
    <row r="74" spans="1:12">
      <c r="A74" s="27"/>
      <c r="B74" s="319"/>
      <c r="D74" s="27"/>
      <c r="H74" s="19"/>
      <c r="L74" s="453"/>
    </row>
    <row r="75" spans="1:12">
      <c r="A75" s="27"/>
      <c r="B75" s="319"/>
      <c r="D75" s="27"/>
      <c r="H75" s="19"/>
      <c r="L75" s="453"/>
    </row>
    <row r="76" spans="1:12">
      <c r="A76" s="27"/>
      <c r="B76" s="319"/>
      <c r="D76" s="27"/>
      <c r="H76" s="19"/>
      <c r="L76" s="453"/>
    </row>
    <row r="77" spans="1:12">
      <c r="A77" s="27"/>
      <c r="B77" s="319"/>
      <c r="D77" s="27"/>
      <c r="H77" s="19"/>
      <c r="L77" s="453"/>
    </row>
    <row r="78" spans="1:12">
      <c r="A78" s="27"/>
      <c r="B78" s="319"/>
      <c r="D78" s="27"/>
      <c r="H78" s="19"/>
      <c r="L78" s="453"/>
    </row>
    <row r="79" spans="1:12">
      <c r="A79" s="27"/>
      <c r="B79" s="319"/>
      <c r="D79" s="27"/>
      <c r="H79" s="19"/>
      <c r="L79" s="453"/>
    </row>
    <row r="80" spans="1:12">
      <c r="A80" s="27"/>
      <c r="B80" s="319"/>
      <c r="D80" s="27"/>
      <c r="H80" s="19"/>
      <c r="L80" s="453"/>
    </row>
    <row r="81" spans="1:12">
      <c r="A81" s="27"/>
      <c r="B81" s="319"/>
      <c r="D81" s="27"/>
      <c r="H81" s="19"/>
      <c r="L81" s="453"/>
    </row>
    <row r="82" spans="1:12">
      <c r="A82" s="27"/>
      <c r="B82" s="319"/>
      <c r="D82" s="27"/>
      <c r="H82" s="19"/>
      <c r="L82" s="453"/>
    </row>
    <row r="83" spans="1:12">
      <c r="A83" s="27"/>
      <c r="B83" s="319"/>
      <c r="D83" s="27"/>
      <c r="H83" s="19"/>
      <c r="L83" s="453"/>
    </row>
    <row r="84" spans="1:12">
      <c r="A84" s="27"/>
      <c r="B84" s="319"/>
      <c r="D84" s="27"/>
      <c r="H84" s="19"/>
      <c r="L84" s="453"/>
    </row>
    <row r="85" spans="1:12">
      <c r="A85" s="27"/>
      <c r="B85" s="319"/>
      <c r="D85" s="27"/>
      <c r="H85" s="19"/>
      <c r="L85" s="453"/>
    </row>
  </sheetData>
  <mergeCells count="2">
    <mergeCell ref="A7:A10"/>
    <mergeCell ref="B7:B10"/>
  </mergeCells>
  <phoneticPr fontId="12" type="noConversion"/>
  <conditionalFormatting sqref="O4:O40">
    <cfRule type="cellIs" dxfId="110" priority="27" stopIfTrue="1" operator="lessThanOrEqual">
      <formula>-0.3</formula>
    </cfRule>
    <cfRule type="cellIs" dxfId="109" priority="28" stopIfTrue="1" operator="greaterThanOrEqual">
      <formula>0.3</formula>
    </cfRule>
  </conditionalFormatting>
  <conditionalFormatting sqref="P36:Q36">
    <cfRule type="cellIs" dxfId="108" priority="25" operator="notEqual">
      <formula>3</formula>
    </cfRule>
  </conditionalFormatting>
  <conditionalFormatting sqref="S4:V41">
    <cfRule type="expression" dxfId="107" priority="23">
      <formula>S4&lt;&gt;0</formula>
    </cfRule>
  </conditionalFormatting>
  <conditionalFormatting sqref="P4">
    <cfRule type="expression" dxfId="106" priority="20">
      <formula>P4&lt;&gt;H4</formula>
    </cfRule>
  </conditionalFormatting>
  <conditionalFormatting sqref="P5:P10">
    <cfRule type="expression" dxfId="105" priority="19">
      <formula>P5&lt;&gt;H5</formula>
    </cfRule>
  </conditionalFormatting>
  <conditionalFormatting sqref="P5:P41">
    <cfRule type="expression" dxfId="104" priority="18">
      <formula>P5&lt;&gt;H5</formula>
    </cfRule>
  </conditionalFormatting>
  <conditionalFormatting sqref="Q4">
    <cfRule type="expression" dxfId="103" priority="17">
      <formula>Q4&lt;&gt;H4</formula>
    </cfRule>
  </conditionalFormatting>
  <conditionalFormatting sqref="Q5:Q23">
    <cfRule type="expression" dxfId="102" priority="16">
      <formula>Q5&lt;&gt;H5</formula>
    </cfRule>
  </conditionalFormatting>
  <conditionalFormatting sqref="Q20:Q41">
    <cfRule type="expression" dxfId="101" priority="15">
      <formula>Q20&lt;&gt;H20</formula>
    </cfRule>
  </conditionalFormatting>
  <conditionalFormatting sqref="R4:R41">
    <cfRule type="expression" dxfId="100" priority="14">
      <formula>R4&lt;0</formula>
    </cfRule>
  </conditionalFormatting>
  <conditionalFormatting sqref="R4:R41">
    <cfRule type="cellIs" dxfId="99" priority="11" stopIfTrue="1" operator="lessThan">
      <formula>0</formula>
    </cfRule>
    <cfRule type="cellIs" dxfId="98" priority="12" operator="greaterThan">
      <formula>0</formula>
    </cfRule>
  </conditionalFormatting>
  <dataValidations count="14">
    <dataValidation type="list" allowBlank="1" showInputMessage="1" showErrorMessage="1" sqref="H5 M5:N5">
      <formula1>"是,否"</formula1>
    </dataValidation>
    <dataValidation type="list" allowBlank="1" showInputMessage="1" showErrorMessage="1" sqref="L4:N4">
      <formula1>$I$4:$K$4</formula1>
    </dataValidation>
    <dataValidation type="list" allowBlank="1" showInputMessage="1" showErrorMessage="1" sqref="L30">
      <formula1>$I$30:$K$30</formula1>
    </dataValidation>
    <dataValidation type="list" allowBlank="1" showInputMessage="1" showErrorMessage="1" sqref="L32">
      <formula1>$I$32:$J$32</formula1>
    </dataValidation>
    <dataValidation type="list" allowBlank="1" showInputMessage="1" showErrorMessage="1" sqref="L34">
      <formula1>$I$34:$J$34</formula1>
    </dataValidation>
    <dataValidation type="list" allowBlank="1" showInputMessage="1" showErrorMessage="1" sqref="L35">
      <formula1>$I$35:$K$35</formula1>
    </dataValidation>
    <dataValidation type="list" allowBlank="1" showInputMessage="1" showErrorMessage="1" sqref="L18">
      <formula1>$M$18:$M$18</formula1>
    </dataValidation>
    <dataValidation type="list" allowBlank="1" showInputMessage="1" showErrorMessage="1" sqref="L16">
      <formula1>$M$16:$M$16</formula1>
    </dataValidation>
    <dataValidation type="list" allowBlank="1" showInputMessage="1" showErrorMessage="1" sqref="L15">
      <formula1>$M$15:$M$15</formula1>
    </dataValidation>
    <dataValidation type="list" allowBlank="1" showInputMessage="1" showErrorMessage="1" sqref="L14">
      <formula1>$M$14:$M$14</formula1>
    </dataValidation>
    <dataValidation type="list" allowBlank="1" showInputMessage="1" showErrorMessage="1" sqref="L28">
      <formula1>$M$28:$M$28</formula1>
    </dataValidation>
    <dataValidation type="list" allowBlank="1" showInputMessage="1" showErrorMessage="1" sqref="L24">
      <formula1>$M$24:$M$24</formula1>
    </dataValidation>
    <dataValidation type="list" allowBlank="1" showInputMessage="1" showErrorMessage="1" sqref="L22">
      <formula1>$M$22:$M$22</formula1>
    </dataValidation>
    <dataValidation type="list" allowBlank="1" showInputMessage="1" showErrorMessage="1" sqref="L21">
      <formula1>$M$21:$M$21</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sheetPr>
  <dimension ref="A1:AL121"/>
  <sheetViews>
    <sheetView workbookViewId="0">
      <pane xSplit="9" ySplit="3" topLeftCell="J7" activePane="bottomRight" state="frozenSplit"/>
      <selection activeCell="C1" sqref="A1:XFD1048576"/>
      <selection pane="topRight" activeCell="H1" sqref="H1"/>
      <selection pane="bottomLeft" activeCell="C4" sqref="C4"/>
      <selection pane="bottomRight" activeCell="AO26" sqref="AO26"/>
    </sheetView>
  </sheetViews>
  <sheetFormatPr defaultColWidth="8.875" defaultRowHeight="16.5" outlineLevelCol="2"/>
  <cols>
    <col min="1" max="1" width="20.75" style="312" hidden="1" customWidth="1" outlineLevel="1"/>
    <col min="2" max="2" width="14.125" style="312" hidden="1" customWidth="1" outlineLevel="1"/>
    <col min="3" max="3" width="4.625" style="8" customWidth="1" collapsed="1"/>
    <col min="4" max="4" width="37.875" style="1" customWidth="1"/>
    <col min="5" max="5" width="14.125" style="478" hidden="1" customWidth="1" outlineLevel="1"/>
    <col min="6" max="6" width="11" style="26" hidden="1" customWidth="1" outlineLevel="2"/>
    <col min="7" max="7" width="9.75" style="31" hidden="1" customWidth="1" outlineLevel="2"/>
    <col min="8" max="8" width="7.5" style="1" hidden="1" customWidth="1" outlineLevel="1"/>
    <col min="9" max="9" width="9.875" style="27" customWidth="1" collapsed="1"/>
    <col min="10" max="10" width="9.875" style="27" customWidth="1"/>
    <col min="11" max="11" width="8.125" style="8" customWidth="1"/>
    <col min="12" max="12" width="10.125" style="8" customWidth="1"/>
    <col min="13" max="13" width="10.375" style="27" bestFit="1" customWidth="1"/>
    <col min="14" max="14" width="8.125" style="27" bestFit="1" customWidth="1"/>
    <col min="15" max="15" width="9.25" style="27" hidden="1" customWidth="1"/>
    <col min="16" max="18" width="8.875" style="1" hidden="1" customWidth="1"/>
    <col min="19" max="19" width="9.875" style="1" hidden="1" customWidth="1"/>
    <col min="20" max="20" width="11.375" style="1" hidden="1" customWidth="1"/>
    <col min="21" max="21" width="8.875" style="1" hidden="1" customWidth="1"/>
    <col min="22" max="27" width="8.875" style="670" hidden="1" customWidth="1" outlineLevel="1"/>
    <col min="28" max="28" width="15" style="670" hidden="1" customWidth="1" outlineLevel="1"/>
    <col min="29" max="30" width="8.875" style="670" hidden="1" customWidth="1" outlineLevel="1"/>
    <col min="31" max="31" width="15.125" style="670" hidden="1" customWidth="1" outlineLevel="1"/>
    <col min="32" max="32" width="14.25" style="670" hidden="1" customWidth="1" outlineLevel="1"/>
    <col min="33" max="35" width="12" style="670" hidden="1" customWidth="1" outlineLevel="1"/>
    <col min="36" max="36" width="32.125" style="670" hidden="1" customWidth="1" outlineLevel="1"/>
    <col min="37" max="37" width="5.5" style="670" hidden="1" customWidth="1" outlineLevel="1"/>
    <col min="38" max="38" width="8.875" style="1" collapsed="1"/>
    <col min="39" max="16384" width="8.875" style="1"/>
  </cols>
  <sheetData>
    <row r="1" spans="1:37">
      <c r="A1" s="357"/>
      <c r="B1" s="357"/>
      <c r="C1" s="159" t="s">
        <v>31</v>
      </c>
      <c r="D1" s="159"/>
      <c r="E1" s="479"/>
      <c r="F1" s="187"/>
      <c r="G1" s="628"/>
      <c r="I1" s="43"/>
      <c r="J1" s="628"/>
      <c r="K1" s="723"/>
      <c r="L1" s="723"/>
      <c r="M1" s="628"/>
      <c r="N1" s="189"/>
      <c r="O1" s="628"/>
    </row>
    <row r="2" spans="1:37">
      <c r="A2" s="357"/>
      <c r="B2" s="357"/>
      <c r="C2" s="28"/>
      <c r="D2" s="28"/>
      <c r="E2" s="479"/>
      <c r="F2" s="187"/>
      <c r="G2" s="91"/>
      <c r="I2" s="43"/>
      <c r="J2" s="628"/>
      <c r="K2" s="723"/>
      <c r="L2" s="723"/>
      <c r="M2" s="628"/>
      <c r="N2" s="189"/>
      <c r="O2" s="308" t="s">
        <v>1945</v>
      </c>
      <c r="U2" s="19"/>
      <c r="W2" s="670" t="s">
        <v>1169</v>
      </c>
    </row>
    <row r="3" spans="1:37" s="2" customFormat="1" ht="15">
      <c r="A3" s="39" t="s">
        <v>470</v>
      </c>
      <c r="B3" s="39" t="s">
        <v>471</v>
      </c>
      <c r="C3" s="14" t="s">
        <v>228</v>
      </c>
      <c r="D3" s="15" t="s">
        <v>227</v>
      </c>
      <c r="E3" s="15" t="s">
        <v>1752</v>
      </c>
      <c r="F3" s="15" t="s">
        <v>1831</v>
      </c>
      <c r="G3" s="15" t="s">
        <v>469</v>
      </c>
      <c r="H3" s="15" t="s">
        <v>732</v>
      </c>
      <c r="I3" s="15" t="s">
        <v>571</v>
      </c>
      <c r="J3" s="15" t="s">
        <v>1188</v>
      </c>
      <c r="K3" s="973" t="s">
        <v>2347</v>
      </c>
      <c r="L3" s="15" t="s">
        <v>1759</v>
      </c>
      <c r="M3" s="707" t="s">
        <v>2350</v>
      </c>
      <c r="N3" s="15" t="s">
        <v>1826</v>
      </c>
      <c r="O3" s="90" t="s">
        <v>1189</v>
      </c>
      <c r="P3" s="67" t="s">
        <v>1190</v>
      </c>
      <c r="Q3" s="67" t="s">
        <v>541</v>
      </c>
      <c r="R3" s="751" t="s">
        <v>1889</v>
      </c>
      <c r="S3" s="751" t="s">
        <v>1890</v>
      </c>
      <c r="T3" s="751" t="s">
        <v>1891</v>
      </c>
      <c r="U3" s="733"/>
      <c r="V3" s="572"/>
      <c r="W3" s="572" t="s">
        <v>1602</v>
      </c>
      <c r="X3" s="572" t="s">
        <v>1601</v>
      </c>
      <c r="Y3" s="572" t="s">
        <v>1438</v>
      </c>
      <c r="Z3" s="572" t="s">
        <v>1607</v>
      </c>
      <c r="AA3" s="572" t="s">
        <v>1439</v>
      </c>
      <c r="AB3" s="572" t="s">
        <v>1608</v>
      </c>
      <c r="AC3" s="572" t="s">
        <v>1659</v>
      </c>
      <c r="AD3" s="572" t="s">
        <v>1660</v>
      </c>
      <c r="AE3" s="572" t="s">
        <v>1651</v>
      </c>
      <c r="AF3" s="572" t="s">
        <v>1653</v>
      </c>
      <c r="AG3" s="572"/>
      <c r="AH3" s="572"/>
      <c r="AI3" s="572"/>
      <c r="AJ3" s="572"/>
      <c r="AK3" s="572" t="s">
        <v>1655</v>
      </c>
    </row>
    <row r="4" spans="1:37" s="2" customFormat="1" ht="15.6" customHeight="1">
      <c r="A4" s="358" t="s">
        <v>1162</v>
      </c>
      <c r="B4" s="358" t="s">
        <v>318</v>
      </c>
      <c r="C4" s="11">
        <v>1</v>
      </c>
      <c r="D4" s="20" t="s">
        <v>32</v>
      </c>
      <c r="E4" s="473" t="s">
        <v>257</v>
      </c>
      <c r="F4" s="5" t="s">
        <v>257</v>
      </c>
      <c r="G4" s="629" t="s">
        <v>1832</v>
      </c>
      <c r="H4" s="76" t="s">
        <v>284</v>
      </c>
      <c r="I4" s="200">
        <v>2</v>
      </c>
      <c r="J4" s="50"/>
      <c r="K4" s="61">
        <v>20.260000000000002</v>
      </c>
      <c r="L4" s="61">
        <v>20.010000000000002</v>
      </c>
      <c r="M4" s="246">
        <f>IF(K4&gt;7,2,IF(K4&gt;5,1,0))</f>
        <v>2</v>
      </c>
      <c r="N4" s="246">
        <f>IF(L4&gt;7,2,IF(L4&gt;5,1,0))</f>
        <v>2</v>
      </c>
      <c r="O4" s="665">
        <f>IF(AND(L4=0,K4&lt;&gt;0),1,IF(AND(L4=0,K4=0),0,K4/L4-1))</f>
        <v>1.2493753123438367E-2</v>
      </c>
      <c r="P4" s="502">
        <f>M4-N4</f>
        <v>0</v>
      </c>
      <c r="Q4" s="542">
        <f t="shared" ref="Q4:Q35" si="0">I4-M4</f>
        <v>0</v>
      </c>
      <c r="R4" s="542">
        <f>Q4*100%</f>
        <v>0</v>
      </c>
      <c r="S4" s="542">
        <f>R4/9</f>
        <v>0</v>
      </c>
      <c r="T4" s="542">
        <f>S4/2</f>
        <v>0</v>
      </c>
      <c r="U4" s="257"/>
      <c r="V4" s="734"/>
      <c r="W4" s="710">
        <v>1</v>
      </c>
      <c r="X4" s="710">
        <f t="shared" ref="X4:X35" si="1">$M4</f>
        <v>2</v>
      </c>
      <c r="Y4" s="570">
        <v>0</v>
      </c>
      <c r="Z4" s="570"/>
      <c r="AA4" s="570">
        <v>0</v>
      </c>
      <c r="AB4" s="710">
        <f t="shared" ref="AB4:AB35" si="2">$M4</f>
        <v>2</v>
      </c>
      <c r="AC4" s="570"/>
      <c r="AD4" s="570"/>
      <c r="AE4" s="572"/>
      <c r="AF4" s="572"/>
      <c r="AG4" s="572"/>
      <c r="AH4" s="572"/>
      <c r="AI4" s="572"/>
      <c r="AJ4" s="572" t="str">
        <f>AE4&amp;AF4</f>
        <v/>
      </c>
      <c r="AK4" s="572"/>
    </row>
    <row r="5" spans="1:37" s="2" customFormat="1" ht="15.6" customHeight="1">
      <c r="A5" s="358" t="s">
        <v>319</v>
      </c>
      <c r="B5" s="358" t="s">
        <v>320</v>
      </c>
      <c r="C5" s="11">
        <v>2</v>
      </c>
      <c r="D5" s="20" t="s">
        <v>33</v>
      </c>
      <c r="E5" s="473" t="s">
        <v>257</v>
      </c>
      <c r="F5" s="5" t="s">
        <v>257</v>
      </c>
      <c r="G5" s="629" t="s">
        <v>1833</v>
      </c>
      <c r="H5" s="76" t="s">
        <v>284</v>
      </c>
      <c r="I5" s="200">
        <v>2</v>
      </c>
      <c r="J5" s="50" t="s">
        <v>260</v>
      </c>
      <c r="K5" s="61" t="s">
        <v>34</v>
      </c>
      <c r="L5" s="61" t="s">
        <v>34</v>
      </c>
      <c r="M5" s="242">
        <v>2</v>
      </c>
      <c r="N5" s="444">
        <v>2</v>
      </c>
      <c r="O5" s="665">
        <f>IF((K5=L5)=TRUE,0,1)</f>
        <v>0</v>
      </c>
      <c r="P5" s="502">
        <f t="shared" ref="P5:P63" si="3">M5-N5</f>
        <v>0</v>
      </c>
      <c r="Q5" s="542">
        <f t="shared" si="0"/>
        <v>0</v>
      </c>
      <c r="R5" s="542">
        <f t="shared" ref="R5:R66" si="4">Q5*100%</f>
        <v>0</v>
      </c>
      <c r="S5" s="542">
        <f t="shared" ref="S5:S66" si="5">R5/9</f>
        <v>0</v>
      </c>
      <c r="T5" s="542">
        <f t="shared" ref="T5:T66" si="6">S5/2</f>
        <v>0</v>
      </c>
      <c r="U5" s="257"/>
      <c r="V5" s="734"/>
      <c r="W5" s="710">
        <v>1</v>
      </c>
      <c r="X5" s="710">
        <f t="shared" si="1"/>
        <v>2</v>
      </c>
      <c r="Y5" s="570">
        <v>0</v>
      </c>
      <c r="Z5" s="570"/>
      <c r="AA5" s="570">
        <v>0</v>
      </c>
      <c r="AB5" s="710">
        <f t="shared" si="2"/>
        <v>2</v>
      </c>
      <c r="AC5" s="570"/>
      <c r="AD5" s="570"/>
      <c r="AE5" s="572"/>
      <c r="AF5" s="572"/>
      <c r="AG5" s="572" t="s">
        <v>34</v>
      </c>
      <c r="AH5" s="572" t="s">
        <v>35</v>
      </c>
      <c r="AI5" s="572"/>
      <c r="AJ5" s="572" t="str">
        <f t="shared" ref="AJ5:AJ62" si="7">AE5&amp;AF5</f>
        <v/>
      </c>
      <c r="AK5" s="572"/>
    </row>
    <row r="6" spans="1:37" s="2" customFormat="1" ht="15.6" customHeight="1">
      <c r="A6" s="358" t="s">
        <v>321</v>
      </c>
      <c r="B6" s="358" t="s">
        <v>322</v>
      </c>
      <c r="C6" s="11">
        <v>3</v>
      </c>
      <c r="D6" s="20" t="s">
        <v>36</v>
      </c>
      <c r="E6" s="473" t="s">
        <v>257</v>
      </c>
      <c r="F6" s="5" t="s">
        <v>257</v>
      </c>
      <c r="G6" s="629" t="s">
        <v>474</v>
      </c>
      <c r="H6" s="76" t="s">
        <v>284</v>
      </c>
      <c r="I6" s="200">
        <v>2</v>
      </c>
      <c r="J6" s="50"/>
      <c r="K6" s="275">
        <v>5.07</v>
      </c>
      <c r="L6" s="275">
        <v>5.51</v>
      </c>
      <c r="M6" s="242">
        <f>IF(K6&gt;=5,2,0)</f>
        <v>2</v>
      </c>
      <c r="N6" s="444">
        <f>IF(L6&gt;=5,2,0)</f>
        <v>2</v>
      </c>
      <c r="O6" s="665">
        <f>IF(AND(L6=0,K6&lt;&gt;0),1,IF(AND(L6=0,K6=0),0,K6/L6-1))</f>
        <v>-7.9854809437386431E-2</v>
      </c>
      <c r="P6" s="502">
        <f t="shared" si="3"/>
        <v>0</v>
      </c>
      <c r="Q6" s="542">
        <f t="shared" si="0"/>
        <v>0</v>
      </c>
      <c r="R6" s="542">
        <f t="shared" si="4"/>
        <v>0</v>
      </c>
      <c r="S6" s="542">
        <f t="shared" si="5"/>
        <v>0</v>
      </c>
      <c r="T6" s="542">
        <f t="shared" si="6"/>
        <v>0</v>
      </c>
      <c r="U6" s="731"/>
      <c r="V6" s="734"/>
      <c r="W6" s="710">
        <v>1</v>
      </c>
      <c r="X6" s="710">
        <f t="shared" si="1"/>
        <v>2</v>
      </c>
      <c r="Y6" s="570">
        <v>0</v>
      </c>
      <c r="Z6" s="570"/>
      <c r="AA6" s="570">
        <v>0</v>
      </c>
      <c r="AB6" s="710">
        <f t="shared" si="2"/>
        <v>2</v>
      </c>
      <c r="AC6" s="570"/>
      <c r="AD6" s="570"/>
      <c r="AE6" s="572"/>
      <c r="AF6" s="572"/>
      <c r="AG6" s="572"/>
      <c r="AH6" s="572"/>
      <c r="AI6" s="572"/>
      <c r="AJ6" s="572" t="str">
        <f t="shared" si="7"/>
        <v/>
      </c>
      <c r="AK6" s="572"/>
    </row>
    <row r="7" spans="1:37" s="2" customFormat="1" ht="15.6" customHeight="1">
      <c r="A7" s="1986" t="s">
        <v>323</v>
      </c>
      <c r="B7" s="1986" t="s">
        <v>324</v>
      </c>
      <c r="C7" s="11">
        <v>4</v>
      </c>
      <c r="D7" s="20" t="s">
        <v>37</v>
      </c>
      <c r="E7" s="473" t="s">
        <v>257</v>
      </c>
      <c r="F7" s="5" t="s">
        <v>257</v>
      </c>
      <c r="G7" s="629" t="s">
        <v>474</v>
      </c>
      <c r="H7" s="1874" t="s">
        <v>284</v>
      </c>
      <c r="I7" s="1883">
        <v>1</v>
      </c>
      <c r="J7" s="50" t="s">
        <v>261</v>
      </c>
      <c r="K7" s="61" t="s">
        <v>38</v>
      </c>
      <c r="L7" s="61" t="s">
        <v>38</v>
      </c>
      <c r="M7" s="1984">
        <v>1</v>
      </c>
      <c r="N7" s="1984">
        <v>1</v>
      </c>
      <c r="O7" s="665">
        <f>IF((K7=L7)=TRUE,0,1)</f>
        <v>0</v>
      </c>
      <c r="P7" s="502">
        <f t="shared" si="3"/>
        <v>0</v>
      </c>
      <c r="Q7" s="542">
        <f t="shared" si="0"/>
        <v>0</v>
      </c>
      <c r="R7" s="542">
        <f t="shared" si="4"/>
        <v>0</v>
      </c>
      <c r="S7" s="542">
        <f t="shared" si="5"/>
        <v>0</v>
      </c>
      <c r="T7" s="542">
        <f t="shared" si="6"/>
        <v>0</v>
      </c>
      <c r="U7" s="731"/>
      <c r="V7" s="734"/>
      <c r="W7" s="710">
        <v>1</v>
      </c>
      <c r="X7" s="710">
        <f t="shared" si="1"/>
        <v>1</v>
      </c>
      <c r="Y7" s="570">
        <v>0</v>
      </c>
      <c r="Z7" s="570"/>
      <c r="AA7" s="570">
        <v>0</v>
      </c>
      <c r="AB7" s="710">
        <f t="shared" si="2"/>
        <v>1</v>
      </c>
      <c r="AC7" s="570"/>
      <c r="AD7" s="570"/>
      <c r="AE7" s="572"/>
      <c r="AF7" s="572"/>
      <c r="AG7" s="572" t="s">
        <v>38</v>
      </c>
      <c r="AH7" s="572" t="s">
        <v>39</v>
      </c>
      <c r="AI7" s="572" t="s">
        <v>40</v>
      </c>
      <c r="AJ7" s="572" t="str">
        <f t="shared" si="7"/>
        <v/>
      </c>
      <c r="AK7" s="572"/>
    </row>
    <row r="8" spans="1:37" s="2" customFormat="1" ht="15.6" customHeight="1">
      <c r="A8" s="1862"/>
      <c r="B8" s="1862"/>
      <c r="C8" s="11">
        <v>5</v>
      </c>
      <c r="D8" s="20" t="s">
        <v>41</v>
      </c>
      <c r="E8" s="473" t="s">
        <v>257</v>
      </c>
      <c r="F8" s="5" t="s">
        <v>257</v>
      </c>
      <c r="G8" s="629" t="s">
        <v>474</v>
      </c>
      <c r="H8" s="1874"/>
      <c r="I8" s="1883"/>
      <c r="J8" s="50" t="s">
        <v>261</v>
      </c>
      <c r="K8" s="61" t="s">
        <v>42</v>
      </c>
      <c r="L8" s="61" t="s">
        <v>42</v>
      </c>
      <c r="M8" s="1985"/>
      <c r="N8" s="1985"/>
      <c r="O8" s="665">
        <f>IF((K8=L8)=TRUE,0,1)</f>
        <v>0</v>
      </c>
      <c r="P8" s="502">
        <f t="shared" si="3"/>
        <v>0</v>
      </c>
      <c r="Q8" s="542">
        <f t="shared" si="0"/>
        <v>0</v>
      </c>
      <c r="R8" s="542">
        <f t="shared" si="4"/>
        <v>0</v>
      </c>
      <c r="S8" s="542">
        <f t="shared" si="5"/>
        <v>0</v>
      </c>
      <c r="T8" s="542">
        <f t="shared" si="6"/>
        <v>0</v>
      </c>
      <c r="U8" s="731"/>
      <c r="V8" s="734"/>
      <c r="W8" s="710">
        <v>1</v>
      </c>
      <c r="X8" s="710">
        <f t="shared" si="1"/>
        <v>0</v>
      </c>
      <c r="Y8" s="570">
        <v>0</v>
      </c>
      <c r="Z8" s="570"/>
      <c r="AA8" s="570">
        <v>0</v>
      </c>
      <c r="AB8" s="710">
        <f t="shared" si="2"/>
        <v>0</v>
      </c>
      <c r="AC8" s="570"/>
      <c r="AD8" s="570"/>
      <c r="AE8" s="572"/>
      <c r="AF8" s="572"/>
      <c r="AG8" s="572" t="s">
        <v>42</v>
      </c>
      <c r="AH8" s="572" t="s">
        <v>43</v>
      </c>
      <c r="AI8" s="572" t="s">
        <v>40</v>
      </c>
      <c r="AJ8" s="572" t="str">
        <f t="shared" si="7"/>
        <v/>
      </c>
      <c r="AK8" s="572"/>
    </row>
    <row r="9" spans="1:37" s="2" customFormat="1" ht="15.6" customHeight="1">
      <c r="A9" s="1986" t="s">
        <v>1163</v>
      </c>
      <c r="B9" s="1986" t="s">
        <v>325</v>
      </c>
      <c r="C9" s="11">
        <v>6</v>
      </c>
      <c r="D9" s="20" t="s">
        <v>44</v>
      </c>
      <c r="E9" s="473"/>
      <c r="F9" s="5"/>
      <c r="G9" s="629" t="s">
        <v>474</v>
      </c>
      <c r="H9" s="76" t="s">
        <v>284</v>
      </c>
      <c r="I9" s="200">
        <v>1</v>
      </c>
      <c r="J9" s="50"/>
      <c r="K9" s="724">
        <f>IF(K11=0,"",K10/K11)</f>
        <v>0.55555555555555558</v>
      </c>
      <c r="L9" s="724">
        <f>IF(L11=0,"",L10/L11)</f>
        <v>1</v>
      </c>
      <c r="M9" s="238">
        <f>IF(K9&gt;=0.25,1,0)</f>
        <v>1</v>
      </c>
      <c r="N9" s="457">
        <f>IF(L9&gt;=0.25,1,0)</f>
        <v>1</v>
      </c>
      <c r="O9" s="665">
        <f t="shared" ref="O9:O20" si="8">IF(AND(L9=0,K9&lt;&gt;0),1,IF(AND(L9=0,K9=0),0,K9/L9-1))</f>
        <v>-0.44444444444444442</v>
      </c>
      <c r="P9" s="502">
        <f t="shared" si="3"/>
        <v>0</v>
      </c>
      <c r="Q9" s="542">
        <f t="shared" si="0"/>
        <v>0</v>
      </c>
      <c r="R9" s="542">
        <f t="shared" si="4"/>
        <v>0</v>
      </c>
      <c r="S9" s="542">
        <f t="shared" si="5"/>
        <v>0</v>
      </c>
      <c r="T9" s="542">
        <f t="shared" si="6"/>
        <v>0</v>
      </c>
      <c r="U9" s="731"/>
      <c r="V9" s="734"/>
      <c r="W9" s="710">
        <v>0.5</v>
      </c>
      <c r="X9" s="710">
        <f t="shared" si="1"/>
        <v>1</v>
      </c>
      <c r="Y9" s="570">
        <v>0</v>
      </c>
      <c r="Z9" s="570"/>
      <c r="AA9" s="570">
        <v>0</v>
      </c>
      <c r="AB9" s="710">
        <f t="shared" si="2"/>
        <v>1</v>
      </c>
      <c r="AC9" s="570">
        <v>0.5</v>
      </c>
      <c r="AD9" s="570"/>
      <c r="AE9" s="720" t="s">
        <v>1656</v>
      </c>
      <c r="AF9" s="572"/>
      <c r="AG9" s="572"/>
      <c r="AH9" s="572"/>
      <c r="AI9" s="572"/>
      <c r="AJ9" s="572" t="str">
        <f t="shared" si="7"/>
        <v>投资、风险各0.5权重</v>
      </c>
      <c r="AK9" s="572"/>
    </row>
    <row r="10" spans="1:37" s="2" customFormat="1" ht="15.6" customHeight="1">
      <c r="A10" s="1861"/>
      <c r="B10" s="1861"/>
      <c r="C10" s="6">
        <v>6.1</v>
      </c>
      <c r="D10" s="17" t="s">
        <v>45</v>
      </c>
      <c r="E10" s="473" t="s">
        <v>257</v>
      </c>
      <c r="F10" s="5" t="s">
        <v>257</v>
      </c>
      <c r="G10" s="629"/>
      <c r="H10" s="58"/>
      <c r="I10" s="200"/>
      <c r="J10" s="48" t="s">
        <v>2361</v>
      </c>
      <c r="K10" s="61">
        <v>5</v>
      </c>
      <c r="L10" s="61">
        <v>5</v>
      </c>
      <c r="M10" s="238"/>
      <c r="N10" s="444"/>
      <c r="O10" s="665">
        <f t="shared" si="8"/>
        <v>0</v>
      </c>
      <c r="P10" s="502">
        <f t="shared" si="3"/>
        <v>0</v>
      </c>
      <c r="Q10" s="542">
        <f t="shared" si="0"/>
        <v>0</v>
      </c>
      <c r="R10" s="542">
        <f t="shared" si="4"/>
        <v>0</v>
      </c>
      <c r="S10" s="542">
        <f t="shared" si="5"/>
        <v>0</v>
      </c>
      <c r="T10" s="542">
        <f t="shared" si="6"/>
        <v>0</v>
      </c>
      <c r="U10" s="731"/>
      <c r="V10" s="734"/>
      <c r="W10" s="710"/>
      <c r="X10" s="710">
        <f t="shared" si="1"/>
        <v>0</v>
      </c>
      <c r="Y10" s="570">
        <v>0</v>
      </c>
      <c r="Z10" s="570"/>
      <c r="AA10" s="570">
        <v>0</v>
      </c>
      <c r="AB10" s="710">
        <f t="shared" si="2"/>
        <v>0</v>
      </c>
      <c r="AC10" s="570"/>
      <c r="AD10" s="570"/>
      <c r="AE10" s="572"/>
      <c r="AF10" s="572"/>
      <c r="AG10" s="572"/>
      <c r="AH10" s="572"/>
      <c r="AI10" s="572"/>
      <c r="AJ10" s="572" t="str">
        <f t="shared" si="7"/>
        <v/>
      </c>
      <c r="AK10" s="572"/>
    </row>
    <row r="11" spans="1:37" s="2" customFormat="1" ht="15.6" customHeight="1">
      <c r="A11" s="1862"/>
      <c r="B11" s="1862"/>
      <c r="C11" s="6">
        <v>6.2</v>
      </c>
      <c r="D11" s="17" t="s">
        <v>46</v>
      </c>
      <c r="E11" s="473" t="s">
        <v>257</v>
      </c>
      <c r="F11" s="5" t="s">
        <v>257</v>
      </c>
      <c r="G11" s="629"/>
      <c r="H11" s="58"/>
      <c r="I11" s="200"/>
      <c r="J11" s="48" t="s">
        <v>2360</v>
      </c>
      <c r="K11" s="725">
        <v>9</v>
      </c>
      <c r="L11" s="725">
        <v>5</v>
      </c>
      <c r="M11" s="238"/>
      <c r="N11" s="444"/>
      <c r="O11" s="665">
        <f t="shared" si="8"/>
        <v>0.8</v>
      </c>
      <c r="P11" s="502">
        <f t="shared" si="3"/>
        <v>0</v>
      </c>
      <c r="Q11" s="542">
        <f t="shared" si="0"/>
        <v>0</v>
      </c>
      <c r="R11" s="542">
        <f t="shared" si="4"/>
        <v>0</v>
      </c>
      <c r="S11" s="542">
        <f t="shared" si="5"/>
        <v>0</v>
      </c>
      <c r="T11" s="542">
        <f t="shared" si="6"/>
        <v>0</v>
      </c>
      <c r="U11" s="731"/>
      <c r="V11" s="734"/>
      <c r="W11" s="710"/>
      <c r="X11" s="710">
        <f t="shared" si="1"/>
        <v>0</v>
      </c>
      <c r="Y11" s="570">
        <v>0</v>
      </c>
      <c r="Z11" s="570"/>
      <c r="AA11" s="570">
        <v>0</v>
      </c>
      <c r="AB11" s="710">
        <f t="shared" si="2"/>
        <v>0</v>
      </c>
      <c r="AC11" s="570"/>
      <c r="AD11" s="570"/>
      <c r="AE11" s="572"/>
      <c r="AF11" s="572"/>
      <c r="AG11" s="572"/>
      <c r="AH11" s="572"/>
      <c r="AI11" s="572"/>
      <c r="AJ11" s="572" t="str">
        <f t="shared" si="7"/>
        <v/>
      </c>
      <c r="AK11" s="572"/>
    </row>
    <row r="12" spans="1:37" s="2" customFormat="1" ht="15.6" customHeight="1">
      <c r="A12" s="1986" t="s">
        <v>326</v>
      </c>
      <c r="B12" s="1986" t="s">
        <v>327</v>
      </c>
      <c r="C12" s="11">
        <v>7</v>
      </c>
      <c r="D12" s="20" t="s">
        <v>47</v>
      </c>
      <c r="E12" s="473"/>
      <c r="F12" s="5"/>
      <c r="G12" s="629" t="s">
        <v>1833</v>
      </c>
      <c r="H12" s="76" t="s">
        <v>284</v>
      </c>
      <c r="I12" s="200">
        <v>2</v>
      </c>
      <c r="J12" s="50"/>
      <c r="K12" s="726">
        <f>K13/(K14+K15)</f>
        <v>0.15625</v>
      </c>
      <c r="L12" s="726">
        <f>L13/(L14+L15)</f>
        <v>0.18518518518518517</v>
      </c>
      <c r="M12" s="238">
        <f>IF(K12&lt;0.2,2,IF(I12&lt;0.3,1,0))</f>
        <v>2</v>
      </c>
      <c r="N12" s="457">
        <f>IF(L12&lt;0.2,2,IF(M12&lt;0.3,1,0))</f>
        <v>2</v>
      </c>
      <c r="O12" s="665">
        <f t="shared" si="8"/>
        <v>-0.15625</v>
      </c>
      <c r="P12" s="502">
        <f t="shared" si="3"/>
        <v>0</v>
      </c>
      <c r="Q12" s="542">
        <f t="shared" si="0"/>
        <v>0</v>
      </c>
      <c r="R12" s="542">
        <f t="shared" si="4"/>
        <v>0</v>
      </c>
      <c r="S12" s="542">
        <f t="shared" si="5"/>
        <v>0</v>
      </c>
      <c r="T12" s="542">
        <f t="shared" si="6"/>
        <v>0</v>
      </c>
      <c r="U12" s="731"/>
      <c r="V12" s="734"/>
      <c r="W12" s="710">
        <v>1</v>
      </c>
      <c r="X12" s="710">
        <f t="shared" si="1"/>
        <v>2</v>
      </c>
      <c r="Y12" s="570">
        <v>0</v>
      </c>
      <c r="Z12" s="570"/>
      <c r="AA12" s="570">
        <v>0</v>
      </c>
      <c r="AB12" s="710">
        <f t="shared" si="2"/>
        <v>2</v>
      </c>
      <c r="AC12" s="570"/>
      <c r="AD12" s="570"/>
      <c r="AE12" s="720"/>
      <c r="AF12" s="572"/>
      <c r="AG12" s="572"/>
      <c r="AH12" s="572"/>
      <c r="AI12" s="572"/>
      <c r="AJ12" s="572" t="str">
        <f t="shared" si="7"/>
        <v/>
      </c>
      <c r="AK12" s="572"/>
    </row>
    <row r="13" spans="1:37" s="2" customFormat="1" ht="15.6" customHeight="1">
      <c r="A13" s="1861"/>
      <c r="B13" s="1861"/>
      <c r="C13" s="6">
        <v>7.1</v>
      </c>
      <c r="D13" s="17" t="s">
        <v>48</v>
      </c>
      <c r="E13" s="473" t="s">
        <v>257</v>
      </c>
      <c r="F13" s="5" t="s">
        <v>257</v>
      </c>
      <c r="G13" s="629"/>
      <c r="H13" s="58"/>
      <c r="I13" s="200"/>
      <c r="J13" s="48" t="s">
        <v>1679</v>
      </c>
      <c r="K13" s="61">
        <v>5</v>
      </c>
      <c r="L13" s="61">
        <v>5</v>
      </c>
      <c r="M13" s="238"/>
      <c r="N13" s="444"/>
      <c r="O13" s="665">
        <f t="shared" si="8"/>
        <v>0</v>
      </c>
      <c r="P13" s="502">
        <f t="shared" si="3"/>
        <v>0</v>
      </c>
      <c r="Q13" s="542">
        <f t="shared" si="0"/>
        <v>0</v>
      </c>
      <c r="R13" s="542">
        <f t="shared" si="4"/>
        <v>0</v>
      </c>
      <c r="S13" s="542">
        <f t="shared" si="5"/>
        <v>0</v>
      </c>
      <c r="T13" s="542">
        <f t="shared" si="6"/>
        <v>0</v>
      </c>
      <c r="U13" s="731"/>
      <c r="V13" s="734"/>
      <c r="W13" s="710"/>
      <c r="X13" s="710">
        <f t="shared" si="1"/>
        <v>0</v>
      </c>
      <c r="Y13" s="570">
        <v>0</v>
      </c>
      <c r="Z13" s="570"/>
      <c r="AA13" s="570">
        <v>0</v>
      </c>
      <c r="AB13" s="710">
        <f t="shared" si="2"/>
        <v>0</v>
      </c>
      <c r="AC13" s="570"/>
      <c r="AD13" s="570"/>
      <c r="AE13" s="572"/>
      <c r="AF13" s="572"/>
      <c r="AG13" s="572"/>
      <c r="AH13" s="572"/>
      <c r="AI13" s="572"/>
      <c r="AJ13" s="572" t="str">
        <f t="shared" si="7"/>
        <v/>
      </c>
      <c r="AK13" s="572"/>
    </row>
    <row r="14" spans="1:37" s="2" customFormat="1" ht="15.6" customHeight="1">
      <c r="A14" s="1861"/>
      <c r="B14" s="1861"/>
      <c r="C14" s="6">
        <v>7.2</v>
      </c>
      <c r="D14" s="17" t="s">
        <v>49</v>
      </c>
      <c r="E14" s="473" t="s">
        <v>257</v>
      </c>
      <c r="F14" s="5" t="s">
        <v>257</v>
      </c>
      <c r="G14" s="629"/>
      <c r="H14" s="58"/>
      <c r="I14" s="200"/>
      <c r="J14" s="48" t="s">
        <v>1679</v>
      </c>
      <c r="K14" s="61">
        <v>22</v>
      </c>
      <c r="L14" s="61">
        <v>20</v>
      </c>
      <c r="M14" s="238"/>
      <c r="N14" s="444"/>
      <c r="O14" s="665">
        <f t="shared" si="8"/>
        <v>0.10000000000000009</v>
      </c>
      <c r="P14" s="502">
        <f t="shared" si="3"/>
        <v>0</v>
      </c>
      <c r="Q14" s="542">
        <f t="shared" si="0"/>
        <v>0</v>
      </c>
      <c r="R14" s="542">
        <f t="shared" si="4"/>
        <v>0</v>
      </c>
      <c r="S14" s="542">
        <f t="shared" si="5"/>
        <v>0</v>
      </c>
      <c r="T14" s="542">
        <f t="shared" si="6"/>
        <v>0</v>
      </c>
      <c r="U14" s="731"/>
      <c r="V14" s="734"/>
      <c r="W14" s="710"/>
      <c r="X14" s="710">
        <f t="shared" si="1"/>
        <v>0</v>
      </c>
      <c r="Y14" s="570">
        <v>0</v>
      </c>
      <c r="Z14" s="570"/>
      <c r="AA14" s="570">
        <v>0</v>
      </c>
      <c r="AB14" s="710">
        <f t="shared" si="2"/>
        <v>0</v>
      </c>
      <c r="AC14" s="570"/>
      <c r="AD14" s="570"/>
      <c r="AE14" s="572"/>
      <c r="AF14" s="572"/>
      <c r="AG14" s="572"/>
      <c r="AH14" s="572"/>
      <c r="AI14" s="572"/>
      <c r="AJ14" s="572" t="str">
        <f t="shared" si="7"/>
        <v/>
      </c>
      <c r="AK14" s="572"/>
    </row>
    <row r="15" spans="1:37" s="2" customFormat="1" ht="15.6" customHeight="1">
      <c r="A15" s="1862"/>
      <c r="B15" s="1862"/>
      <c r="C15" s="6">
        <v>7.3</v>
      </c>
      <c r="D15" s="17" t="s">
        <v>50</v>
      </c>
      <c r="E15" s="473" t="s">
        <v>257</v>
      </c>
      <c r="F15" s="5" t="s">
        <v>257</v>
      </c>
      <c r="G15" s="629"/>
      <c r="H15" s="58"/>
      <c r="I15" s="200"/>
      <c r="J15" s="48" t="s">
        <v>1679</v>
      </c>
      <c r="K15" s="61">
        <v>10</v>
      </c>
      <c r="L15" s="61">
        <v>7</v>
      </c>
      <c r="M15" s="238"/>
      <c r="N15" s="444"/>
      <c r="O15" s="665">
        <f t="shared" si="8"/>
        <v>0.4285714285714286</v>
      </c>
      <c r="P15" s="502">
        <f t="shared" si="3"/>
        <v>0</v>
      </c>
      <c r="Q15" s="542">
        <f t="shared" si="0"/>
        <v>0</v>
      </c>
      <c r="R15" s="542">
        <f t="shared" si="4"/>
        <v>0</v>
      </c>
      <c r="S15" s="542">
        <f t="shared" si="5"/>
        <v>0</v>
      </c>
      <c r="T15" s="542">
        <f t="shared" si="6"/>
        <v>0</v>
      </c>
      <c r="U15" s="731"/>
      <c r="V15" s="734"/>
      <c r="W15" s="710"/>
      <c r="X15" s="710">
        <f t="shared" si="1"/>
        <v>0</v>
      </c>
      <c r="Y15" s="570">
        <v>0</v>
      </c>
      <c r="Z15" s="570"/>
      <c r="AA15" s="570">
        <v>0</v>
      </c>
      <c r="AB15" s="710">
        <f t="shared" si="2"/>
        <v>0</v>
      </c>
      <c r="AC15" s="570"/>
      <c r="AD15" s="570"/>
      <c r="AE15" s="572"/>
      <c r="AF15" s="572"/>
      <c r="AG15" s="572"/>
      <c r="AH15" s="572"/>
      <c r="AI15" s="572"/>
      <c r="AJ15" s="572" t="str">
        <f t="shared" si="7"/>
        <v/>
      </c>
      <c r="AK15" s="572"/>
    </row>
    <row r="16" spans="1:37" s="2" customFormat="1" ht="15.6" customHeight="1">
      <c r="A16" s="1986" t="s">
        <v>328</v>
      </c>
      <c r="B16" s="1986" t="s">
        <v>329</v>
      </c>
      <c r="C16" s="11">
        <v>8</v>
      </c>
      <c r="D16" s="20" t="s">
        <v>51</v>
      </c>
      <c r="E16" s="473" t="s">
        <v>257</v>
      </c>
      <c r="F16" s="5" t="s">
        <v>257</v>
      </c>
      <c r="G16" s="629" t="s">
        <v>1833</v>
      </c>
      <c r="H16" s="1874" t="s">
        <v>284</v>
      </c>
      <c r="I16" s="1883">
        <v>1</v>
      </c>
      <c r="J16" s="50"/>
      <c r="K16" s="61">
        <v>4</v>
      </c>
      <c r="L16" s="61">
        <v>4</v>
      </c>
      <c r="M16" s="1874">
        <f>IF(K17&gt;=1,1,0)</f>
        <v>1</v>
      </c>
      <c r="N16" s="1874">
        <f>IF(L17&gt;=1,1,0)</f>
        <v>1</v>
      </c>
      <c r="O16" s="665">
        <f t="shared" si="8"/>
        <v>0</v>
      </c>
      <c r="P16" s="502">
        <f t="shared" si="3"/>
        <v>0</v>
      </c>
      <c r="Q16" s="542">
        <f t="shared" si="0"/>
        <v>0</v>
      </c>
      <c r="R16" s="542">
        <f t="shared" si="4"/>
        <v>0</v>
      </c>
      <c r="S16" s="542">
        <f t="shared" si="5"/>
        <v>0</v>
      </c>
      <c r="T16" s="542">
        <f t="shared" si="6"/>
        <v>0</v>
      </c>
      <c r="U16" s="731"/>
      <c r="V16" s="734"/>
      <c r="W16" s="710">
        <v>0</v>
      </c>
      <c r="X16" s="710">
        <f t="shared" si="1"/>
        <v>1</v>
      </c>
      <c r="Y16" s="570">
        <v>0</v>
      </c>
      <c r="Z16" s="570"/>
      <c r="AA16" s="570">
        <v>0</v>
      </c>
      <c r="AB16" s="710">
        <f t="shared" si="2"/>
        <v>1</v>
      </c>
      <c r="AC16" s="570"/>
      <c r="AD16" s="570">
        <v>1</v>
      </c>
      <c r="AE16" s="1981" t="s">
        <v>1652</v>
      </c>
      <c r="AF16" s="572"/>
      <c r="AG16" s="572"/>
      <c r="AH16" s="572"/>
      <c r="AI16" s="572"/>
      <c r="AJ16" s="572" t="str">
        <f t="shared" si="7"/>
        <v>改为HR1.0权重，投资0权重</v>
      </c>
      <c r="AK16" s="572"/>
    </row>
    <row r="17" spans="1:37" s="2" customFormat="1" ht="14.25">
      <c r="A17" s="1862"/>
      <c r="B17" s="1862"/>
      <c r="C17" s="11">
        <v>9</v>
      </c>
      <c r="D17" s="20" t="s">
        <v>52</v>
      </c>
      <c r="E17" s="473" t="s">
        <v>257</v>
      </c>
      <c r="F17" s="5" t="s">
        <v>257</v>
      </c>
      <c r="G17" s="629" t="s">
        <v>1833</v>
      </c>
      <c r="H17" s="1874"/>
      <c r="I17" s="1883"/>
      <c r="J17" s="970" t="s">
        <v>2362</v>
      </c>
      <c r="K17" s="61">
        <v>13</v>
      </c>
      <c r="L17" s="61">
        <v>14</v>
      </c>
      <c r="M17" s="1874"/>
      <c r="N17" s="1874"/>
      <c r="O17" s="665">
        <f t="shared" si="8"/>
        <v>-7.1428571428571397E-2</v>
      </c>
      <c r="P17" s="502">
        <f t="shared" si="3"/>
        <v>0</v>
      </c>
      <c r="Q17" s="542">
        <f t="shared" si="0"/>
        <v>0</v>
      </c>
      <c r="R17" s="542">
        <f t="shared" si="4"/>
        <v>0</v>
      </c>
      <c r="S17" s="542">
        <f t="shared" si="5"/>
        <v>0</v>
      </c>
      <c r="T17" s="542">
        <f t="shared" si="6"/>
        <v>0</v>
      </c>
      <c r="U17" s="731"/>
      <c r="V17" s="734"/>
      <c r="W17" s="710">
        <v>0</v>
      </c>
      <c r="X17" s="710">
        <f t="shared" si="1"/>
        <v>0</v>
      </c>
      <c r="Y17" s="570">
        <v>0</v>
      </c>
      <c r="Z17" s="570"/>
      <c r="AA17" s="570">
        <v>0</v>
      </c>
      <c r="AB17" s="710">
        <f t="shared" si="2"/>
        <v>0</v>
      </c>
      <c r="AC17" s="570"/>
      <c r="AD17" s="570"/>
      <c r="AE17" s="1981"/>
      <c r="AF17" s="572"/>
      <c r="AG17" s="572"/>
      <c r="AH17" s="572"/>
      <c r="AI17" s="572"/>
      <c r="AJ17" s="572" t="str">
        <f t="shared" si="7"/>
        <v/>
      </c>
      <c r="AK17" s="572"/>
    </row>
    <row r="18" spans="1:37" s="2" customFormat="1" ht="14.25">
      <c r="A18" s="1986" t="s">
        <v>549</v>
      </c>
      <c r="B18" s="1986" t="s">
        <v>330</v>
      </c>
      <c r="C18" s="11">
        <v>10</v>
      </c>
      <c r="D18" s="20" t="s">
        <v>2049</v>
      </c>
      <c r="E18" s="473"/>
      <c r="F18" s="5"/>
      <c r="G18" s="629" t="s">
        <v>1833</v>
      </c>
      <c r="H18" s="76" t="s">
        <v>284</v>
      </c>
      <c r="I18" s="200">
        <v>1</v>
      </c>
      <c r="J18" s="50" t="s">
        <v>2363</v>
      </c>
      <c r="K18" s="727">
        <f>K19/K20</f>
        <v>6.8518518518518521</v>
      </c>
      <c r="L18" s="727">
        <f>L19/L20</f>
        <v>4.0454545454545459</v>
      </c>
      <c r="M18" s="242">
        <f>IF(K18&gt;=2,1,0)</f>
        <v>1</v>
      </c>
      <c r="N18" s="457">
        <f>IF(L18&gt;=2,1,0)</f>
        <v>1</v>
      </c>
      <c r="O18" s="665">
        <f t="shared" si="8"/>
        <v>0.69371618809821056</v>
      </c>
      <c r="P18" s="502">
        <f t="shared" si="3"/>
        <v>0</v>
      </c>
      <c r="Q18" s="542">
        <f t="shared" si="0"/>
        <v>0</v>
      </c>
      <c r="R18" s="542">
        <f t="shared" si="4"/>
        <v>0</v>
      </c>
      <c r="S18" s="542">
        <f t="shared" si="5"/>
        <v>0</v>
      </c>
      <c r="T18" s="542">
        <f t="shared" si="6"/>
        <v>0</v>
      </c>
      <c r="U18" s="731"/>
      <c r="V18" s="734"/>
      <c r="W18" s="710">
        <v>1</v>
      </c>
      <c r="X18" s="710">
        <f t="shared" si="1"/>
        <v>1</v>
      </c>
      <c r="Y18" s="570">
        <v>0</v>
      </c>
      <c r="Z18" s="570"/>
      <c r="AA18" s="570">
        <v>0</v>
      </c>
      <c r="AB18" s="710">
        <f t="shared" si="2"/>
        <v>1</v>
      </c>
      <c r="AC18" s="570"/>
      <c r="AD18" s="570"/>
      <c r="AE18" s="572"/>
      <c r="AF18" s="572"/>
      <c r="AG18" s="572"/>
      <c r="AH18" s="572"/>
      <c r="AI18" s="572"/>
      <c r="AJ18" s="572" t="str">
        <f t="shared" si="7"/>
        <v/>
      </c>
      <c r="AK18" s="572"/>
    </row>
    <row r="19" spans="1:37" s="2" customFormat="1" ht="15.6" customHeight="1">
      <c r="A19" s="1861"/>
      <c r="B19" s="1861"/>
      <c r="C19" s="6">
        <v>10.1</v>
      </c>
      <c r="D19" s="17" t="s">
        <v>54</v>
      </c>
      <c r="E19" s="473" t="s">
        <v>257</v>
      </c>
      <c r="F19" s="5" t="s">
        <v>257</v>
      </c>
      <c r="G19" s="629"/>
      <c r="H19" s="58"/>
      <c r="I19" s="200"/>
      <c r="J19" s="970" t="s">
        <v>1967</v>
      </c>
      <c r="K19" s="61">
        <v>185</v>
      </c>
      <c r="L19" s="61">
        <v>89</v>
      </c>
      <c r="M19" s="238"/>
      <c r="N19" s="188"/>
      <c r="O19" s="665">
        <f t="shared" si="8"/>
        <v>1.0786516853932584</v>
      </c>
      <c r="P19" s="502">
        <f t="shared" si="3"/>
        <v>0</v>
      </c>
      <c r="Q19" s="542">
        <f t="shared" si="0"/>
        <v>0</v>
      </c>
      <c r="R19" s="542">
        <f t="shared" si="4"/>
        <v>0</v>
      </c>
      <c r="S19" s="542">
        <f t="shared" si="5"/>
        <v>0</v>
      </c>
      <c r="T19" s="542">
        <f t="shared" si="6"/>
        <v>0</v>
      </c>
      <c r="U19" s="731"/>
      <c r="V19" s="734"/>
      <c r="W19" s="710"/>
      <c r="X19" s="710">
        <f t="shared" si="1"/>
        <v>0</v>
      </c>
      <c r="Y19" s="570">
        <v>0</v>
      </c>
      <c r="Z19" s="570"/>
      <c r="AA19" s="570">
        <v>0</v>
      </c>
      <c r="AB19" s="710">
        <f t="shared" si="2"/>
        <v>0</v>
      </c>
      <c r="AC19" s="570"/>
      <c r="AD19" s="570"/>
      <c r="AE19" s="572"/>
      <c r="AF19" s="572"/>
      <c r="AG19" s="572"/>
      <c r="AH19" s="572"/>
      <c r="AI19" s="572"/>
      <c r="AJ19" s="572" t="str">
        <f t="shared" si="7"/>
        <v/>
      </c>
      <c r="AK19" s="572"/>
    </row>
    <row r="20" spans="1:37" s="2" customFormat="1" ht="15.6" customHeight="1">
      <c r="A20" s="1862"/>
      <c r="B20" s="1862"/>
      <c r="C20" s="6">
        <v>10.199999999999999</v>
      </c>
      <c r="D20" s="17" t="s">
        <v>55</v>
      </c>
      <c r="E20" s="473" t="s">
        <v>257</v>
      </c>
      <c r="F20" s="5" t="s">
        <v>257</v>
      </c>
      <c r="G20" s="629"/>
      <c r="H20" s="58"/>
      <c r="I20" s="200"/>
      <c r="J20" s="50" t="s">
        <v>1166</v>
      </c>
      <c r="K20" s="61">
        <v>27</v>
      </c>
      <c r="L20" s="61">
        <v>22</v>
      </c>
      <c r="M20" s="238"/>
      <c r="N20" s="188"/>
      <c r="O20" s="665">
        <f t="shared" si="8"/>
        <v>0.22727272727272729</v>
      </c>
      <c r="P20" s="502">
        <f t="shared" si="3"/>
        <v>0</v>
      </c>
      <c r="Q20" s="542">
        <f t="shared" si="0"/>
        <v>0</v>
      </c>
      <c r="R20" s="542">
        <f t="shared" si="4"/>
        <v>0</v>
      </c>
      <c r="S20" s="542">
        <f t="shared" si="5"/>
        <v>0</v>
      </c>
      <c r="T20" s="542">
        <f t="shared" si="6"/>
        <v>0</v>
      </c>
      <c r="U20" s="731"/>
      <c r="V20" s="734"/>
      <c r="W20" s="710"/>
      <c r="X20" s="710">
        <f t="shared" si="1"/>
        <v>0</v>
      </c>
      <c r="Y20" s="570">
        <v>0</v>
      </c>
      <c r="Z20" s="570"/>
      <c r="AA20" s="570">
        <v>0</v>
      </c>
      <c r="AB20" s="710">
        <f t="shared" si="2"/>
        <v>0</v>
      </c>
      <c r="AC20" s="570"/>
      <c r="AD20" s="570"/>
      <c r="AE20" s="572"/>
      <c r="AF20" s="572"/>
      <c r="AG20" s="572"/>
      <c r="AH20" s="572"/>
      <c r="AI20" s="572"/>
      <c r="AJ20" s="572" t="str">
        <f t="shared" si="7"/>
        <v/>
      </c>
      <c r="AK20" s="572"/>
    </row>
    <row r="21" spans="1:37" s="2" customFormat="1" ht="15.6" customHeight="1">
      <c r="A21" s="1986" t="s">
        <v>331</v>
      </c>
      <c r="B21" s="1986" t="s">
        <v>332</v>
      </c>
      <c r="C21" s="11">
        <v>11</v>
      </c>
      <c r="D21" s="20" t="s">
        <v>56</v>
      </c>
      <c r="E21" s="473" t="s">
        <v>257</v>
      </c>
      <c r="F21" s="5" t="s">
        <v>257</v>
      </c>
      <c r="G21" s="629" t="s">
        <v>474</v>
      </c>
      <c r="H21" s="1874" t="s">
        <v>284</v>
      </c>
      <c r="I21" s="1883">
        <v>1</v>
      </c>
      <c r="J21" s="48" t="s">
        <v>1680</v>
      </c>
      <c r="K21" s="61" t="s">
        <v>58</v>
      </c>
      <c r="L21" s="61" t="s">
        <v>58</v>
      </c>
      <c r="M21" s="1874">
        <v>1</v>
      </c>
      <c r="N21" s="1874">
        <v>1</v>
      </c>
      <c r="O21" s="665">
        <f t="shared" ref="O21:O41" si="9">IF((K21=L21)=TRUE,0,1)</f>
        <v>0</v>
      </c>
      <c r="P21" s="502">
        <f t="shared" si="3"/>
        <v>0</v>
      </c>
      <c r="Q21" s="542">
        <f t="shared" si="0"/>
        <v>0</v>
      </c>
      <c r="R21" s="542">
        <f t="shared" si="4"/>
        <v>0</v>
      </c>
      <c r="S21" s="542">
        <f t="shared" si="5"/>
        <v>0</v>
      </c>
      <c r="T21" s="542">
        <f t="shared" si="6"/>
        <v>0</v>
      </c>
      <c r="U21" s="731"/>
      <c r="V21" s="734"/>
      <c r="W21" s="1983">
        <v>1</v>
      </c>
      <c r="X21" s="710">
        <f t="shared" si="1"/>
        <v>1</v>
      </c>
      <c r="Y21" s="570">
        <v>0</v>
      </c>
      <c r="Z21" s="570"/>
      <c r="AA21" s="570">
        <v>0</v>
      </c>
      <c r="AB21" s="710">
        <f t="shared" si="2"/>
        <v>1</v>
      </c>
      <c r="AC21" s="570"/>
      <c r="AD21" s="570"/>
      <c r="AE21" s="572"/>
      <c r="AF21" s="572"/>
      <c r="AG21" s="572" t="s">
        <v>57</v>
      </c>
      <c r="AH21" s="572" t="s">
        <v>58</v>
      </c>
      <c r="AI21" s="572" t="s">
        <v>40</v>
      </c>
      <c r="AJ21" s="572" t="str">
        <f t="shared" si="7"/>
        <v/>
      </c>
      <c r="AK21" s="572"/>
    </row>
    <row r="22" spans="1:37" s="2" customFormat="1" ht="15.6" customHeight="1">
      <c r="A22" s="1862"/>
      <c r="B22" s="1862"/>
      <c r="C22" s="11">
        <v>12</v>
      </c>
      <c r="D22" s="20" t="s">
        <v>59</v>
      </c>
      <c r="E22" s="473" t="s">
        <v>257</v>
      </c>
      <c r="F22" s="5" t="s">
        <v>257</v>
      </c>
      <c r="G22" s="629" t="s">
        <v>474</v>
      </c>
      <c r="H22" s="1874"/>
      <c r="I22" s="1883"/>
      <c r="J22" s="48" t="s">
        <v>1681</v>
      </c>
      <c r="K22" s="61" t="s">
        <v>60</v>
      </c>
      <c r="L22" s="61" t="s">
        <v>60</v>
      </c>
      <c r="M22" s="1874"/>
      <c r="N22" s="1874"/>
      <c r="O22" s="665">
        <f t="shared" si="9"/>
        <v>0</v>
      </c>
      <c r="P22" s="502">
        <f t="shared" si="3"/>
        <v>0</v>
      </c>
      <c r="Q22" s="542">
        <f t="shared" si="0"/>
        <v>0</v>
      </c>
      <c r="R22" s="542">
        <f t="shared" si="4"/>
        <v>0</v>
      </c>
      <c r="S22" s="542">
        <f t="shared" si="5"/>
        <v>0</v>
      </c>
      <c r="T22" s="542">
        <f t="shared" si="6"/>
        <v>0</v>
      </c>
      <c r="U22" s="731"/>
      <c r="V22" s="734"/>
      <c r="W22" s="1983"/>
      <c r="X22" s="710">
        <f t="shared" si="1"/>
        <v>0</v>
      </c>
      <c r="Y22" s="570">
        <v>0</v>
      </c>
      <c r="Z22" s="570"/>
      <c r="AA22" s="570">
        <v>0</v>
      </c>
      <c r="AB22" s="710">
        <f t="shared" si="2"/>
        <v>0</v>
      </c>
      <c r="AC22" s="570"/>
      <c r="AD22" s="570"/>
      <c r="AE22" s="572"/>
      <c r="AF22" s="572"/>
      <c r="AG22" s="572" t="s">
        <v>60</v>
      </c>
      <c r="AH22" s="572" t="s">
        <v>61</v>
      </c>
      <c r="AI22" s="572" t="s">
        <v>40</v>
      </c>
      <c r="AJ22" s="572" t="str">
        <f t="shared" si="7"/>
        <v/>
      </c>
      <c r="AK22" s="572"/>
    </row>
    <row r="23" spans="1:37" s="2" customFormat="1" ht="15.6" customHeight="1">
      <c r="A23" s="1986" t="s">
        <v>333</v>
      </c>
      <c r="B23" s="1986" t="s">
        <v>334</v>
      </c>
      <c r="C23" s="11">
        <v>13</v>
      </c>
      <c r="D23" s="20" t="s">
        <v>62</v>
      </c>
      <c r="E23" s="473" t="s">
        <v>257</v>
      </c>
      <c r="F23" s="5" t="s">
        <v>257</v>
      </c>
      <c r="G23" s="629" t="s">
        <v>474</v>
      </c>
      <c r="H23" s="1874" t="s">
        <v>284</v>
      </c>
      <c r="I23" s="1883">
        <v>1</v>
      </c>
      <c r="J23" s="48" t="s">
        <v>1682</v>
      </c>
      <c r="K23" s="61" t="s">
        <v>63</v>
      </c>
      <c r="L23" s="61" t="s">
        <v>63</v>
      </c>
      <c r="M23" s="1874">
        <v>1</v>
      </c>
      <c r="N23" s="1874">
        <v>1</v>
      </c>
      <c r="O23" s="665">
        <f t="shared" si="9"/>
        <v>0</v>
      </c>
      <c r="P23" s="502">
        <f t="shared" si="3"/>
        <v>0</v>
      </c>
      <c r="Q23" s="542">
        <f t="shared" si="0"/>
        <v>0</v>
      </c>
      <c r="R23" s="542">
        <f t="shared" si="4"/>
        <v>0</v>
      </c>
      <c r="S23" s="542">
        <f t="shared" si="5"/>
        <v>0</v>
      </c>
      <c r="T23" s="542">
        <f t="shared" si="6"/>
        <v>0</v>
      </c>
      <c r="U23" s="731"/>
      <c r="V23" s="734"/>
      <c r="W23" s="1983">
        <v>1</v>
      </c>
      <c r="X23" s="710">
        <f t="shared" si="1"/>
        <v>1</v>
      </c>
      <c r="Y23" s="570">
        <v>0</v>
      </c>
      <c r="Z23" s="570"/>
      <c r="AA23" s="570">
        <v>0</v>
      </c>
      <c r="AB23" s="710">
        <f t="shared" si="2"/>
        <v>1</v>
      </c>
      <c r="AC23" s="570"/>
      <c r="AD23" s="570"/>
      <c r="AE23" s="572"/>
      <c r="AF23" s="572"/>
      <c r="AG23" s="572" t="s">
        <v>63</v>
      </c>
      <c r="AH23" s="572" t="s">
        <v>64</v>
      </c>
      <c r="AI23" s="572" t="s">
        <v>40</v>
      </c>
      <c r="AJ23" s="572" t="str">
        <f t="shared" si="7"/>
        <v/>
      </c>
      <c r="AK23" s="572"/>
    </row>
    <row r="24" spans="1:37" s="2" customFormat="1" ht="15.6" customHeight="1">
      <c r="A24" s="1862"/>
      <c r="B24" s="1862"/>
      <c r="C24" s="11">
        <v>14</v>
      </c>
      <c r="D24" s="20" t="s">
        <v>65</v>
      </c>
      <c r="E24" s="473" t="s">
        <v>257</v>
      </c>
      <c r="F24" s="5" t="s">
        <v>257</v>
      </c>
      <c r="G24" s="629" t="s">
        <v>474</v>
      </c>
      <c r="H24" s="1874"/>
      <c r="I24" s="1883"/>
      <c r="J24" s="445" t="s">
        <v>1683</v>
      </c>
      <c r="K24" s="61" t="s">
        <v>60</v>
      </c>
      <c r="L24" s="61" t="s">
        <v>60</v>
      </c>
      <c r="M24" s="1874"/>
      <c r="N24" s="1874"/>
      <c r="O24" s="665">
        <f t="shared" si="9"/>
        <v>0</v>
      </c>
      <c r="P24" s="502">
        <f t="shared" si="3"/>
        <v>0</v>
      </c>
      <c r="Q24" s="542">
        <f t="shared" si="0"/>
        <v>0</v>
      </c>
      <c r="R24" s="542">
        <f t="shared" si="4"/>
        <v>0</v>
      </c>
      <c r="S24" s="542">
        <f t="shared" si="5"/>
        <v>0</v>
      </c>
      <c r="T24" s="542">
        <f t="shared" si="6"/>
        <v>0</v>
      </c>
      <c r="U24" s="731"/>
      <c r="V24" s="734"/>
      <c r="W24" s="1983"/>
      <c r="X24" s="710">
        <f t="shared" si="1"/>
        <v>0</v>
      </c>
      <c r="Y24" s="570">
        <v>0</v>
      </c>
      <c r="Z24" s="570"/>
      <c r="AA24" s="570">
        <v>0</v>
      </c>
      <c r="AB24" s="710">
        <f t="shared" si="2"/>
        <v>0</v>
      </c>
      <c r="AC24" s="570"/>
      <c r="AD24" s="570"/>
      <c r="AE24" s="572"/>
      <c r="AF24" s="572"/>
      <c r="AG24" s="572" t="s">
        <v>60</v>
      </c>
      <c r="AH24" s="572" t="s">
        <v>66</v>
      </c>
      <c r="AI24" s="572" t="s">
        <v>40</v>
      </c>
      <c r="AJ24" s="572" t="str">
        <f t="shared" si="7"/>
        <v/>
      </c>
      <c r="AK24" s="572"/>
    </row>
    <row r="25" spans="1:37" s="2" customFormat="1" ht="15.6" customHeight="1">
      <c r="A25" s="1986" t="s">
        <v>335</v>
      </c>
      <c r="B25" s="1986" t="s">
        <v>336</v>
      </c>
      <c r="C25" s="11">
        <v>15</v>
      </c>
      <c r="D25" s="20" t="s">
        <v>243</v>
      </c>
      <c r="E25" s="473" t="s">
        <v>257</v>
      </c>
      <c r="F25" s="5" t="s">
        <v>257</v>
      </c>
      <c r="G25" s="629" t="s">
        <v>474</v>
      </c>
      <c r="H25" s="1874" t="s">
        <v>284</v>
      </c>
      <c r="I25" s="1883">
        <v>1</v>
      </c>
      <c r="J25" s="48" t="s">
        <v>1684</v>
      </c>
      <c r="K25" s="61" t="s">
        <v>67</v>
      </c>
      <c r="L25" s="61" t="s">
        <v>67</v>
      </c>
      <c r="M25" s="1874">
        <v>1</v>
      </c>
      <c r="N25" s="1874">
        <v>1</v>
      </c>
      <c r="O25" s="665">
        <f t="shared" si="9"/>
        <v>0</v>
      </c>
      <c r="P25" s="502">
        <f t="shared" si="3"/>
        <v>0</v>
      </c>
      <c r="Q25" s="542">
        <f t="shared" si="0"/>
        <v>0</v>
      </c>
      <c r="R25" s="542">
        <f t="shared" si="4"/>
        <v>0</v>
      </c>
      <c r="S25" s="542">
        <f t="shared" si="5"/>
        <v>0</v>
      </c>
      <c r="T25" s="542">
        <f t="shared" si="6"/>
        <v>0</v>
      </c>
      <c r="U25" s="731"/>
      <c r="V25" s="734"/>
      <c r="W25" s="1983">
        <v>1</v>
      </c>
      <c r="X25" s="710">
        <f t="shared" si="1"/>
        <v>1</v>
      </c>
      <c r="Y25" s="570">
        <v>0</v>
      </c>
      <c r="Z25" s="570"/>
      <c r="AA25" s="570">
        <v>0</v>
      </c>
      <c r="AB25" s="710">
        <f t="shared" si="2"/>
        <v>1</v>
      </c>
      <c r="AC25" s="570"/>
      <c r="AD25" s="570"/>
      <c r="AE25" s="572"/>
      <c r="AF25" s="572"/>
      <c r="AG25" s="572" t="s">
        <v>67</v>
      </c>
      <c r="AH25" s="572" t="s">
        <v>68</v>
      </c>
      <c r="AI25" s="572" t="s">
        <v>40</v>
      </c>
      <c r="AJ25" s="572" t="str">
        <f t="shared" si="7"/>
        <v/>
      </c>
      <c r="AK25" s="572"/>
    </row>
    <row r="26" spans="1:37" s="2" customFormat="1" ht="15.6" customHeight="1">
      <c r="A26" s="1862"/>
      <c r="B26" s="1862"/>
      <c r="C26" s="11">
        <v>16</v>
      </c>
      <c r="D26" s="20" t="s">
        <v>244</v>
      </c>
      <c r="E26" s="473" t="s">
        <v>257</v>
      </c>
      <c r="F26" s="5" t="s">
        <v>257</v>
      </c>
      <c r="G26" s="629" t="s">
        <v>474</v>
      </c>
      <c r="H26" s="1874"/>
      <c r="I26" s="1883"/>
      <c r="J26" s="48" t="s">
        <v>1685</v>
      </c>
      <c r="K26" s="61" t="s">
        <v>60</v>
      </c>
      <c r="L26" s="61" t="s">
        <v>60</v>
      </c>
      <c r="M26" s="1874"/>
      <c r="N26" s="1874"/>
      <c r="O26" s="665">
        <f t="shared" si="9"/>
        <v>0</v>
      </c>
      <c r="P26" s="502">
        <f t="shared" si="3"/>
        <v>0</v>
      </c>
      <c r="Q26" s="542">
        <f t="shared" si="0"/>
        <v>0</v>
      </c>
      <c r="R26" s="542">
        <f t="shared" si="4"/>
        <v>0</v>
      </c>
      <c r="S26" s="542">
        <f t="shared" si="5"/>
        <v>0</v>
      </c>
      <c r="T26" s="542">
        <f t="shared" si="6"/>
        <v>0</v>
      </c>
      <c r="U26" s="731"/>
      <c r="V26" s="734"/>
      <c r="W26" s="1983"/>
      <c r="X26" s="710">
        <f t="shared" si="1"/>
        <v>0</v>
      </c>
      <c r="Y26" s="570">
        <v>0</v>
      </c>
      <c r="Z26" s="570"/>
      <c r="AA26" s="570">
        <v>0</v>
      </c>
      <c r="AB26" s="710">
        <f t="shared" si="2"/>
        <v>0</v>
      </c>
      <c r="AC26" s="570"/>
      <c r="AD26" s="570"/>
      <c r="AE26" s="572"/>
      <c r="AF26" s="572"/>
      <c r="AG26" s="572" t="s">
        <v>60</v>
      </c>
      <c r="AH26" s="572" t="s">
        <v>61</v>
      </c>
      <c r="AI26" s="572" t="s">
        <v>40</v>
      </c>
      <c r="AJ26" s="572" t="str">
        <f t="shared" si="7"/>
        <v/>
      </c>
      <c r="AK26" s="572"/>
    </row>
    <row r="27" spans="1:37" s="2" customFormat="1" ht="15.6" customHeight="1">
      <c r="A27" s="358" t="s">
        <v>337</v>
      </c>
      <c r="B27" s="358" t="s">
        <v>338</v>
      </c>
      <c r="C27" s="11">
        <v>17</v>
      </c>
      <c r="D27" s="20" t="s">
        <v>69</v>
      </c>
      <c r="E27" s="473" t="s">
        <v>257</v>
      </c>
      <c r="F27" s="5" t="s">
        <v>257</v>
      </c>
      <c r="G27" s="629" t="s">
        <v>474</v>
      </c>
      <c r="H27" s="76" t="s">
        <v>284</v>
      </c>
      <c r="I27" s="200">
        <v>5</v>
      </c>
      <c r="J27" s="48" t="s">
        <v>1686</v>
      </c>
      <c r="K27" s="61" t="s">
        <v>70</v>
      </c>
      <c r="L27" s="61" t="s">
        <v>70</v>
      </c>
      <c r="M27" s="242">
        <v>5</v>
      </c>
      <c r="N27" s="253">
        <v>5</v>
      </c>
      <c r="O27" s="665">
        <f t="shared" si="9"/>
        <v>0</v>
      </c>
      <c r="P27" s="502">
        <f t="shared" si="3"/>
        <v>0</v>
      </c>
      <c r="Q27" s="542">
        <f t="shared" si="0"/>
        <v>0</v>
      </c>
      <c r="R27" s="542">
        <f t="shared" si="4"/>
        <v>0</v>
      </c>
      <c r="S27" s="542">
        <f t="shared" si="5"/>
        <v>0</v>
      </c>
      <c r="T27" s="542">
        <f t="shared" si="6"/>
        <v>0</v>
      </c>
      <c r="U27" s="731"/>
      <c r="V27" s="734"/>
      <c r="W27" s="710">
        <v>1</v>
      </c>
      <c r="X27" s="710">
        <f t="shared" si="1"/>
        <v>5</v>
      </c>
      <c r="Y27" s="570">
        <v>0</v>
      </c>
      <c r="Z27" s="570"/>
      <c r="AA27" s="570">
        <v>0</v>
      </c>
      <c r="AB27" s="710">
        <f t="shared" si="2"/>
        <v>5</v>
      </c>
      <c r="AC27" s="570"/>
      <c r="AD27" s="570"/>
      <c r="AE27" s="572"/>
      <c r="AF27" s="572"/>
      <c r="AG27" s="572" t="s">
        <v>70</v>
      </c>
      <c r="AH27" s="572" t="s">
        <v>71</v>
      </c>
      <c r="AI27" s="572"/>
      <c r="AJ27" s="572" t="str">
        <f t="shared" si="7"/>
        <v/>
      </c>
      <c r="AK27" s="572"/>
    </row>
    <row r="28" spans="1:37" s="2" customFormat="1" ht="15.6" customHeight="1">
      <c r="A28" s="358" t="s">
        <v>339</v>
      </c>
      <c r="B28" s="358" t="s">
        <v>340</v>
      </c>
      <c r="C28" s="11">
        <v>18</v>
      </c>
      <c r="D28" s="20" t="s">
        <v>72</v>
      </c>
      <c r="E28" s="473" t="s">
        <v>257</v>
      </c>
      <c r="F28" s="5" t="s">
        <v>257</v>
      </c>
      <c r="G28" s="629" t="s">
        <v>474</v>
      </c>
      <c r="H28" s="76" t="s">
        <v>284</v>
      </c>
      <c r="I28" s="200">
        <v>1</v>
      </c>
      <c r="J28" s="48" t="s">
        <v>1687</v>
      </c>
      <c r="K28" s="61" t="s">
        <v>73</v>
      </c>
      <c r="L28" s="61" t="s">
        <v>73</v>
      </c>
      <c r="M28" s="242">
        <v>1</v>
      </c>
      <c r="N28" s="253">
        <v>1</v>
      </c>
      <c r="O28" s="665">
        <f t="shared" si="9"/>
        <v>0</v>
      </c>
      <c r="P28" s="502">
        <f t="shared" si="3"/>
        <v>0</v>
      </c>
      <c r="Q28" s="542">
        <f t="shared" si="0"/>
        <v>0</v>
      </c>
      <c r="R28" s="542">
        <f t="shared" si="4"/>
        <v>0</v>
      </c>
      <c r="S28" s="542">
        <f t="shared" si="5"/>
        <v>0</v>
      </c>
      <c r="T28" s="542">
        <f t="shared" si="6"/>
        <v>0</v>
      </c>
      <c r="U28" s="731"/>
      <c r="V28" s="734"/>
      <c r="W28" s="710">
        <v>1</v>
      </c>
      <c r="X28" s="710">
        <f t="shared" si="1"/>
        <v>1</v>
      </c>
      <c r="Y28" s="570">
        <v>0</v>
      </c>
      <c r="Z28" s="570"/>
      <c r="AA28" s="570">
        <v>0</v>
      </c>
      <c r="AB28" s="710">
        <f t="shared" si="2"/>
        <v>1</v>
      </c>
      <c r="AC28" s="570"/>
      <c r="AD28" s="570"/>
      <c r="AE28" s="572"/>
      <c r="AF28" s="572"/>
      <c r="AG28" s="572" t="s">
        <v>73</v>
      </c>
      <c r="AH28" s="572" t="s">
        <v>74</v>
      </c>
      <c r="AI28" s="572" t="s">
        <v>75</v>
      </c>
      <c r="AJ28" s="572" t="str">
        <f t="shared" si="7"/>
        <v/>
      </c>
      <c r="AK28" s="572"/>
    </row>
    <row r="29" spans="1:37" s="2" customFormat="1" ht="15.6" customHeight="1">
      <c r="A29" s="358" t="s">
        <v>341</v>
      </c>
      <c r="B29" s="358" t="s">
        <v>342</v>
      </c>
      <c r="C29" s="11">
        <v>19</v>
      </c>
      <c r="D29" s="20" t="s">
        <v>76</v>
      </c>
      <c r="E29" s="473" t="s">
        <v>257</v>
      </c>
      <c r="F29" s="5" t="s">
        <v>257</v>
      </c>
      <c r="G29" s="629" t="s">
        <v>474</v>
      </c>
      <c r="H29" s="76" t="s">
        <v>284</v>
      </c>
      <c r="I29" s="200">
        <v>1</v>
      </c>
      <c r="J29" s="48" t="s">
        <v>1688</v>
      </c>
      <c r="K29" s="61" t="s">
        <v>77</v>
      </c>
      <c r="L29" s="61" t="s">
        <v>77</v>
      </c>
      <c r="M29" s="242">
        <v>1</v>
      </c>
      <c r="N29" s="253">
        <v>1</v>
      </c>
      <c r="O29" s="665">
        <f t="shared" si="9"/>
        <v>0</v>
      </c>
      <c r="P29" s="502">
        <f t="shared" si="3"/>
        <v>0</v>
      </c>
      <c r="Q29" s="542">
        <f t="shared" si="0"/>
        <v>0</v>
      </c>
      <c r="R29" s="542">
        <f t="shared" si="4"/>
        <v>0</v>
      </c>
      <c r="S29" s="542">
        <f t="shared" si="5"/>
        <v>0</v>
      </c>
      <c r="T29" s="542">
        <f t="shared" si="6"/>
        <v>0</v>
      </c>
      <c r="U29" s="731"/>
      <c r="V29" s="734"/>
      <c r="W29" s="710">
        <v>1</v>
      </c>
      <c r="X29" s="710">
        <f t="shared" si="1"/>
        <v>1</v>
      </c>
      <c r="Y29" s="570">
        <v>0</v>
      </c>
      <c r="Z29" s="570"/>
      <c r="AA29" s="570">
        <v>0</v>
      </c>
      <c r="AB29" s="710">
        <f t="shared" si="2"/>
        <v>1</v>
      </c>
      <c r="AC29" s="570"/>
      <c r="AD29" s="570"/>
      <c r="AE29" s="572"/>
      <c r="AF29" s="572"/>
      <c r="AG29" s="572" t="s">
        <v>77</v>
      </c>
      <c r="AH29" s="572" t="s">
        <v>78</v>
      </c>
      <c r="AI29" s="572" t="s">
        <v>75</v>
      </c>
      <c r="AJ29" s="572" t="str">
        <f t="shared" si="7"/>
        <v/>
      </c>
      <c r="AK29" s="572"/>
    </row>
    <row r="30" spans="1:37" s="2" customFormat="1" ht="15.6" customHeight="1">
      <c r="A30" s="358" t="s">
        <v>345</v>
      </c>
      <c r="B30" s="358" t="s">
        <v>346</v>
      </c>
      <c r="C30" s="11">
        <v>20</v>
      </c>
      <c r="D30" s="20" t="s">
        <v>79</v>
      </c>
      <c r="E30" s="473" t="s">
        <v>257</v>
      </c>
      <c r="F30" s="5" t="s">
        <v>257</v>
      </c>
      <c r="G30" s="629" t="s">
        <v>1833</v>
      </c>
      <c r="H30" s="76" t="s">
        <v>284</v>
      </c>
      <c r="I30" s="200">
        <v>2</v>
      </c>
      <c r="J30" s="48" t="s">
        <v>1689</v>
      </c>
      <c r="K30" s="61" t="s">
        <v>80</v>
      </c>
      <c r="L30" s="61" t="s">
        <v>80</v>
      </c>
      <c r="M30" s="242">
        <v>2</v>
      </c>
      <c r="N30" s="253">
        <v>2</v>
      </c>
      <c r="O30" s="665">
        <f t="shared" si="9"/>
        <v>0</v>
      </c>
      <c r="P30" s="502">
        <f t="shared" si="3"/>
        <v>0</v>
      </c>
      <c r="Q30" s="542">
        <f t="shared" si="0"/>
        <v>0</v>
      </c>
      <c r="R30" s="542">
        <f t="shared" si="4"/>
        <v>0</v>
      </c>
      <c r="S30" s="542">
        <f t="shared" si="5"/>
        <v>0</v>
      </c>
      <c r="T30" s="542">
        <f t="shared" si="6"/>
        <v>0</v>
      </c>
      <c r="U30" s="731"/>
      <c r="V30" s="734"/>
      <c r="W30" s="710">
        <v>1</v>
      </c>
      <c r="X30" s="710">
        <f t="shared" si="1"/>
        <v>2</v>
      </c>
      <c r="Y30" s="570">
        <v>0</v>
      </c>
      <c r="Z30" s="570"/>
      <c r="AA30" s="570">
        <v>0</v>
      </c>
      <c r="AB30" s="710">
        <f t="shared" si="2"/>
        <v>2</v>
      </c>
      <c r="AC30" s="570"/>
      <c r="AD30" s="570"/>
      <c r="AE30" s="572"/>
      <c r="AF30" s="572"/>
      <c r="AG30" s="572" t="s">
        <v>80</v>
      </c>
      <c r="AH30" s="572" t="s">
        <v>81</v>
      </c>
      <c r="AI30" s="572" t="s">
        <v>82</v>
      </c>
      <c r="AJ30" s="572" t="str">
        <f t="shared" si="7"/>
        <v/>
      </c>
      <c r="AK30" s="572"/>
    </row>
    <row r="31" spans="1:37" s="2" customFormat="1" ht="15.6" customHeight="1">
      <c r="A31" s="358" t="s">
        <v>343</v>
      </c>
      <c r="B31" s="358" t="s">
        <v>344</v>
      </c>
      <c r="C31" s="11">
        <v>21</v>
      </c>
      <c r="D31" s="20" t="s">
        <v>83</v>
      </c>
      <c r="E31" s="473" t="s">
        <v>257</v>
      </c>
      <c r="F31" s="5" t="s">
        <v>257</v>
      </c>
      <c r="G31" s="629" t="s">
        <v>474</v>
      </c>
      <c r="H31" s="76" t="s">
        <v>284</v>
      </c>
      <c r="I31" s="200">
        <v>4</v>
      </c>
      <c r="J31" s="48" t="s">
        <v>1690</v>
      </c>
      <c r="K31" s="61" t="s">
        <v>84</v>
      </c>
      <c r="L31" s="61" t="s">
        <v>84</v>
      </c>
      <c r="M31" s="242">
        <v>4</v>
      </c>
      <c r="N31" s="253">
        <v>4</v>
      </c>
      <c r="O31" s="665">
        <f t="shared" si="9"/>
        <v>0</v>
      </c>
      <c r="P31" s="502">
        <f t="shared" si="3"/>
        <v>0</v>
      </c>
      <c r="Q31" s="542">
        <f t="shared" si="0"/>
        <v>0</v>
      </c>
      <c r="R31" s="542">
        <f t="shared" si="4"/>
        <v>0</v>
      </c>
      <c r="S31" s="542">
        <f t="shared" si="5"/>
        <v>0</v>
      </c>
      <c r="T31" s="542">
        <f t="shared" si="6"/>
        <v>0</v>
      </c>
      <c r="U31" s="731"/>
      <c r="V31" s="734"/>
      <c r="W31" s="710">
        <v>1</v>
      </c>
      <c r="X31" s="710">
        <f t="shared" si="1"/>
        <v>4</v>
      </c>
      <c r="Y31" s="570">
        <v>0</v>
      </c>
      <c r="Z31" s="570"/>
      <c r="AA31" s="570">
        <v>0</v>
      </c>
      <c r="AB31" s="710">
        <f t="shared" si="2"/>
        <v>4</v>
      </c>
      <c r="AC31" s="570"/>
      <c r="AD31" s="570"/>
      <c r="AE31" s="572"/>
      <c r="AF31" s="572"/>
      <c r="AG31" s="572" t="s">
        <v>84</v>
      </c>
      <c r="AH31" s="572" t="s">
        <v>85</v>
      </c>
      <c r="AI31" s="572"/>
      <c r="AJ31" s="572" t="str">
        <f t="shared" si="7"/>
        <v/>
      </c>
      <c r="AK31" s="572"/>
    </row>
    <row r="32" spans="1:37" s="2" customFormat="1" ht="15.6" customHeight="1">
      <c r="A32" s="1986" t="s">
        <v>347</v>
      </c>
      <c r="B32" s="1986" t="s">
        <v>348</v>
      </c>
      <c r="C32" s="11">
        <v>22</v>
      </c>
      <c r="D32" s="20" t="s">
        <v>86</v>
      </c>
      <c r="E32" s="473" t="s">
        <v>257</v>
      </c>
      <c r="F32" s="5" t="s">
        <v>257</v>
      </c>
      <c r="G32" s="629" t="s">
        <v>474</v>
      </c>
      <c r="H32" s="1874" t="s">
        <v>284</v>
      </c>
      <c r="I32" s="1883">
        <v>3</v>
      </c>
      <c r="J32" s="48" t="s">
        <v>1691</v>
      </c>
      <c r="K32" s="61" t="s">
        <v>87</v>
      </c>
      <c r="L32" s="61" t="s">
        <v>87</v>
      </c>
      <c r="M32" s="1874">
        <v>3</v>
      </c>
      <c r="N32" s="1874">
        <v>3</v>
      </c>
      <c r="O32" s="665">
        <f t="shared" si="9"/>
        <v>0</v>
      </c>
      <c r="P32" s="502">
        <f t="shared" si="3"/>
        <v>0</v>
      </c>
      <c r="Q32" s="542">
        <f t="shared" si="0"/>
        <v>0</v>
      </c>
      <c r="R32" s="542">
        <f t="shared" si="4"/>
        <v>0</v>
      </c>
      <c r="S32" s="542">
        <f t="shared" si="5"/>
        <v>0</v>
      </c>
      <c r="T32" s="542">
        <f t="shared" si="6"/>
        <v>0</v>
      </c>
      <c r="U32" s="731"/>
      <c r="V32" s="734"/>
      <c r="W32" s="1983">
        <v>1</v>
      </c>
      <c r="X32" s="710">
        <f t="shared" si="1"/>
        <v>3</v>
      </c>
      <c r="Y32" s="570">
        <v>0</v>
      </c>
      <c r="Z32" s="570"/>
      <c r="AA32" s="570">
        <v>0</v>
      </c>
      <c r="AB32" s="710">
        <f t="shared" si="2"/>
        <v>3</v>
      </c>
      <c r="AC32" s="570"/>
      <c r="AD32" s="570"/>
      <c r="AE32" s="572"/>
      <c r="AF32" s="572"/>
      <c r="AG32" s="572" t="s">
        <v>87</v>
      </c>
      <c r="AH32" s="572" t="s">
        <v>88</v>
      </c>
      <c r="AI32" s="572" t="s">
        <v>40</v>
      </c>
      <c r="AJ32" s="572" t="str">
        <f t="shared" si="7"/>
        <v/>
      </c>
      <c r="AK32" s="572"/>
    </row>
    <row r="33" spans="1:37" s="2" customFormat="1" ht="15.6" customHeight="1">
      <c r="A33" s="1862"/>
      <c r="B33" s="1862"/>
      <c r="C33" s="11">
        <v>23</v>
      </c>
      <c r="D33" s="20" t="s">
        <v>89</v>
      </c>
      <c r="E33" s="473" t="s">
        <v>257</v>
      </c>
      <c r="F33" s="5" t="s">
        <v>257</v>
      </c>
      <c r="G33" s="629" t="s">
        <v>474</v>
      </c>
      <c r="H33" s="1874"/>
      <c r="I33" s="1883"/>
      <c r="J33" s="48" t="s">
        <v>1692</v>
      </c>
      <c r="K33" s="61" t="s">
        <v>60</v>
      </c>
      <c r="L33" s="61" t="s">
        <v>60</v>
      </c>
      <c r="M33" s="1874"/>
      <c r="N33" s="1874"/>
      <c r="O33" s="665">
        <f t="shared" si="9"/>
        <v>0</v>
      </c>
      <c r="P33" s="502">
        <f t="shared" si="3"/>
        <v>0</v>
      </c>
      <c r="Q33" s="542">
        <f t="shared" si="0"/>
        <v>0</v>
      </c>
      <c r="R33" s="542">
        <f t="shared" si="4"/>
        <v>0</v>
      </c>
      <c r="S33" s="542">
        <f t="shared" si="5"/>
        <v>0</v>
      </c>
      <c r="T33" s="542">
        <f t="shared" si="6"/>
        <v>0</v>
      </c>
      <c r="U33" s="731"/>
      <c r="V33" s="734"/>
      <c r="W33" s="1983"/>
      <c r="X33" s="710">
        <f t="shared" si="1"/>
        <v>0</v>
      </c>
      <c r="Y33" s="570">
        <v>0</v>
      </c>
      <c r="Z33" s="570"/>
      <c r="AA33" s="570">
        <v>0</v>
      </c>
      <c r="AB33" s="710">
        <f t="shared" si="2"/>
        <v>0</v>
      </c>
      <c r="AC33" s="570"/>
      <c r="AD33" s="570"/>
      <c r="AE33" s="572"/>
      <c r="AF33" s="572"/>
      <c r="AG33" s="572" t="s">
        <v>60</v>
      </c>
      <c r="AH33" s="572" t="s">
        <v>61</v>
      </c>
      <c r="AI33" s="572" t="s">
        <v>40</v>
      </c>
      <c r="AJ33" s="572" t="str">
        <f t="shared" si="7"/>
        <v/>
      </c>
      <c r="AK33" s="572"/>
    </row>
    <row r="34" spans="1:37" s="2" customFormat="1" ht="15.6" customHeight="1">
      <c r="A34" s="359" t="s">
        <v>349</v>
      </c>
      <c r="B34" s="359" t="s">
        <v>350</v>
      </c>
      <c r="C34" s="11">
        <v>24</v>
      </c>
      <c r="D34" s="20" t="s">
        <v>90</v>
      </c>
      <c r="E34" s="473" t="s">
        <v>257</v>
      </c>
      <c r="F34" s="5" t="s">
        <v>257</v>
      </c>
      <c r="G34" s="629" t="s">
        <v>474</v>
      </c>
      <c r="H34" s="76" t="s">
        <v>284</v>
      </c>
      <c r="I34" s="200">
        <v>5</v>
      </c>
      <c r="J34" s="48" t="s">
        <v>1693</v>
      </c>
      <c r="K34" s="61" t="s">
        <v>91</v>
      </c>
      <c r="L34" s="61" t="s">
        <v>91</v>
      </c>
      <c r="M34" s="242">
        <v>5</v>
      </c>
      <c r="N34" s="253">
        <v>5</v>
      </c>
      <c r="O34" s="665">
        <f t="shared" si="9"/>
        <v>0</v>
      </c>
      <c r="P34" s="502">
        <f t="shared" si="3"/>
        <v>0</v>
      </c>
      <c r="Q34" s="542">
        <f t="shared" si="0"/>
        <v>0</v>
      </c>
      <c r="R34" s="542">
        <f t="shared" si="4"/>
        <v>0</v>
      </c>
      <c r="S34" s="542">
        <f t="shared" si="5"/>
        <v>0</v>
      </c>
      <c r="T34" s="542">
        <f t="shared" si="6"/>
        <v>0</v>
      </c>
      <c r="U34" s="731"/>
      <c r="V34" s="734"/>
      <c r="W34" s="710">
        <v>1</v>
      </c>
      <c r="X34" s="710">
        <f t="shared" si="1"/>
        <v>5</v>
      </c>
      <c r="Y34" s="570">
        <v>0</v>
      </c>
      <c r="Z34" s="570"/>
      <c r="AA34" s="570">
        <v>0</v>
      </c>
      <c r="AB34" s="710">
        <f t="shared" si="2"/>
        <v>5</v>
      </c>
      <c r="AC34" s="570"/>
      <c r="AD34" s="570"/>
      <c r="AE34" s="572"/>
      <c r="AF34" s="572"/>
      <c r="AG34" s="572" t="s">
        <v>91</v>
      </c>
      <c r="AH34" s="572" t="s">
        <v>92</v>
      </c>
      <c r="AI34" s="572" t="s">
        <v>93</v>
      </c>
      <c r="AJ34" s="572" t="str">
        <f t="shared" si="7"/>
        <v/>
      </c>
      <c r="AK34" s="572"/>
    </row>
    <row r="35" spans="1:37" s="2" customFormat="1" ht="15.6" customHeight="1">
      <c r="A35" s="358" t="s">
        <v>351</v>
      </c>
      <c r="B35" s="358" t="s">
        <v>352</v>
      </c>
      <c r="C35" s="11">
        <v>25</v>
      </c>
      <c r="D35" s="20" t="s">
        <v>94</v>
      </c>
      <c r="E35" s="473" t="s">
        <v>257</v>
      </c>
      <c r="F35" s="5" t="s">
        <v>257</v>
      </c>
      <c r="G35" s="629" t="s">
        <v>474</v>
      </c>
      <c r="H35" s="76" t="s">
        <v>284</v>
      </c>
      <c r="I35" s="200">
        <v>1</v>
      </c>
      <c r="J35" s="48" t="s">
        <v>1694</v>
      </c>
      <c r="K35" s="61" t="s">
        <v>95</v>
      </c>
      <c r="L35" s="61" t="s">
        <v>95</v>
      </c>
      <c r="M35" s="242">
        <v>1</v>
      </c>
      <c r="N35" s="253">
        <v>1</v>
      </c>
      <c r="O35" s="665">
        <f t="shared" si="9"/>
        <v>0</v>
      </c>
      <c r="P35" s="502">
        <f t="shared" si="3"/>
        <v>0</v>
      </c>
      <c r="Q35" s="542">
        <f t="shared" si="0"/>
        <v>0</v>
      </c>
      <c r="R35" s="542">
        <f t="shared" si="4"/>
        <v>0</v>
      </c>
      <c r="S35" s="542">
        <f t="shared" si="5"/>
        <v>0</v>
      </c>
      <c r="T35" s="542">
        <f t="shared" si="6"/>
        <v>0</v>
      </c>
      <c r="U35" s="731"/>
      <c r="V35" s="734"/>
      <c r="W35" s="710">
        <v>1</v>
      </c>
      <c r="X35" s="710">
        <f t="shared" si="1"/>
        <v>1</v>
      </c>
      <c r="Y35" s="570">
        <v>0</v>
      </c>
      <c r="Z35" s="570"/>
      <c r="AA35" s="570">
        <v>0</v>
      </c>
      <c r="AB35" s="710">
        <f t="shared" si="2"/>
        <v>1</v>
      </c>
      <c r="AC35" s="570"/>
      <c r="AD35" s="570"/>
      <c r="AE35" s="572"/>
      <c r="AF35" s="572"/>
      <c r="AG35" s="572" t="s">
        <v>95</v>
      </c>
      <c r="AH35" s="572" t="s">
        <v>96</v>
      </c>
      <c r="AI35" s="572"/>
      <c r="AJ35" s="572" t="str">
        <f t="shared" si="7"/>
        <v/>
      </c>
      <c r="AK35" s="572"/>
    </row>
    <row r="36" spans="1:37" s="2" customFormat="1" ht="15.6" customHeight="1">
      <c r="A36" s="1986" t="s">
        <v>353</v>
      </c>
      <c r="B36" s="1986" t="s">
        <v>354</v>
      </c>
      <c r="C36" s="11">
        <v>26</v>
      </c>
      <c r="D36" s="20" t="s">
        <v>97</v>
      </c>
      <c r="E36" s="473" t="s">
        <v>257</v>
      </c>
      <c r="F36" s="5" t="s">
        <v>1037</v>
      </c>
      <c r="G36" s="629" t="s">
        <v>474</v>
      </c>
      <c r="H36" s="1874" t="s">
        <v>284</v>
      </c>
      <c r="I36" s="1883">
        <v>1</v>
      </c>
      <c r="J36" s="48" t="s">
        <v>1695</v>
      </c>
      <c r="K36" s="61" t="s">
        <v>98</v>
      </c>
      <c r="L36" s="61" t="s">
        <v>98</v>
      </c>
      <c r="M36" s="1874">
        <v>1</v>
      </c>
      <c r="N36" s="1874">
        <v>1</v>
      </c>
      <c r="O36" s="665">
        <f t="shared" si="9"/>
        <v>0</v>
      </c>
      <c r="P36" s="502">
        <f t="shared" si="3"/>
        <v>0</v>
      </c>
      <c r="Q36" s="542">
        <f t="shared" ref="Q36:Q66" si="10">I36-M36</f>
        <v>0</v>
      </c>
      <c r="R36" s="542">
        <f t="shared" si="4"/>
        <v>0</v>
      </c>
      <c r="S36" s="542">
        <f t="shared" si="5"/>
        <v>0</v>
      </c>
      <c r="T36" s="542">
        <f t="shared" si="6"/>
        <v>0</v>
      </c>
      <c r="U36" s="731"/>
      <c r="V36" s="734"/>
      <c r="W36" s="1983">
        <v>1</v>
      </c>
      <c r="X36" s="710">
        <f t="shared" ref="X36:X62" si="11">$M36</f>
        <v>1</v>
      </c>
      <c r="Y36" s="570">
        <v>0</v>
      </c>
      <c r="Z36" s="570"/>
      <c r="AA36" s="570">
        <v>0</v>
      </c>
      <c r="AB36" s="710">
        <f t="shared" ref="AB36:AB62" si="12">$M36</f>
        <v>1</v>
      </c>
      <c r="AC36" s="570"/>
      <c r="AD36" s="570"/>
      <c r="AE36" s="572"/>
      <c r="AF36" s="572"/>
      <c r="AG36" s="572" t="s">
        <v>98</v>
      </c>
      <c r="AH36" s="572" t="s">
        <v>99</v>
      </c>
      <c r="AI36" s="572" t="s">
        <v>40</v>
      </c>
      <c r="AJ36" s="572" t="str">
        <f t="shared" si="7"/>
        <v/>
      </c>
      <c r="AK36" s="572"/>
    </row>
    <row r="37" spans="1:37" s="2" customFormat="1" ht="15.6" customHeight="1">
      <c r="A37" s="1862"/>
      <c r="B37" s="1862"/>
      <c r="C37" s="11">
        <v>27</v>
      </c>
      <c r="D37" s="20" t="s">
        <v>100</v>
      </c>
      <c r="E37" s="473" t="s">
        <v>257</v>
      </c>
      <c r="F37" s="5" t="s">
        <v>1037</v>
      </c>
      <c r="G37" s="629" t="s">
        <v>474</v>
      </c>
      <c r="H37" s="1874"/>
      <c r="I37" s="1883"/>
      <c r="J37" s="48" t="s">
        <v>1696</v>
      </c>
      <c r="K37" s="61" t="s">
        <v>60</v>
      </c>
      <c r="L37" s="61" t="s">
        <v>60</v>
      </c>
      <c r="M37" s="1874"/>
      <c r="N37" s="1874"/>
      <c r="O37" s="665">
        <f t="shared" si="9"/>
        <v>0</v>
      </c>
      <c r="P37" s="502">
        <f t="shared" si="3"/>
        <v>0</v>
      </c>
      <c r="Q37" s="542">
        <f t="shared" si="10"/>
        <v>0</v>
      </c>
      <c r="R37" s="542">
        <f t="shared" si="4"/>
        <v>0</v>
      </c>
      <c r="S37" s="542">
        <f t="shared" si="5"/>
        <v>0</v>
      </c>
      <c r="T37" s="542">
        <f t="shared" si="6"/>
        <v>0</v>
      </c>
      <c r="U37" s="731"/>
      <c r="V37" s="734"/>
      <c r="W37" s="1983"/>
      <c r="X37" s="710">
        <f t="shared" si="11"/>
        <v>0</v>
      </c>
      <c r="Y37" s="570">
        <v>0</v>
      </c>
      <c r="Z37" s="570"/>
      <c r="AA37" s="570">
        <v>0</v>
      </c>
      <c r="AB37" s="710">
        <f t="shared" si="12"/>
        <v>0</v>
      </c>
      <c r="AC37" s="570"/>
      <c r="AD37" s="570"/>
      <c r="AE37" s="572"/>
      <c r="AF37" s="572"/>
      <c r="AG37" s="572" t="s">
        <v>60</v>
      </c>
      <c r="AH37" s="572" t="s">
        <v>61</v>
      </c>
      <c r="AI37" s="572" t="s">
        <v>40</v>
      </c>
      <c r="AJ37" s="572" t="str">
        <f t="shared" si="7"/>
        <v/>
      </c>
      <c r="AK37" s="572"/>
    </row>
    <row r="38" spans="1:37" s="2" customFormat="1" ht="15.6" customHeight="1">
      <c r="A38" s="1986" t="s">
        <v>355</v>
      </c>
      <c r="B38" s="1986" t="s">
        <v>356</v>
      </c>
      <c r="C38" s="11">
        <v>28</v>
      </c>
      <c r="D38" s="20" t="s">
        <v>101</v>
      </c>
      <c r="E38" s="473" t="s">
        <v>257</v>
      </c>
      <c r="F38" s="5" t="s">
        <v>257</v>
      </c>
      <c r="G38" s="629" t="s">
        <v>474</v>
      </c>
      <c r="H38" s="1874" t="s">
        <v>284</v>
      </c>
      <c r="I38" s="1883">
        <v>1</v>
      </c>
      <c r="J38" s="48" t="s">
        <v>1697</v>
      </c>
      <c r="K38" s="61" t="s">
        <v>102</v>
      </c>
      <c r="L38" s="61" t="s">
        <v>102</v>
      </c>
      <c r="M38" s="1874">
        <v>1</v>
      </c>
      <c r="N38" s="1874">
        <v>1</v>
      </c>
      <c r="O38" s="665">
        <f t="shared" si="9"/>
        <v>0</v>
      </c>
      <c r="P38" s="502">
        <f t="shared" si="3"/>
        <v>0</v>
      </c>
      <c r="Q38" s="542">
        <f t="shared" si="10"/>
        <v>0</v>
      </c>
      <c r="R38" s="542">
        <f t="shared" si="4"/>
        <v>0</v>
      </c>
      <c r="S38" s="542">
        <f t="shared" si="5"/>
        <v>0</v>
      </c>
      <c r="T38" s="542">
        <f t="shared" si="6"/>
        <v>0</v>
      </c>
      <c r="U38" s="731"/>
      <c r="V38" s="734"/>
      <c r="W38" s="1983">
        <v>1</v>
      </c>
      <c r="X38" s="710">
        <f t="shared" si="11"/>
        <v>1</v>
      </c>
      <c r="Y38" s="570">
        <v>0</v>
      </c>
      <c r="Z38" s="570"/>
      <c r="AA38" s="570">
        <v>0</v>
      </c>
      <c r="AB38" s="710">
        <f t="shared" si="12"/>
        <v>1</v>
      </c>
      <c r="AC38" s="570"/>
      <c r="AD38" s="570"/>
      <c r="AE38" s="572"/>
      <c r="AF38" s="572"/>
      <c r="AG38" s="572" t="s">
        <v>102</v>
      </c>
      <c r="AH38" s="572" t="s">
        <v>103</v>
      </c>
      <c r="AI38" s="572" t="s">
        <v>40</v>
      </c>
      <c r="AJ38" s="572" t="str">
        <f t="shared" si="7"/>
        <v/>
      </c>
      <c r="AK38" s="572"/>
    </row>
    <row r="39" spans="1:37" s="2" customFormat="1" ht="15.6" customHeight="1">
      <c r="A39" s="1862"/>
      <c r="B39" s="1862"/>
      <c r="C39" s="11">
        <v>29</v>
      </c>
      <c r="D39" s="20" t="s">
        <v>104</v>
      </c>
      <c r="E39" s="473" t="s">
        <v>257</v>
      </c>
      <c r="F39" s="5" t="s">
        <v>257</v>
      </c>
      <c r="G39" s="629" t="s">
        <v>474</v>
      </c>
      <c r="H39" s="1874"/>
      <c r="I39" s="1883"/>
      <c r="J39" s="48" t="s">
        <v>1698</v>
      </c>
      <c r="K39" s="61" t="s">
        <v>60</v>
      </c>
      <c r="L39" s="61" t="s">
        <v>60</v>
      </c>
      <c r="M39" s="1874"/>
      <c r="N39" s="1874"/>
      <c r="O39" s="665">
        <f t="shared" si="9"/>
        <v>0</v>
      </c>
      <c r="P39" s="502">
        <f t="shared" si="3"/>
        <v>0</v>
      </c>
      <c r="Q39" s="542">
        <f t="shared" si="10"/>
        <v>0</v>
      </c>
      <c r="R39" s="542">
        <f t="shared" si="4"/>
        <v>0</v>
      </c>
      <c r="S39" s="542">
        <f t="shared" si="5"/>
        <v>0</v>
      </c>
      <c r="T39" s="542">
        <f t="shared" si="6"/>
        <v>0</v>
      </c>
      <c r="U39" s="731"/>
      <c r="V39" s="734"/>
      <c r="W39" s="1983"/>
      <c r="X39" s="710">
        <f t="shared" si="11"/>
        <v>0</v>
      </c>
      <c r="Y39" s="570">
        <v>0</v>
      </c>
      <c r="Z39" s="570"/>
      <c r="AA39" s="570">
        <v>0</v>
      </c>
      <c r="AB39" s="710">
        <f t="shared" si="12"/>
        <v>0</v>
      </c>
      <c r="AC39" s="570"/>
      <c r="AD39" s="570"/>
      <c r="AE39" s="572"/>
      <c r="AF39" s="572"/>
      <c r="AG39" s="572" t="s">
        <v>60</v>
      </c>
      <c r="AH39" s="572" t="s">
        <v>61</v>
      </c>
      <c r="AI39" s="572" t="s">
        <v>40</v>
      </c>
      <c r="AJ39" s="572" t="str">
        <f t="shared" si="7"/>
        <v/>
      </c>
      <c r="AK39" s="572"/>
    </row>
    <row r="40" spans="1:37" s="2" customFormat="1" ht="15.6" customHeight="1">
      <c r="A40" s="1986" t="s">
        <v>357</v>
      </c>
      <c r="B40" s="1986" t="s">
        <v>358</v>
      </c>
      <c r="C40" s="11">
        <v>30</v>
      </c>
      <c r="D40" s="20" t="s">
        <v>105</v>
      </c>
      <c r="E40" s="473" t="s">
        <v>257</v>
      </c>
      <c r="F40" s="5" t="s">
        <v>257</v>
      </c>
      <c r="G40" s="629" t="s">
        <v>474</v>
      </c>
      <c r="H40" s="1874" t="s">
        <v>284</v>
      </c>
      <c r="I40" s="1883">
        <v>1</v>
      </c>
      <c r="J40" s="48" t="s">
        <v>1699</v>
      </c>
      <c r="K40" s="61" t="s">
        <v>106</v>
      </c>
      <c r="L40" s="61" t="s">
        <v>106</v>
      </c>
      <c r="M40" s="1874">
        <v>1</v>
      </c>
      <c r="N40" s="1874">
        <v>1</v>
      </c>
      <c r="O40" s="665">
        <f t="shared" si="9"/>
        <v>0</v>
      </c>
      <c r="P40" s="502">
        <f t="shared" si="3"/>
        <v>0</v>
      </c>
      <c r="Q40" s="542">
        <f t="shared" si="10"/>
        <v>0</v>
      </c>
      <c r="R40" s="542">
        <f t="shared" si="4"/>
        <v>0</v>
      </c>
      <c r="S40" s="542">
        <f t="shared" si="5"/>
        <v>0</v>
      </c>
      <c r="T40" s="542">
        <f t="shared" si="6"/>
        <v>0</v>
      </c>
      <c r="U40" s="731"/>
      <c r="V40" s="734"/>
      <c r="W40" s="1983">
        <v>1</v>
      </c>
      <c r="X40" s="710">
        <f t="shared" si="11"/>
        <v>1</v>
      </c>
      <c r="Y40" s="570">
        <v>0</v>
      </c>
      <c r="Z40" s="570"/>
      <c r="AA40" s="570">
        <v>0</v>
      </c>
      <c r="AB40" s="710">
        <f t="shared" si="12"/>
        <v>1</v>
      </c>
      <c r="AC40" s="570"/>
      <c r="AD40" s="570"/>
      <c r="AE40" s="572"/>
      <c r="AF40" s="572"/>
      <c r="AG40" s="572" t="s">
        <v>106</v>
      </c>
      <c r="AH40" s="572" t="s">
        <v>107</v>
      </c>
      <c r="AI40" s="572" t="s">
        <v>108</v>
      </c>
      <c r="AJ40" s="572" t="str">
        <f t="shared" si="7"/>
        <v/>
      </c>
      <c r="AK40" s="572"/>
    </row>
    <row r="41" spans="1:37" s="2" customFormat="1" ht="15.6" customHeight="1">
      <c r="A41" s="1862"/>
      <c r="B41" s="1862"/>
      <c r="C41" s="11">
        <v>31</v>
      </c>
      <c r="D41" s="20" t="s">
        <v>109</v>
      </c>
      <c r="E41" s="473" t="s">
        <v>257</v>
      </c>
      <c r="F41" s="5" t="s">
        <v>257</v>
      </c>
      <c r="G41" s="629" t="s">
        <v>474</v>
      </c>
      <c r="H41" s="1874"/>
      <c r="I41" s="1883"/>
      <c r="J41" s="48" t="s">
        <v>1700</v>
      </c>
      <c r="K41" s="61" t="s">
        <v>60</v>
      </c>
      <c r="L41" s="61" t="s">
        <v>60</v>
      </c>
      <c r="M41" s="1874"/>
      <c r="N41" s="1874"/>
      <c r="O41" s="665">
        <f t="shared" si="9"/>
        <v>0</v>
      </c>
      <c r="P41" s="502">
        <f t="shared" si="3"/>
        <v>0</v>
      </c>
      <c r="Q41" s="542">
        <f t="shared" si="10"/>
        <v>0</v>
      </c>
      <c r="R41" s="542">
        <f t="shared" si="4"/>
        <v>0</v>
      </c>
      <c r="S41" s="542">
        <f t="shared" si="5"/>
        <v>0</v>
      </c>
      <c r="T41" s="542">
        <f t="shared" si="6"/>
        <v>0</v>
      </c>
      <c r="U41" s="731"/>
      <c r="V41" s="734"/>
      <c r="W41" s="1983"/>
      <c r="X41" s="710">
        <f t="shared" si="11"/>
        <v>0</v>
      </c>
      <c r="Y41" s="570">
        <v>0</v>
      </c>
      <c r="Z41" s="570"/>
      <c r="AA41" s="570">
        <v>0</v>
      </c>
      <c r="AB41" s="710">
        <f t="shared" si="12"/>
        <v>0</v>
      </c>
      <c r="AC41" s="570"/>
      <c r="AD41" s="570"/>
      <c r="AE41" s="572"/>
      <c r="AF41" s="572"/>
      <c r="AG41" s="572" t="s">
        <v>60</v>
      </c>
      <c r="AH41" s="572" t="s">
        <v>61</v>
      </c>
      <c r="AI41" s="572" t="s">
        <v>40</v>
      </c>
      <c r="AJ41" s="572" t="str">
        <f t="shared" si="7"/>
        <v/>
      </c>
      <c r="AK41" s="572"/>
    </row>
    <row r="42" spans="1:37" s="2" customFormat="1" ht="15.6" customHeight="1">
      <c r="A42" s="358" t="s">
        <v>359</v>
      </c>
      <c r="B42" s="358" t="s">
        <v>360</v>
      </c>
      <c r="C42" s="11">
        <v>32</v>
      </c>
      <c r="D42" s="20" t="s">
        <v>110</v>
      </c>
      <c r="E42" s="473" t="s">
        <v>257</v>
      </c>
      <c r="F42" s="5" t="s">
        <v>257</v>
      </c>
      <c r="G42" s="629" t="s">
        <v>1833</v>
      </c>
      <c r="H42" s="82" t="s">
        <v>284</v>
      </c>
      <c r="I42" s="200">
        <v>5</v>
      </c>
      <c r="J42" s="48" t="s">
        <v>1701</v>
      </c>
      <c r="K42" s="61">
        <v>0</v>
      </c>
      <c r="L42" s="61">
        <v>0</v>
      </c>
      <c r="M42" s="242">
        <f>IF(K42&gt;3,0,IF(K42=0,5,3))</f>
        <v>5</v>
      </c>
      <c r="N42" s="457">
        <f>IF(L42&gt;3,0,IF(L42=0,5,3))</f>
        <v>5</v>
      </c>
      <c r="O42" s="665">
        <f>IF(AND(L42=0,K42&lt;&gt;0),1,IF(AND(L42=0,K42=0),0,K42/L42-1))</f>
        <v>0</v>
      </c>
      <c r="P42" s="502">
        <f t="shared" si="3"/>
        <v>0</v>
      </c>
      <c r="Q42" s="542">
        <f t="shared" si="10"/>
        <v>0</v>
      </c>
      <c r="R42" s="542">
        <f t="shared" si="4"/>
        <v>0</v>
      </c>
      <c r="S42" s="542">
        <f t="shared" si="5"/>
        <v>0</v>
      </c>
      <c r="T42" s="542">
        <f t="shared" si="6"/>
        <v>0</v>
      </c>
      <c r="U42" s="731"/>
      <c r="V42" s="734"/>
      <c r="W42" s="710">
        <v>1</v>
      </c>
      <c r="X42" s="710">
        <f t="shared" si="11"/>
        <v>5</v>
      </c>
      <c r="Y42" s="570">
        <v>0</v>
      </c>
      <c r="Z42" s="570"/>
      <c r="AA42" s="570">
        <v>0</v>
      </c>
      <c r="AB42" s="710">
        <f t="shared" si="12"/>
        <v>5</v>
      </c>
      <c r="AC42" s="570"/>
      <c r="AD42" s="570"/>
      <c r="AE42" s="572"/>
      <c r="AF42" s="572"/>
      <c r="AG42" s="572"/>
      <c r="AH42" s="572"/>
      <c r="AI42" s="572"/>
      <c r="AJ42" s="572" t="str">
        <f t="shared" si="7"/>
        <v/>
      </c>
      <c r="AK42" s="572"/>
    </row>
    <row r="43" spans="1:37" s="2" customFormat="1" ht="15.6" customHeight="1">
      <c r="A43" s="1986" t="s">
        <v>1038</v>
      </c>
      <c r="B43" s="1986" t="s">
        <v>361</v>
      </c>
      <c r="C43" s="11">
        <v>33</v>
      </c>
      <c r="D43" s="20" t="s">
        <v>111</v>
      </c>
      <c r="E43" s="473" t="s">
        <v>257</v>
      </c>
      <c r="F43" s="5" t="s">
        <v>257</v>
      </c>
      <c r="G43" s="629" t="s">
        <v>474</v>
      </c>
      <c r="H43" s="1874" t="s">
        <v>284</v>
      </c>
      <c r="I43" s="1883">
        <v>2</v>
      </c>
      <c r="J43" s="48" t="s">
        <v>1702</v>
      </c>
      <c r="K43" s="61" t="s">
        <v>112</v>
      </c>
      <c r="L43" s="61" t="s">
        <v>112</v>
      </c>
      <c r="M43" s="1874">
        <v>2</v>
      </c>
      <c r="N43" s="1874">
        <v>2</v>
      </c>
      <c r="O43" s="665">
        <f>IF((K43=L43)=TRUE,0,1)</f>
        <v>0</v>
      </c>
      <c r="P43" s="502">
        <f t="shared" si="3"/>
        <v>0</v>
      </c>
      <c r="Q43" s="542">
        <f t="shared" si="10"/>
        <v>0</v>
      </c>
      <c r="R43" s="542">
        <f t="shared" si="4"/>
        <v>0</v>
      </c>
      <c r="S43" s="542">
        <f t="shared" si="5"/>
        <v>0</v>
      </c>
      <c r="T43" s="542">
        <f t="shared" si="6"/>
        <v>0</v>
      </c>
      <c r="U43" s="731"/>
      <c r="V43" s="734"/>
      <c r="W43" s="1983">
        <v>1</v>
      </c>
      <c r="X43" s="710">
        <f t="shared" si="11"/>
        <v>2</v>
      </c>
      <c r="Y43" s="570">
        <v>0</v>
      </c>
      <c r="Z43" s="570"/>
      <c r="AA43" s="570">
        <v>0</v>
      </c>
      <c r="AB43" s="710">
        <f t="shared" si="12"/>
        <v>2</v>
      </c>
      <c r="AC43" s="570"/>
      <c r="AD43" s="570"/>
      <c r="AE43" s="572"/>
      <c r="AF43" s="572"/>
      <c r="AG43" s="572" t="s">
        <v>112</v>
      </c>
      <c r="AH43" s="572" t="s">
        <v>113</v>
      </c>
      <c r="AI43" s="572" t="s">
        <v>108</v>
      </c>
      <c r="AJ43" s="572" t="str">
        <f t="shared" si="7"/>
        <v/>
      </c>
      <c r="AK43" s="572"/>
    </row>
    <row r="44" spans="1:37" s="2" customFormat="1" ht="15.6" customHeight="1">
      <c r="A44" s="1862"/>
      <c r="B44" s="1862"/>
      <c r="C44" s="11">
        <v>34</v>
      </c>
      <c r="D44" s="20" t="s">
        <v>114</v>
      </c>
      <c r="E44" s="473" t="s">
        <v>257</v>
      </c>
      <c r="F44" s="5" t="s">
        <v>257</v>
      </c>
      <c r="G44" s="629" t="s">
        <v>474</v>
      </c>
      <c r="H44" s="1874"/>
      <c r="I44" s="1883"/>
      <c r="J44" s="48" t="s">
        <v>1703</v>
      </c>
      <c r="K44" s="61" t="s">
        <v>60</v>
      </c>
      <c r="L44" s="61" t="s">
        <v>60</v>
      </c>
      <c r="M44" s="1874"/>
      <c r="N44" s="1874"/>
      <c r="O44" s="665">
        <f>IF((K44=L44)=TRUE,0,1)</f>
        <v>0</v>
      </c>
      <c r="P44" s="502">
        <f t="shared" si="3"/>
        <v>0</v>
      </c>
      <c r="Q44" s="542">
        <f t="shared" si="10"/>
        <v>0</v>
      </c>
      <c r="R44" s="542">
        <f t="shared" si="4"/>
        <v>0</v>
      </c>
      <c r="S44" s="542">
        <f t="shared" si="5"/>
        <v>0</v>
      </c>
      <c r="T44" s="542">
        <f t="shared" si="6"/>
        <v>0</v>
      </c>
      <c r="U44" s="731"/>
      <c r="V44" s="734"/>
      <c r="W44" s="1983"/>
      <c r="X44" s="710">
        <f t="shared" si="11"/>
        <v>0</v>
      </c>
      <c r="Y44" s="570">
        <v>0</v>
      </c>
      <c r="Z44" s="570"/>
      <c r="AA44" s="570">
        <v>0</v>
      </c>
      <c r="AB44" s="710">
        <f t="shared" si="12"/>
        <v>0</v>
      </c>
      <c r="AC44" s="570"/>
      <c r="AD44" s="570"/>
      <c r="AE44" s="572"/>
      <c r="AF44" s="572"/>
      <c r="AG44" s="572" t="s">
        <v>60</v>
      </c>
      <c r="AH44" s="572" t="s">
        <v>61</v>
      </c>
      <c r="AI44" s="572" t="s">
        <v>40</v>
      </c>
      <c r="AJ44" s="572" t="str">
        <f t="shared" si="7"/>
        <v/>
      </c>
      <c r="AK44" s="572"/>
    </row>
    <row r="45" spans="1:37" s="2" customFormat="1" ht="15.6" customHeight="1">
      <c r="A45" s="1986" t="s">
        <v>362</v>
      </c>
      <c r="B45" s="1986" t="s">
        <v>1039</v>
      </c>
      <c r="C45" s="11">
        <v>35</v>
      </c>
      <c r="D45" s="20" t="s">
        <v>115</v>
      </c>
      <c r="E45" s="473" t="s">
        <v>257</v>
      </c>
      <c r="F45" s="5" t="s">
        <v>257</v>
      </c>
      <c r="G45" s="629" t="s">
        <v>474</v>
      </c>
      <c r="H45" s="1874" t="s">
        <v>284</v>
      </c>
      <c r="I45" s="1883">
        <v>1</v>
      </c>
      <c r="J45" s="48" t="s">
        <v>1704</v>
      </c>
      <c r="K45" s="61" t="s">
        <v>116</v>
      </c>
      <c r="L45" s="61" t="s">
        <v>116</v>
      </c>
      <c r="M45" s="1874">
        <v>1</v>
      </c>
      <c r="N45" s="1874">
        <v>1</v>
      </c>
      <c r="O45" s="665">
        <f>IF((K45=L45)=TRUE,0,1)</f>
        <v>0</v>
      </c>
      <c r="P45" s="502">
        <f t="shared" si="3"/>
        <v>0</v>
      </c>
      <c r="Q45" s="542">
        <f t="shared" si="10"/>
        <v>0</v>
      </c>
      <c r="R45" s="542">
        <f t="shared" si="4"/>
        <v>0</v>
      </c>
      <c r="S45" s="542">
        <f t="shared" si="5"/>
        <v>0</v>
      </c>
      <c r="T45" s="542">
        <f t="shared" si="6"/>
        <v>0</v>
      </c>
      <c r="U45" s="731"/>
      <c r="V45" s="734"/>
      <c r="W45" s="1983">
        <v>1</v>
      </c>
      <c r="X45" s="710">
        <f t="shared" si="11"/>
        <v>1</v>
      </c>
      <c r="Y45" s="570">
        <v>0</v>
      </c>
      <c r="Z45" s="570"/>
      <c r="AA45" s="570">
        <v>0</v>
      </c>
      <c r="AB45" s="710">
        <f t="shared" si="12"/>
        <v>1</v>
      </c>
      <c r="AC45" s="570"/>
      <c r="AD45" s="570"/>
      <c r="AE45" s="572"/>
      <c r="AF45" s="572"/>
      <c r="AG45" s="572" t="s">
        <v>116</v>
      </c>
      <c r="AH45" s="572" t="s">
        <v>117</v>
      </c>
      <c r="AI45" s="572" t="s">
        <v>40</v>
      </c>
      <c r="AJ45" s="572" t="str">
        <f t="shared" si="7"/>
        <v/>
      </c>
      <c r="AK45" s="572"/>
    </row>
    <row r="46" spans="1:37" s="2" customFormat="1" ht="15.6" customHeight="1">
      <c r="A46" s="1862"/>
      <c r="B46" s="1862"/>
      <c r="C46" s="11">
        <v>36</v>
      </c>
      <c r="D46" s="20" t="s">
        <v>118</v>
      </c>
      <c r="E46" s="473" t="s">
        <v>257</v>
      </c>
      <c r="F46" s="5" t="s">
        <v>257</v>
      </c>
      <c r="G46" s="629" t="s">
        <v>474</v>
      </c>
      <c r="H46" s="1874"/>
      <c r="I46" s="1883"/>
      <c r="J46" s="48" t="s">
        <v>1705</v>
      </c>
      <c r="K46" s="61" t="s">
        <v>60</v>
      </c>
      <c r="L46" s="61" t="s">
        <v>60</v>
      </c>
      <c r="M46" s="1874"/>
      <c r="N46" s="1874"/>
      <c r="O46" s="665">
        <f>IF((K46=L46)=TRUE,0,1)</f>
        <v>0</v>
      </c>
      <c r="P46" s="502">
        <f t="shared" si="3"/>
        <v>0</v>
      </c>
      <c r="Q46" s="542">
        <f t="shared" si="10"/>
        <v>0</v>
      </c>
      <c r="R46" s="542">
        <f t="shared" si="4"/>
        <v>0</v>
      </c>
      <c r="S46" s="542">
        <f t="shared" si="5"/>
        <v>0</v>
      </c>
      <c r="T46" s="542">
        <f t="shared" si="6"/>
        <v>0</v>
      </c>
      <c r="U46" s="731"/>
      <c r="V46" s="734"/>
      <c r="W46" s="1983"/>
      <c r="X46" s="710">
        <f t="shared" si="11"/>
        <v>0</v>
      </c>
      <c r="Y46" s="570">
        <v>0</v>
      </c>
      <c r="Z46" s="570"/>
      <c r="AA46" s="570">
        <v>0</v>
      </c>
      <c r="AB46" s="710">
        <f t="shared" si="12"/>
        <v>0</v>
      </c>
      <c r="AC46" s="570"/>
      <c r="AD46" s="570"/>
      <c r="AE46" s="572"/>
      <c r="AF46" s="572"/>
      <c r="AG46" s="572" t="s">
        <v>60</v>
      </c>
      <c r="AH46" s="572" t="s">
        <v>61</v>
      </c>
      <c r="AI46" s="572" t="s">
        <v>40</v>
      </c>
      <c r="AJ46" s="572" t="str">
        <f t="shared" si="7"/>
        <v/>
      </c>
      <c r="AK46" s="572"/>
    </row>
    <row r="47" spans="1:37" s="2" customFormat="1" ht="15.6" customHeight="1">
      <c r="A47" s="358" t="s">
        <v>363</v>
      </c>
      <c r="B47" s="358" t="s">
        <v>364</v>
      </c>
      <c r="C47" s="11">
        <v>37</v>
      </c>
      <c r="D47" s="20" t="s">
        <v>119</v>
      </c>
      <c r="E47" s="473" t="s">
        <v>257</v>
      </c>
      <c r="F47" s="5" t="s">
        <v>257</v>
      </c>
      <c r="G47" s="629" t="s">
        <v>1833</v>
      </c>
      <c r="H47" s="82" t="s">
        <v>284</v>
      </c>
      <c r="I47" s="200">
        <v>5</v>
      </c>
      <c r="J47" s="48" t="s">
        <v>1704</v>
      </c>
      <c r="K47" s="61">
        <v>0</v>
      </c>
      <c r="L47" s="61">
        <v>0</v>
      </c>
      <c r="M47" s="457">
        <f>IF(K47&gt;3,0,IF(K47=0,5,3))</f>
        <v>5</v>
      </c>
      <c r="N47" s="457">
        <f>IF(L47&gt;3,0,IF(L47=0,5,3))</f>
        <v>5</v>
      </c>
      <c r="O47" s="665">
        <f>IF(AND(L47=0,K47&lt;&gt;0),1,IF(AND(L47=0,K47=0),0,K47/L47-1))</f>
        <v>0</v>
      </c>
      <c r="P47" s="502">
        <f t="shared" si="3"/>
        <v>0</v>
      </c>
      <c r="Q47" s="542">
        <f t="shared" si="10"/>
        <v>0</v>
      </c>
      <c r="R47" s="542">
        <f t="shared" si="4"/>
        <v>0</v>
      </c>
      <c r="S47" s="542">
        <f t="shared" si="5"/>
        <v>0</v>
      </c>
      <c r="T47" s="542">
        <f t="shared" si="6"/>
        <v>0</v>
      </c>
      <c r="U47" s="731"/>
      <c r="V47" s="734"/>
      <c r="W47" s="710">
        <v>1</v>
      </c>
      <c r="X47" s="710">
        <f t="shared" si="11"/>
        <v>5</v>
      </c>
      <c r="Y47" s="570">
        <v>0</v>
      </c>
      <c r="Z47" s="570"/>
      <c r="AA47" s="570">
        <v>0</v>
      </c>
      <c r="AB47" s="710">
        <f t="shared" si="12"/>
        <v>5</v>
      </c>
      <c r="AC47" s="570"/>
      <c r="AD47" s="570"/>
      <c r="AE47" s="572"/>
      <c r="AF47" s="572"/>
      <c r="AG47" s="572"/>
      <c r="AH47" s="572"/>
      <c r="AI47" s="572"/>
      <c r="AJ47" s="572" t="str">
        <f t="shared" si="7"/>
        <v/>
      </c>
      <c r="AK47" s="572"/>
    </row>
    <row r="48" spans="1:37" s="2" customFormat="1" ht="15.6" customHeight="1">
      <c r="A48" s="1986" t="s">
        <v>365</v>
      </c>
      <c r="B48" s="1986" t="s">
        <v>366</v>
      </c>
      <c r="C48" s="11">
        <v>38</v>
      </c>
      <c r="D48" s="20" t="s">
        <v>120</v>
      </c>
      <c r="E48" s="473" t="s">
        <v>257</v>
      </c>
      <c r="F48" s="5" t="s">
        <v>257</v>
      </c>
      <c r="G48" s="629" t="s">
        <v>474</v>
      </c>
      <c r="H48" s="1874" t="s">
        <v>284</v>
      </c>
      <c r="I48" s="1883">
        <v>1</v>
      </c>
      <c r="J48" s="48" t="s">
        <v>1706</v>
      </c>
      <c r="K48" s="61" t="s">
        <v>121</v>
      </c>
      <c r="L48" s="61" t="s">
        <v>121</v>
      </c>
      <c r="M48" s="1874">
        <v>1</v>
      </c>
      <c r="N48" s="1874">
        <v>1</v>
      </c>
      <c r="O48" s="665">
        <f>IF((K48=L48)=TRUE,0,1)</f>
        <v>0</v>
      </c>
      <c r="P48" s="502">
        <f t="shared" si="3"/>
        <v>0</v>
      </c>
      <c r="Q48" s="542">
        <f t="shared" si="10"/>
        <v>0</v>
      </c>
      <c r="R48" s="542">
        <f t="shared" si="4"/>
        <v>0</v>
      </c>
      <c r="S48" s="542">
        <f t="shared" si="5"/>
        <v>0</v>
      </c>
      <c r="T48" s="542">
        <f t="shared" si="6"/>
        <v>0</v>
      </c>
      <c r="U48" s="731"/>
      <c r="V48" s="734"/>
      <c r="W48" s="1983">
        <v>1</v>
      </c>
      <c r="X48" s="710">
        <f t="shared" si="11"/>
        <v>1</v>
      </c>
      <c r="Y48" s="570">
        <v>0</v>
      </c>
      <c r="Z48" s="570"/>
      <c r="AA48" s="1983">
        <v>1</v>
      </c>
      <c r="AB48" s="710">
        <f t="shared" si="12"/>
        <v>1</v>
      </c>
      <c r="AC48" s="570"/>
      <c r="AD48" s="570"/>
      <c r="AE48" s="1982" t="s">
        <v>1657</v>
      </c>
      <c r="AF48" s="572"/>
      <c r="AG48" s="572" t="s">
        <v>121</v>
      </c>
      <c r="AH48" s="572" t="s">
        <v>122</v>
      </c>
      <c r="AI48" s="572" t="s">
        <v>40</v>
      </c>
      <c r="AJ48" s="572" t="str">
        <f t="shared" si="7"/>
        <v>改为财务管理部1.0权重，投资1.0权重</v>
      </c>
      <c r="AK48" s="572"/>
    </row>
    <row r="49" spans="1:37" s="2" customFormat="1" ht="15.6" customHeight="1">
      <c r="A49" s="1862"/>
      <c r="B49" s="1862"/>
      <c r="C49" s="11">
        <v>39</v>
      </c>
      <c r="D49" s="20" t="s">
        <v>123</v>
      </c>
      <c r="E49" s="473" t="s">
        <v>257</v>
      </c>
      <c r="F49" s="5" t="s">
        <v>257</v>
      </c>
      <c r="G49" s="629" t="s">
        <v>474</v>
      </c>
      <c r="H49" s="1874"/>
      <c r="I49" s="1883"/>
      <c r="J49" s="48" t="s">
        <v>1707</v>
      </c>
      <c r="K49" s="61" t="s">
        <v>60</v>
      </c>
      <c r="L49" s="61" t="s">
        <v>60</v>
      </c>
      <c r="M49" s="1874"/>
      <c r="N49" s="1874"/>
      <c r="O49" s="665">
        <f>IF((K49=L49)=TRUE,0,1)</f>
        <v>0</v>
      </c>
      <c r="P49" s="502">
        <f t="shared" si="3"/>
        <v>0</v>
      </c>
      <c r="Q49" s="542">
        <f t="shared" si="10"/>
        <v>0</v>
      </c>
      <c r="R49" s="542">
        <f t="shared" si="4"/>
        <v>0</v>
      </c>
      <c r="S49" s="542">
        <f t="shared" si="5"/>
        <v>0</v>
      </c>
      <c r="T49" s="542">
        <f t="shared" si="6"/>
        <v>0</v>
      </c>
      <c r="U49" s="731"/>
      <c r="V49" s="734"/>
      <c r="W49" s="1983"/>
      <c r="X49" s="710">
        <f t="shared" si="11"/>
        <v>0</v>
      </c>
      <c r="Y49" s="570">
        <v>0</v>
      </c>
      <c r="Z49" s="570"/>
      <c r="AA49" s="1983"/>
      <c r="AB49" s="710">
        <f t="shared" si="12"/>
        <v>0</v>
      </c>
      <c r="AC49" s="570"/>
      <c r="AD49" s="570"/>
      <c r="AE49" s="1982"/>
      <c r="AF49" s="572"/>
      <c r="AG49" s="572" t="s">
        <v>60</v>
      </c>
      <c r="AH49" s="572" t="s">
        <v>61</v>
      </c>
      <c r="AI49" s="572" t="s">
        <v>40</v>
      </c>
      <c r="AJ49" s="572" t="str">
        <f t="shared" si="7"/>
        <v/>
      </c>
      <c r="AK49" s="572"/>
    </row>
    <row r="50" spans="1:37" s="2" customFormat="1" ht="15.6" customHeight="1">
      <c r="A50" s="1987" t="s">
        <v>367</v>
      </c>
      <c r="B50" s="1987" t="s">
        <v>368</v>
      </c>
      <c r="C50" s="11">
        <v>40</v>
      </c>
      <c r="D50" s="20" t="s">
        <v>124</v>
      </c>
      <c r="E50" s="473" t="s">
        <v>257</v>
      </c>
      <c r="F50" s="5" t="s">
        <v>257</v>
      </c>
      <c r="G50" s="629" t="s">
        <v>474</v>
      </c>
      <c r="H50" s="1874" t="s">
        <v>284</v>
      </c>
      <c r="I50" s="1883">
        <v>1</v>
      </c>
      <c r="J50" s="48" t="s">
        <v>1708</v>
      </c>
      <c r="K50" s="61" t="s">
        <v>125</v>
      </c>
      <c r="L50" s="61" t="s">
        <v>125</v>
      </c>
      <c r="M50" s="1874">
        <v>1</v>
      </c>
      <c r="N50" s="1874">
        <v>1</v>
      </c>
      <c r="O50" s="665">
        <f>IF((K50=L50)=TRUE,0,1)</f>
        <v>0</v>
      </c>
      <c r="P50" s="502">
        <f t="shared" si="3"/>
        <v>0</v>
      </c>
      <c r="Q50" s="542">
        <f t="shared" si="10"/>
        <v>0</v>
      </c>
      <c r="R50" s="542">
        <f t="shared" si="4"/>
        <v>0</v>
      </c>
      <c r="S50" s="542">
        <f t="shared" si="5"/>
        <v>0</v>
      </c>
      <c r="T50" s="542">
        <f t="shared" si="6"/>
        <v>0</v>
      </c>
      <c r="U50" s="731"/>
      <c r="V50" s="734"/>
      <c r="W50" s="1983">
        <v>1</v>
      </c>
      <c r="X50" s="710">
        <f t="shared" si="11"/>
        <v>1</v>
      </c>
      <c r="Y50" s="570">
        <v>0</v>
      </c>
      <c r="Z50" s="570"/>
      <c r="AA50" s="570">
        <v>0</v>
      </c>
      <c r="AB50" s="710">
        <f t="shared" si="12"/>
        <v>1</v>
      </c>
      <c r="AC50" s="570"/>
      <c r="AD50" s="570"/>
      <c r="AE50" s="572"/>
      <c r="AF50" s="572"/>
      <c r="AG50" s="572" t="s">
        <v>125</v>
      </c>
      <c r="AH50" s="572" t="s">
        <v>126</v>
      </c>
      <c r="AI50" s="572" t="s">
        <v>40</v>
      </c>
      <c r="AJ50" s="572" t="str">
        <f t="shared" si="7"/>
        <v/>
      </c>
      <c r="AK50" s="572"/>
    </row>
    <row r="51" spans="1:37" s="2" customFormat="1" ht="15.6" customHeight="1">
      <c r="A51" s="1988"/>
      <c r="B51" s="1988"/>
      <c r="C51" s="11">
        <v>41</v>
      </c>
      <c r="D51" s="20" t="s">
        <v>127</v>
      </c>
      <c r="E51" s="473" t="s">
        <v>257</v>
      </c>
      <c r="F51" s="5" t="s">
        <v>257</v>
      </c>
      <c r="G51" s="629" t="s">
        <v>474</v>
      </c>
      <c r="H51" s="1874"/>
      <c r="I51" s="1883"/>
      <c r="J51" s="48" t="s">
        <v>1709</v>
      </c>
      <c r="K51" s="61" t="s">
        <v>128</v>
      </c>
      <c r="L51" s="61" t="s">
        <v>128</v>
      </c>
      <c r="M51" s="1874"/>
      <c r="N51" s="1874"/>
      <c r="O51" s="665">
        <f>IF((K51=L51)=TRUE,0,1)</f>
        <v>0</v>
      </c>
      <c r="P51" s="502">
        <f t="shared" si="3"/>
        <v>0</v>
      </c>
      <c r="Q51" s="542">
        <f t="shared" si="10"/>
        <v>0</v>
      </c>
      <c r="R51" s="542">
        <f t="shared" si="4"/>
        <v>0</v>
      </c>
      <c r="S51" s="542">
        <f t="shared" si="5"/>
        <v>0</v>
      </c>
      <c r="T51" s="542">
        <f t="shared" si="6"/>
        <v>0</v>
      </c>
      <c r="U51" s="731"/>
      <c r="V51" s="734"/>
      <c r="W51" s="1983"/>
      <c r="X51" s="710">
        <f t="shared" si="11"/>
        <v>0</v>
      </c>
      <c r="Y51" s="570">
        <v>0</v>
      </c>
      <c r="Z51" s="570"/>
      <c r="AA51" s="570">
        <v>0</v>
      </c>
      <c r="AB51" s="710">
        <f t="shared" si="12"/>
        <v>0</v>
      </c>
      <c r="AC51" s="570"/>
      <c r="AD51" s="570"/>
      <c r="AE51" s="572"/>
      <c r="AF51" s="572"/>
      <c r="AG51" s="572" t="s">
        <v>128</v>
      </c>
      <c r="AH51" s="572" t="s">
        <v>129</v>
      </c>
      <c r="AI51" s="572" t="s">
        <v>40</v>
      </c>
      <c r="AJ51" s="572" t="str">
        <f t="shared" si="7"/>
        <v/>
      </c>
      <c r="AK51" s="572"/>
    </row>
    <row r="52" spans="1:37" s="2" customFormat="1" ht="15.6" customHeight="1">
      <c r="A52" s="359" t="s">
        <v>2146</v>
      </c>
      <c r="B52" s="359" t="s">
        <v>2145</v>
      </c>
      <c r="C52" s="11">
        <v>42</v>
      </c>
      <c r="D52" s="20" t="s">
        <v>2144</v>
      </c>
      <c r="E52" s="473" t="s">
        <v>257</v>
      </c>
      <c r="F52" s="5" t="s">
        <v>1040</v>
      </c>
      <c r="G52" s="629" t="s">
        <v>1833</v>
      </c>
      <c r="H52" s="82" t="s">
        <v>284</v>
      </c>
      <c r="I52" s="200">
        <v>5</v>
      </c>
      <c r="J52" s="50"/>
      <c r="K52" s="61">
        <v>0</v>
      </c>
      <c r="L52" s="61">
        <v>0</v>
      </c>
      <c r="M52" s="457">
        <f>IF(K52&gt;3,0,IF(K52=0,5,3))</f>
        <v>5</v>
      </c>
      <c r="N52" s="457">
        <f>IF(L52&gt;3,0,IF(L52=0,5,3))</f>
        <v>5</v>
      </c>
      <c r="O52" s="665">
        <f>IF(AND(L52=0,K52&lt;&gt;0),1,IF(AND(L52=0,K52=0),0,K52/L52-1))</f>
        <v>0</v>
      </c>
      <c r="P52" s="502">
        <f t="shared" si="3"/>
        <v>0</v>
      </c>
      <c r="Q52" s="542">
        <f t="shared" si="10"/>
        <v>0</v>
      </c>
      <c r="R52" s="542">
        <f t="shared" si="4"/>
        <v>0</v>
      </c>
      <c r="S52" s="542">
        <f t="shared" si="5"/>
        <v>0</v>
      </c>
      <c r="T52" s="542">
        <f t="shared" si="6"/>
        <v>0</v>
      </c>
      <c r="U52" s="731"/>
      <c r="V52" s="734"/>
      <c r="W52" s="710">
        <v>0</v>
      </c>
      <c r="X52" s="710">
        <f t="shared" si="11"/>
        <v>5</v>
      </c>
      <c r="Y52" s="570">
        <v>0</v>
      </c>
      <c r="Z52" s="570"/>
      <c r="AA52" s="570">
        <v>1</v>
      </c>
      <c r="AB52" s="710">
        <f t="shared" si="12"/>
        <v>5</v>
      </c>
      <c r="AC52" s="570"/>
      <c r="AD52" s="570"/>
      <c r="AE52" s="572"/>
      <c r="AF52" s="572"/>
      <c r="AG52" s="572"/>
      <c r="AH52" s="572"/>
      <c r="AI52" s="572"/>
      <c r="AJ52" s="572" t="str">
        <f t="shared" si="7"/>
        <v/>
      </c>
      <c r="AK52" s="572"/>
    </row>
    <row r="53" spans="1:37" s="2" customFormat="1" ht="15.6" customHeight="1">
      <c r="A53" s="358" t="s">
        <v>369</v>
      </c>
      <c r="B53" s="358" t="s">
        <v>370</v>
      </c>
      <c r="C53" s="11">
        <v>43</v>
      </c>
      <c r="D53" s="20" t="s">
        <v>131</v>
      </c>
      <c r="E53" s="473" t="s">
        <v>257</v>
      </c>
      <c r="F53" s="5" t="s">
        <v>257</v>
      </c>
      <c r="G53" s="629" t="s">
        <v>1833</v>
      </c>
      <c r="H53" s="82" t="s">
        <v>284</v>
      </c>
      <c r="I53" s="200">
        <v>5</v>
      </c>
      <c r="J53" s="48" t="s">
        <v>1710</v>
      </c>
      <c r="K53" s="61">
        <v>0</v>
      </c>
      <c r="L53" s="61">
        <v>0</v>
      </c>
      <c r="M53" s="457">
        <f>IF(K53&gt;3,0,IF(K53=0,5,3))</f>
        <v>5</v>
      </c>
      <c r="N53" s="457">
        <f>IF(L53&gt;3,0,IF(L53=0,5,3))</f>
        <v>5</v>
      </c>
      <c r="O53" s="665">
        <f>IF(AND(L53=0,K53&lt;&gt;0),1,IF(AND(L53=0,K53=0),0,K53/L53-1))</f>
        <v>0</v>
      </c>
      <c r="P53" s="502">
        <f t="shared" si="3"/>
        <v>0</v>
      </c>
      <c r="Q53" s="542">
        <f t="shared" si="10"/>
        <v>0</v>
      </c>
      <c r="R53" s="542">
        <f t="shared" si="4"/>
        <v>0</v>
      </c>
      <c r="S53" s="542">
        <f t="shared" si="5"/>
        <v>0</v>
      </c>
      <c r="T53" s="542">
        <f t="shared" si="6"/>
        <v>0</v>
      </c>
      <c r="U53" s="731"/>
      <c r="V53" s="734"/>
      <c r="W53" s="710">
        <v>1</v>
      </c>
      <c r="X53" s="710">
        <f t="shared" si="11"/>
        <v>5</v>
      </c>
      <c r="Y53" s="570">
        <v>0</v>
      </c>
      <c r="Z53" s="570"/>
      <c r="AA53" s="570">
        <v>0</v>
      </c>
      <c r="AB53" s="710">
        <f t="shared" si="12"/>
        <v>5</v>
      </c>
      <c r="AC53" s="570"/>
      <c r="AD53" s="570"/>
      <c r="AE53" s="572"/>
      <c r="AF53" s="572"/>
      <c r="AG53" s="572"/>
      <c r="AH53" s="572"/>
      <c r="AI53" s="572"/>
      <c r="AJ53" s="572" t="str">
        <f t="shared" si="7"/>
        <v/>
      </c>
      <c r="AK53" s="572"/>
    </row>
    <row r="54" spans="1:37" s="2" customFormat="1" ht="14.25" customHeight="1">
      <c r="A54" s="1986" t="s">
        <v>371</v>
      </c>
      <c r="B54" s="1986" t="s">
        <v>372</v>
      </c>
      <c r="C54" s="11">
        <v>44</v>
      </c>
      <c r="D54" s="20" t="s">
        <v>132</v>
      </c>
      <c r="E54" s="473" t="s">
        <v>255</v>
      </c>
      <c r="F54" s="5" t="s">
        <v>1036</v>
      </c>
      <c r="G54" s="629" t="s">
        <v>474</v>
      </c>
      <c r="H54" s="1874" t="s">
        <v>284</v>
      </c>
      <c r="I54" s="1883">
        <v>3</v>
      </c>
      <c r="J54" s="48"/>
      <c r="K54" s="61" t="s">
        <v>133</v>
      </c>
      <c r="L54" s="61" t="s">
        <v>133</v>
      </c>
      <c r="M54" s="1874">
        <v>3</v>
      </c>
      <c r="N54" s="1874">
        <v>3</v>
      </c>
      <c r="O54" s="665">
        <f>IF((K54=L54)=TRUE,0,1)</f>
        <v>0</v>
      </c>
      <c r="P54" s="502">
        <f t="shared" si="3"/>
        <v>0</v>
      </c>
      <c r="Q54" s="542">
        <f t="shared" si="10"/>
        <v>0</v>
      </c>
      <c r="R54" s="542">
        <f t="shared" si="4"/>
        <v>0</v>
      </c>
      <c r="S54" s="542">
        <f t="shared" si="5"/>
        <v>0</v>
      </c>
      <c r="T54" s="542">
        <f t="shared" si="6"/>
        <v>0</v>
      </c>
      <c r="U54" s="731"/>
      <c r="V54" s="734"/>
      <c r="W54" s="1983">
        <v>1</v>
      </c>
      <c r="X54" s="710">
        <f t="shared" si="11"/>
        <v>3</v>
      </c>
      <c r="Y54" s="570">
        <v>0</v>
      </c>
      <c r="Z54" s="570"/>
      <c r="AA54" s="570">
        <v>0</v>
      </c>
      <c r="AB54" s="710">
        <f t="shared" si="12"/>
        <v>3</v>
      </c>
      <c r="AC54" s="570"/>
      <c r="AD54" s="570"/>
      <c r="AE54" s="572"/>
      <c r="AF54" s="720" t="s">
        <v>1654</v>
      </c>
      <c r="AG54" s="572" t="s">
        <v>133</v>
      </c>
      <c r="AH54" s="572" t="s">
        <v>134</v>
      </c>
      <c r="AI54" s="572" t="s">
        <v>135</v>
      </c>
      <c r="AJ54" s="572" t="str">
        <f t="shared" si="7"/>
        <v>改为投资部提供数据</v>
      </c>
      <c r="AK54" s="572"/>
    </row>
    <row r="55" spans="1:37" s="2" customFormat="1" ht="15.6" customHeight="1">
      <c r="A55" s="1862"/>
      <c r="B55" s="1862"/>
      <c r="C55" s="11">
        <v>45</v>
      </c>
      <c r="D55" s="20" t="s">
        <v>136</v>
      </c>
      <c r="E55" s="473" t="s">
        <v>255</v>
      </c>
      <c r="F55" s="5" t="s">
        <v>1036</v>
      </c>
      <c r="G55" s="629" t="s">
        <v>474</v>
      </c>
      <c r="H55" s="1874"/>
      <c r="I55" s="1883"/>
      <c r="J55" s="48"/>
      <c r="K55" s="61" t="s">
        <v>60</v>
      </c>
      <c r="L55" s="61" t="s">
        <v>60</v>
      </c>
      <c r="M55" s="1874"/>
      <c r="N55" s="1874"/>
      <c r="O55" s="665">
        <f>IF((K55=L55)=TRUE,0,1)</f>
        <v>0</v>
      </c>
      <c r="P55" s="502">
        <f t="shared" si="3"/>
        <v>0</v>
      </c>
      <c r="Q55" s="542">
        <f t="shared" si="10"/>
        <v>0</v>
      </c>
      <c r="R55" s="542">
        <f t="shared" si="4"/>
        <v>0</v>
      </c>
      <c r="S55" s="542">
        <f t="shared" si="5"/>
        <v>0</v>
      </c>
      <c r="T55" s="542">
        <f t="shared" si="6"/>
        <v>0</v>
      </c>
      <c r="U55" s="731"/>
      <c r="V55" s="734"/>
      <c r="W55" s="1983"/>
      <c r="X55" s="710">
        <f t="shared" si="11"/>
        <v>0</v>
      </c>
      <c r="Y55" s="570">
        <v>0</v>
      </c>
      <c r="Z55" s="570"/>
      <c r="AA55" s="570">
        <v>0</v>
      </c>
      <c r="AB55" s="710">
        <f t="shared" si="12"/>
        <v>0</v>
      </c>
      <c r="AC55" s="570"/>
      <c r="AD55" s="570"/>
      <c r="AE55" s="572"/>
      <c r="AF55" s="720" t="s">
        <v>1654</v>
      </c>
      <c r="AG55" s="572" t="s">
        <v>60</v>
      </c>
      <c r="AH55" s="572" t="s">
        <v>61</v>
      </c>
      <c r="AI55" s="572" t="s">
        <v>40</v>
      </c>
      <c r="AJ55" s="572" t="str">
        <f t="shared" si="7"/>
        <v>改为投资部提供数据</v>
      </c>
      <c r="AK55" s="572"/>
    </row>
    <row r="56" spans="1:37" s="2" customFormat="1" ht="15.6" customHeight="1">
      <c r="A56" s="358" t="s">
        <v>373</v>
      </c>
      <c r="B56" s="358" t="s">
        <v>374</v>
      </c>
      <c r="C56" s="11">
        <v>46</v>
      </c>
      <c r="D56" s="20" t="s">
        <v>137</v>
      </c>
      <c r="E56" s="473" t="s">
        <v>255</v>
      </c>
      <c r="F56" s="5" t="s">
        <v>1036</v>
      </c>
      <c r="G56" s="629" t="s">
        <v>474</v>
      </c>
      <c r="H56" s="76" t="s">
        <v>284</v>
      </c>
      <c r="I56" s="200">
        <v>1</v>
      </c>
      <c r="J56" s="48"/>
      <c r="K56" s="61">
        <v>0</v>
      </c>
      <c r="L56" s="61">
        <v>0</v>
      </c>
      <c r="M56" s="242">
        <f>IF(K56&lt;2,1,0)</f>
        <v>1</v>
      </c>
      <c r="N56" s="457">
        <f>IF(L56&lt;2,1,0)</f>
        <v>1</v>
      </c>
      <c r="O56" s="665">
        <f>IF(AND(L56=0,K56&lt;&gt;0),1,IF(AND(L56=0,K56=0),0,K56/L56-1))</f>
        <v>0</v>
      </c>
      <c r="P56" s="502">
        <f t="shared" si="3"/>
        <v>0</v>
      </c>
      <c r="Q56" s="542">
        <f t="shared" si="10"/>
        <v>0</v>
      </c>
      <c r="R56" s="542">
        <f t="shared" si="4"/>
        <v>0</v>
      </c>
      <c r="S56" s="542">
        <f t="shared" si="5"/>
        <v>0</v>
      </c>
      <c r="T56" s="542">
        <f t="shared" si="6"/>
        <v>0</v>
      </c>
      <c r="U56" s="731"/>
      <c r="V56" s="734"/>
      <c r="W56" s="710">
        <v>1</v>
      </c>
      <c r="X56" s="710">
        <f t="shared" si="11"/>
        <v>1</v>
      </c>
      <c r="Y56" s="710">
        <v>1</v>
      </c>
      <c r="Z56" s="570"/>
      <c r="AA56" s="570">
        <v>0</v>
      </c>
      <c r="AB56" s="710">
        <f t="shared" si="12"/>
        <v>1</v>
      </c>
      <c r="AC56" s="710"/>
      <c r="AD56" s="710"/>
      <c r="AE56" s="720" t="s">
        <v>1658</v>
      </c>
      <c r="AF56" s="572"/>
      <c r="AG56" s="572"/>
      <c r="AH56" s="572"/>
      <c r="AI56" s="572"/>
      <c r="AJ56" s="572" t="str">
        <f t="shared" si="7"/>
        <v>投资部和IT各1.0权重</v>
      </c>
      <c r="AK56" s="572"/>
    </row>
    <row r="57" spans="1:37" s="2" customFormat="1" ht="15.6" customHeight="1">
      <c r="A57" s="358" t="s">
        <v>375</v>
      </c>
      <c r="B57" s="358" t="s">
        <v>376</v>
      </c>
      <c r="C57" s="11">
        <v>47</v>
      </c>
      <c r="D57" s="20" t="s">
        <v>138</v>
      </c>
      <c r="E57" s="473" t="s">
        <v>255</v>
      </c>
      <c r="F57" s="5" t="s">
        <v>255</v>
      </c>
      <c r="G57" s="629" t="s">
        <v>1833</v>
      </c>
      <c r="H57" s="76" t="s">
        <v>284</v>
      </c>
      <c r="I57" s="200">
        <v>1</v>
      </c>
      <c r="J57" s="48"/>
      <c r="K57" s="61">
        <v>0</v>
      </c>
      <c r="L57" s="61">
        <v>0</v>
      </c>
      <c r="M57" s="457">
        <f>IF(K57&lt;1,1,0)</f>
        <v>1</v>
      </c>
      <c r="N57" s="457">
        <f>IF(L57&lt;1,1,0)</f>
        <v>1</v>
      </c>
      <c r="O57" s="665">
        <f>IF(AND(L57=0,K57&lt;&gt;0),1,IF(AND(L57=0,K57=0),0,K57/L57-1))</f>
        <v>0</v>
      </c>
      <c r="P57" s="502">
        <f t="shared" si="3"/>
        <v>0</v>
      </c>
      <c r="Q57" s="542">
        <f t="shared" si="10"/>
        <v>0</v>
      </c>
      <c r="R57" s="542">
        <f t="shared" si="4"/>
        <v>0</v>
      </c>
      <c r="S57" s="542">
        <f t="shared" si="5"/>
        <v>0</v>
      </c>
      <c r="T57" s="542">
        <f t="shared" si="6"/>
        <v>0</v>
      </c>
      <c r="U57" s="731"/>
      <c r="V57" s="734"/>
      <c r="W57" s="710">
        <v>0</v>
      </c>
      <c r="X57" s="710">
        <f t="shared" si="11"/>
        <v>1</v>
      </c>
      <c r="Y57" s="570">
        <v>1</v>
      </c>
      <c r="Z57" s="710">
        <f>$M57</f>
        <v>1</v>
      </c>
      <c r="AA57" s="570">
        <v>0</v>
      </c>
      <c r="AB57" s="710">
        <f t="shared" si="12"/>
        <v>1</v>
      </c>
      <c r="AC57" s="570"/>
      <c r="AD57" s="570"/>
      <c r="AE57" s="572"/>
      <c r="AF57" s="572"/>
      <c r="AG57" s="572"/>
      <c r="AH57" s="572"/>
      <c r="AI57" s="572"/>
      <c r="AJ57" s="572" t="str">
        <f t="shared" si="7"/>
        <v/>
      </c>
      <c r="AK57" s="572"/>
    </row>
    <row r="58" spans="1:37" s="2" customFormat="1" ht="15.6" customHeight="1">
      <c r="A58" s="358" t="s">
        <v>377</v>
      </c>
      <c r="B58" s="358" t="s">
        <v>378</v>
      </c>
      <c r="C58" s="11">
        <v>48</v>
      </c>
      <c r="D58" s="20" t="s">
        <v>139</v>
      </c>
      <c r="E58" s="473" t="s">
        <v>255</v>
      </c>
      <c r="F58" s="5" t="s">
        <v>255</v>
      </c>
      <c r="G58" s="629" t="s">
        <v>1833</v>
      </c>
      <c r="H58" s="76" t="s">
        <v>284</v>
      </c>
      <c r="I58" s="200">
        <v>1</v>
      </c>
      <c r="J58" s="48"/>
      <c r="K58" s="61">
        <v>0</v>
      </c>
      <c r="L58" s="61">
        <v>0</v>
      </c>
      <c r="M58" s="242">
        <f>IF(K58&lt;5,1,0)</f>
        <v>1</v>
      </c>
      <c r="N58" s="457">
        <f>IF(L58&lt;5,1,0)</f>
        <v>1</v>
      </c>
      <c r="O58" s="665">
        <f>IF(AND(L58=0,K58&lt;&gt;0),1,IF(AND(L58=0,K58=0),0,K58/L58-1))</f>
        <v>0</v>
      </c>
      <c r="P58" s="502">
        <f t="shared" si="3"/>
        <v>0</v>
      </c>
      <c r="Q58" s="542">
        <f t="shared" si="10"/>
        <v>0</v>
      </c>
      <c r="R58" s="542">
        <f t="shared" si="4"/>
        <v>0</v>
      </c>
      <c r="S58" s="542">
        <f t="shared" si="5"/>
        <v>0</v>
      </c>
      <c r="T58" s="542">
        <f t="shared" si="6"/>
        <v>0</v>
      </c>
      <c r="U58" s="731"/>
      <c r="V58" s="734"/>
      <c r="W58" s="710">
        <v>0</v>
      </c>
      <c r="X58" s="710">
        <f t="shared" si="11"/>
        <v>1</v>
      </c>
      <c r="Y58" s="570">
        <v>1</v>
      </c>
      <c r="Z58" s="710">
        <f>$M58</f>
        <v>1</v>
      </c>
      <c r="AA58" s="570">
        <v>0</v>
      </c>
      <c r="AB58" s="710">
        <f t="shared" si="12"/>
        <v>1</v>
      </c>
      <c r="AC58" s="570"/>
      <c r="AD58" s="570"/>
      <c r="AE58" s="572"/>
      <c r="AF58" s="572"/>
      <c r="AG58" s="572"/>
      <c r="AH58" s="572"/>
      <c r="AI58" s="572"/>
      <c r="AJ58" s="572" t="str">
        <f t="shared" si="7"/>
        <v/>
      </c>
      <c r="AK58" s="572"/>
    </row>
    <row r="59" spans="1:37" s="2" customFormat="1" ht="15.6" customHeight="1">
      <c r="A59" s="358" t="s">
        <v>379</v>
      </c>
      <c r="B59" s="358" t="s">
        <v>380</v>
      </c>
      <c r="C59" s="11">
        <v>49</v>
      </c>
      <c r="D59" s="20" t="s">
        <v>140</v>
      </c>
      <c r="E59" s="473" t="s">
        <v>255</v>
      </c>
      <c r="F59" s="5" t="s">
        <v>255</v>
      </c>
      <c r="G59" s="629" t="s">
        <v>1833</v>
      </c>
      <c r="H59" s="76" t="s">
        <v>284</v>
      </c>
      <c r="I59" s="200">
        <v>2</v>
      </c>
      <c r="J59" s="48"/>
      <c r="K59" s="61">
        <v>0</v>
      </c>
      <c r="L59" s="61">
        <v>0</v>
      </c>
      <c r="M59" s="457">
        <f>IF(K59&gt;6,0,IF(K59&lt;3,2,1))</f>
        <v>2</v>
      </c>
      <c r="N59" s="457">
        <f>IF(L59&gt;6,0,IF(L59&lt;3,2,1))</f>
        <v>2</v>
      </c>
      <c r="O59" s="665">
        <f>IF(AND(L59=0,K59&lt;&gt;0),1,IF(AND(L59=0,K59=0),0,K59/L59-1))</f>
        <v>0</v>
      </c>
      <c r="P59" s="502">
        <f t="shared" si="3"/>
        <v>0</v>
      </c>
      <c r="Q59" s="542">
        <f t="shared" si="10"/>
        <v>0</v>
      </c>
      <c r="R59" s="542">
        <f t="shared" si="4"/>
        <v>0</v>
      </c>
      <c r="S59" s="542">
        <f t="shared" si="5"/>
        <v>0</v>
      </c>
      <c r="T59" s="542">
        <f t="shared" si="6"/>
        <v>0</v>
      </c>
      <c r="U59" s="731"/>
      <c r="V59" s="734"/>
      <c r="W59" s="710">
        <v>0</v>
      </c>
      <c r="X59" s="710">
        <f t="shared" si="11"/>
        <v>2</v>
      </c>
      <c r="Y59" s="570">
        <v>1</v>
      </c>
      <c r="Z59" s="710">
        <f>$M59</f>
        <v>2</v>
      </c>
      <c r="AA59" s="570">
        <v>0</v>
      </c>
      <c r="AB59" s="710">
        <f t="shared" si="12"/>
        <v>2</v>
      </c>
      <c r="AC59" s="570"/>
      <c r="AD59" s="570"/>
      <c r="AE59" s="572"/>
      <c r="AF59" s="572"/>
      <c r="AG59" s="572"/>
      <c r="AH59" s="572"/>
      <c r="AI59" s="572"/>
      <c r="AJ59" s="572" t="str">
        <f t="shared" si="7"/>
        <v/>
      </c>
      <c r="AK59" s="572"/>
    </row>
    <row r="60" spans="1:37" s="2" customFormat="1" ht="15.6" customHeight="1">
      <c r="A60" s="358" t="s">
        <v>381</v>
      </c>
      <c r="B60" s="358" t="s">
        <v>382</v>
      </c>
      <c r="C60" s="11">
        <v>50</v>
      </c>
      <c r="D60" s="20" t="s">
        <v>141</v>
      </c>
      <c r="E60" s="473" t="s">
        <v>255</v>
      </c>
      <c r="F60" s="5" t="s">
        <v>1037</v>
      </c>
      <c r="G60" s="629" t="s">
        <v>1833</v>
      </c>
      <c r="H60" s="76" t="s">
        <v>284</v>
      </c>
      <c r="I60" s="200">
        <v>2</v>
      </c>
      <c r="J60" s="48"/>
      <c r="K60" s="61">
        <v>0</v>
      </c>
      <c r="L60" s="61">
        <v>0</v>
      </c>
      <c r="M60" s="242">
        <f>IF(K60&lt;3,2,0)</f>
        <v>2</v>
      </c>
      <c r="N60" s="457">
        <f>IF(L60&lt;3,2,0)</f>
        <v>2</v>
      </c>
      <c r="O60" s="665">
        <f>IF(AND(L60=0,K60&lt;&gt;0),1,IF(AND(L60=0,K60=0),0,K60/L60-1))</f>
        <v>0</v>
      </c>
      <c r="P60" s="502">
        <f t="shared" si="3"/>
        <v>0</v>
      </c>
      <c r="Q60" s="542">
        <f t="shared" si="10"/>
        <v>0</v>
      </c>
      <c r="R60" s="542">
        <f t="shared" si="4"/>
        <v>0</v>
      </c>
      <c r="S60" s="542">
        <f t="shared" si="5"/>
        <v>0</v>
      </c>
      <c r="T60" s="542">
        <f t="shared" si="6"/>
        <v>0</v>
      </c>
      <c r="U60" s="731"/>
      <c r="V60" s="734"/>
      <c r="W60" s="710">
        <v>1</v>
      </c>
      <c r="X60" s="710">
        <f t="shared" si="11"/>
        <v>2</v>
      </c>
      <c r="Y60" s="710">
        <v>1</v>
      </c>
      <c r="Z60" s="570"/>
      <c r="AA60" s="570">
        <v>0</v>
      </c>
      <c r="AB60" s="710">
        <f t="shared" si="12"/>
        <v>2</v>
      </c>
      <c r="AC60" s="710"/>
      <c r="AD60" s="710"/>
      <c r="AE60" s="720" t="s">
        <v>1658</v>
      </c>
      <c r="AF60" s="720" t="s">
        <v>1654</v>
      </c>
      <c r="AG60" s="572"/>
      <c r="AH60" s="572"/>
      <c r="AI60" s="572"/>
      <c r="AJ60" s="572" t="str">
        <f t="shared" si="7"/>
        <v>投资部和IT各1.0权重改为投资部提供数据</v>
      </c>
      <c r="AK60" s="572"/>
    </row>
    <row r="61" spans="1:37" s="2" customFormat="1" ht="15.6" customHeight="1">
      <c r="A61" s="358" t="s">
        <v>383</v>
      </c>
      <c r="B61" s="358" t="s">
        <v>384</v>
      </c>
      <c r="C61" s="11">
        <v>51</v>
      </c>
      <c r="D61" s="20" t="s">
        <v>142</v>
      </c>
      <c r="E61" s="473" t="s">
        <v>257</v>
      </c>
      <c r="F61" s="5" t="s">
        <v>257</v>
      </c>
      <c r="G61" s="629" t="s">
        <v>474</v>
      </c>
      <c r="H61" s="76" t="s">
        <v>284</v>
      </c>
      <c r="I61" s="200">
        <v>3</v>
      </c>
      <c r="J61" s="50" t="s">
        <v>1711</v>
      </c>
      <c r="K61" s="61" t="s">
        <v>143</v>
      </c>
      <c r="L61" s="61" t="s">
        <v>143</v>
      </c>
      <c r="M61" s="242">
        <v>3</v>
      </c>
      <c r="N61" s="253">
        <v>3</v>
      </c>
      <c r="O61" s="665">
        <f>IF((K61=L61)=TRUE,0,1)</f>
        <v>0</v>
      </c>
      <c r="P61" s="502">
        <f t="shared" si="3"/>
        <v>0</v>
      </c>
      <c r="Q61" s="542">
        <f t="shared" si="10"/>
        <v>0</v>
      </c>
      <c r="R61" s="542">
        <f t="shared" si="4"/>
        <v>0</v>
      </c>
      <c r="S61" s="542">
        <f t="shared" si="5"/>
        <v>0</v>
      </c>
      <c r="T61" s="542">
        <f t="shared" si="6"/>
        <v>0</v>
      </c>
      <c r="U61" s="731"/>
      <c r="V61" s="734"/>
      <c r="W61" s="710">
        <v>1</v>
      </c>
      <c r="X61" s="710">
        <f t="shared" si="11"/>
        <v>3</v>
      </c>
      <c r="Y61" s="570">
        <v>0</v>
      </c>
      <c r="Z61" s="570"/>
      <c r="AA61" s="570">
        <v>0</v>
      </c>
      <c r="AB61" s="710">
        <f t="shared" si="12"/>
        <v>3</v>
      </c>
      <c r="AC61" s="570"/>
      <c r="AD61" s="570"/>
      <c r="AE61" s="572"/>
      <c r="AF61" s="572"/>
      <c r="AG61" s="572" t="s">
        <v>143</v>
      </c>
      <c r="AH61" s="572" t="s">
        <v>144</v>
      </c>
      <c r="AI61" s="572"/>
      <c r="AJ61" s="572" t="str">
        <f t="shared" si="7"/>
        <v/>
      </c>
      <c r="AK61" s="572"/>
    </row>
    <row r="62" spans="1:37" s="2" customFormat="1" ht="15.6" customHeight="1">
      <c r="A62" s="360" t="s">
        <v>385</v>
      </c>
      <c r="B62" s="360" t="s">
        <v>386</v>
      </c>
      <c r="C62" s="55">
        <v>52</v>
      </c>
      <c r="D62" s="60" t="s">
        <v>145</v>
      </c>
      <c r="E62" s="474" t="s">
        <v>257</v>
      </c>
      <c r="F62" s="56" t="s">
        <v>257</v>
      </c>
      <c r="G62" s="629" t="s">
        <v>474</v>
      </c>
      <c r="H62" s="52" t="s">
        <v>284</v>
      </c>
      <c r="I62" s="201">
        <v>2</v>
      </c>
      <c r="J62" s="48" t="s">
        <v>1712</v>
      </c>
      <c r="K62" s="657" t="s">
        <v>146</v>
      </c>
      <c r="L62" s="657" t="s">
        <v>146</v>
      </c>
      <c r="M62" s="52">
        <v>2</v>
      </c>
      <c r="N62" s="52">
        <v>2</v>
      </c>
      <c r="O62" s="665">
        <f>IF((K62=L62)=TRUE,0,1)</f>
        <v>0</v>
      </c>
      <c r="P62" s="502">
        <f t="shared" si="3"/>
        <v>0</v>
      </c>
      <c r="Q62" s="542">
        <f t="shared" si="10"/>
        <v>0</v>
      </c>
      <c r="R62" s="542">
        <f t="shared" si="4"/>
        <v>0</v>
      </c>
      <c r="S62" s="542">
        <f t="shared" si="5"/>
        <v>0</v>
      </c>
      <c r="T62" s="542">
        <f t="shared" si="6"/>
        <v>0</v>
      </c>
      <c r="U62" s="731"/>
      <c r="V62" s="734"/>
      <c r="W62" s="710">
        <v>1</v>
      </c>
      <c r="X62" s="710">
        <f t="shared" si="11"/>
        <v>2</v>
      </c>
      <c r="Y62" s="570">
        <v>0</v>
      </c>
      <c r="Z62" s="570"/>
      <c r="AA62" s="570">
        <v>0</v>
      </c>
      <c r="AB62" s="710">
        <f t="shared" si="12"/>
        <v>2</v>
      </c>
      <c r="AC62" s="570"/>
      <c r="AD62" s="570"/>
      <c r="AE62" s="572"/>
      <c r="AF62" s="572"/>
      <c r="AG62" s="572" t="s">
        <v>146</v>
      </c>
      <c r="AH62" s="572" t="s">
        <v>147</v>
      </c>
      <c r="AI62" s="572"/>
      <c r="AJ62" s="572" t="str">
        <f t="shared" si="7"/>
        <v/>
      </c>
      <c r="AK62" s="572"/>
    </row>
    <row r="63" spans="1:37" s="2" customFormat="1" ht="15.6" customHeight="1">
      <c r="A63" s="361"/>
      <c r="B63" s="361"/>
      <c r="C63" s="685"/>
      <c r="D63" s="554" t="s">
        <v>278</v>
      </c>
      <c r="E63" s="728"/>
      <c r="F63" s="69"/>
      <c r="G63" s="629"/>
      <c r="H63" s="70"/>
      <c r="I63" s="729">
        <f>SUM(I4:I62)</f>
        <v>80</v>
      </c>
      <c r="J63" s="48"/>
      <c r="K63" s="13"/>
      <c r="L63" s="685"/>
      <c r="M63" s="735">
        <f>SUM(M4:M62)</f>
        <v>80</v>
      </c>
      <c r="N63" s="735">
        <f>SUM(N4:N62)</f>
        <v>80</v>
      </c>
      <c r="O63" s="736"/>
      <c r="P63" s="502">
        <f t="shared" si="3"/>
        <v>0</v>
      </c>
      <c r="Q63" s="704">
        <f t="shared" si="10"/>
        <v>0</v>
      </c>
      <c r="R63" s="704">
        <f t="shared" si="4"/>
        <v>0</v>
      </c>
      <c r="S63" s="704">
        <f t="shared" si="5"/>
        <v>0</v>
      </c>
      <c r="T63" s="704">
        <f t="shared" si="6"/>
        <v>0</v>
      </c>
      <c r="U63" s="732"/>
      <c r="V63" s="572"/>
      <c r="W63" s="572"/>
      <c r="X63" s="572"/>
      <c r="Y63" s="572"/>
      <c r="Z63" s="572"/>
      <c r="AA63" s="572"/>
      <c r="AB63" s="572"/>
      <c r="AC63" s="572"/>
      <c r="AD63" s="572"/>
      <c r="AE63" s="572"/>
      <c r="AF63" s="572"/>
      <c r="AG63" s="720"/>
      <c r="AH63" s="720"/>
      <c r="AI63" s="720"/>
      <c r="AJ63" s="572"/>
      <c r="AK63" s="572"/>
    </row>
    <row r="64" spans="1:37" s="2" customFormat="1" ht="14.25">
      <c r="A64" s="347"/>
      <c r="B64" s="347"/>
      <c r="C64" s="7"/>
      <c r="D64" s="539" t="s">
        <v>1807</v>
      </c>
      <c r="E64" s="478"/>
      <c r="F64" s="26"/>
      <c r="G64" s="83"/>
      <c r="I64" s="772">
        <f>SUM(I4:I62)</f>
        <v>80</v>
      </c>
      <c r="K64" s="7"/>
      <c r="L64" s="7"/>
      <c r="M64" s="737">
        <f>SUM(M4:M62)</f>
        <v>80</v>
      </c>
      <c r="N64" s="737">
        <f>SUM(N4:N62)</f>
        <v>80</v>
      </c>
      <c r="O64" s="26"/>
      <c r="Q64" s="704">
        <f t="shared" si="10"/>
        <v>0</v>
      </c>
      <c r="R64" s="704">
        <f t="shared" si="4"/>
        <v>0</v>
      </c>
      <c r="S64" s="704">
        <f t="shared" si="5"/>
        <v>0</v>
      </c>
      <c r="T64" s="704">
        <f t="shared" si="6"/>
        <v>0</v>
      </c>
      <c r="V64" s="572"/>
      <c r="W64" s="572"/>
      <c r="X64" s="572"/>
      <c r="Y64" s="572"/>
      <c r="Z64" s="572"/>
      <c r="AA64" s="572"/>
      <c r="AB64" s="572"/>
      <c r="AC64" s="572"/>
      <c r="AD64" s="572"/>
      <c r="AE64" s="572"/>
      <c r="AF64" s="572"/>
      <c r="AG64" s="572"/>
      <c r="AH64" s="572"/>
      <c r="AI64" s="718"/>
      <c r="AJ64" s="572"/>
      <c r="AK64" s="572"/>
    </row>
    <row r="65" spans="1:37" s="2" customFormat="1" ht="14.25">
      <c r="A65" s="362"/>
      <c r="B65" s="362"/>
      <c r="C65" s="7"/>
      <c r="D65" s="539" t="s">
        <v>538</v>
      </c>
      <c r="E65" s="478"/>
      <c r="F65" s="26"/>
      <c r="G65" s="32"/>
      <c r="I65" s="772">
        <v>20</v>
      </c>
      <c r="J65" s="26"/>
      <c r="K65" s="7"/>
      <c r="L65" s="7"/>
      <c r="M65" s="737">
        <v>20</v>
      </c>
      <c r="N65" s="737">
        <v>20</v>
      </c>
      <c r="O65" s="26"/>
      <c r="Q65" s="704">
        <f t="shared" si="10"/>
        <v>0</v>
      </c>
      <c r="R65" s="704">
        <f t="shared" si="4"/>
        <v>0</v>
      </c>
      <c r="S65" s="704">
        <f t="shared" si="5"/>
        <v>0</v>
      </c>
      <c r="T65" s="704">
        <f t="shared" si="6"/>
        <v>0</v>
      </c>
      <c r="V65" s="572"/>
      <c r="W65" s="572"/>
      <c r="X65" s="572"/>
      <c r="Y65" s="572"/>
      <c r="Z65" s="572"/>
      <c r="AA65" s="572"/>
      <c r="AB65" s="572"/>
      <c r="AC65" s="572"/>
      <c r="AD65" s="572"/>
      <c r="AE65" s="572"/>
      <c r="AF65" s="572"/>
      <c r="AG65" s="572"/>
      <c r="AH65" s="572"/>
      <c r="AI65" s="572"/>
      <c r="AJ65" s="572"/>
      <c r="AK65" s="572"/>
    </row>
    <row r="66" spans="1:37">
      <c r="A66" s="362"/>
      <c r="B66" s="362"/>
      <c r="C66" s="7"/>
      <c r="D66" s="539" t="s">
        <v>540</v>
      </c>
      <c r="G66" s="32"/>
      <c r="I66" s="730"/>
      <c r="J66" s="26"/>
      <c r="K66" s="7"/>
      <c r="L66" s="7"/>
      <c r="M66" s="738">
        <f>100-SUM(M64:M65)</f>
        <v>0</v>
      </c>
      <c r="N66" s="738">
        <f>100-SUM(N64:N65)</f>
        <v>0</v>
      </c>
      <c r="O66" s="26"/>
      <c r="Q66" s="704">
        <f t="shared" si="10"/>
        <v>0</v>
      </c>
      <c r="R66" s="704">
        <f t="shared" si="4"/>
        <v>0</v>
      </c>
      <c r="S66" s="704">
        <f t="shared" si="5"/>
        <v>0</v>
      </c>
      <c r="T66" s="704">
        <f t="shared" si="6"/>
        <v>0</v>
      </c>
    </row>
    <row r="69" spans="1:37">
      <c r="A69" s="362"/>
      <c r="B69" s="362"/>
      <c r="D69"/>
      <c r="G69" s="32"/>
      <c r="V69" s="572" t="s">
        <v>577</v>
      </c>
      <c r="X69" s="571">
        <f>SUMPRODUCT(X4:X62,W4:W62)</f>
        <v>69.5</v>
      </c>
      <c r="Z69" s="571">
        <f>SUMPRODUCT(Z4:Z62,Y4:Y62)</f>
        <v>4</v>
      </c>
      <c r="AB69" s="571">
        <f>SUMPRODUCT(AB4:AB62,AA4:AA62)</f>
        <v>6</v>
      </c>
    </row>
    <row r="70" spans="1:37">
      <c r="A70" s="362"/>
      <c r="B70" s="362"/>
      <c r="D70"/>
      <c r="G70" s="32"/>
      <c r="V70" s="572" t="s">
        <v>1440</v>
      </c>
      <c r="X70" s="571">
        <f>SUMPRODUCT($I$4:$I$62,W4:W62)</f>
        <v>69.5</v>
      </c>
      <c r="Z70" s="571">
        <f>SUMPRODUCT($I$4:$I$62,Y4:Y62)</f>
        <v>7</v>
      </c>
      <c r="AB70" s="571">
        <f>SUMPRODUCT($I$4:$I$62,AA4:AA62)</f>
        <v>6</v>
      </c>
    </row>
    <row r="71" spans="1:37">
      <c r="A71" s="362"/>
      <c r="B71" s="362"/>
      <c r="D71" s="843" t="s">
        <v>1897</v>
      </c>
      <c r="G71" s="32"/>
    </row>
    <row r="72" spans="1:37">
      <c r="A72" s="362"/>
      <c r="B72" s="362"/>
      <c r="D72" s="876" t="s">
        <v>1944</v>
      </c>
      <c r="G72" s="32"/>
    </row>
    <row r="73" spans="1:37">
      <c r="A73" s="362"/>
      <c r="B73" s="362"/>
      <c r="D73"/>
      <c r="G73" s="32"/>
    </row>
    <row r="74" spans="1:37">
      <c r="A74" s="362"/>
      <c r="B74" s="362"/>
      <c r="D74"/>
      <c r="G74" s="32"/>
    </row>
    <row r="75" spans="1:37">
      <c r="A75" s="362"/>
      <c r="B75" s="362"/>
      <c r="D75"/>
      <c r="G75" s="32"/>
    </row>
    <row r="76" spans="1:37">
      <c r="A76" s="362"/>
      <c r="B76" s="362"/>
      <c r="D76"/>
      <c r="G76" s="32"/>
    </row>
    <row r="77" spans="1:37">
      <c r="A77" s="362"/>
      <c r="B77" s="362"/>
      <c r="D77"/>
      <c r="G77" s="32"/>
    </row>
    <row r="78" spans="1:37">
      <c r="A78" s="362"/>
      <c r="B78" s="362"/>
      <c r="D78"/>
      <c r="G78" s="32"/>
    </row>
    <row r="79" spans="1:37">
      <c r="A79" s="362"/>
      <c r="B79" s="362"/>
      <c r="D79"/>
      <c r="G79" s="32"/>
    </row>
    <row r="80" spans="1:37">
      <c r="A80" s="362"/>
      <c r="B80" s="362"/>
      <c r="D80"/>
      <c r="G80" s="32"/>
    </row>
    <row r="81" spans="1:7">
      <c r="A81" s="362"/>
      <c r="B81" s="362"/>
      <c r="D81"/>
      <c r="G81" s="32"/>
    </row>
    <row r="82" spans="1:7">
      <c r="A82" s="362"/>
      <c r="B82" s="362"/>
      <c r="D82"/>
      <c r="G82" s="32"/>
    </row>
    <row r="83" spans="1:7">
      <c r="A83" s="362"/>
      <c r="B83" s="362"/>
      <c r="D83"/>
      <c r="G83" s="32"/>
    </row>
    <row r="84" spans="1:7">
      <c r="A84" s="362"/>
      <c r="B84" s="362"/>
      <c r="D84"/>
      <c r="G84" s="32"/>
    </row>
    <row r="85" spans="1:7">
      <c r="A85" s="362"/>
      <c r="B85" s="362"/>
      <c r="D85"/>
      <c r="G85" s="32"/>
    </row>
    <row r="86" spans="1:7">
      <c r="A86" s="362"/>
      <c r="B86" s="362"/>
      <c r="D86"/>
      <c r="G86" s="32"/>
    </row>
    <row r="87" spans="1:7">
      <c r="A87" s="362"/>
      <c r="B87" s="362"/>
      <c r="D87"/>
      <c r="G87" s="32"/>
    </row>
    <row r="88" spans="1:7">
      <c r="A88" s="362"/>
      <c r="B88" s="362"/>
      <c r="D88"/>
      <c r="G88" s="32"/>
    </row>
    <row r="89" spans="1:7">
      <c r="A89" s="362"/>
      <c r="B89" s="362"/>
      <c r="D89"/>
      <c r="G89" s="32"/>
    </row>
    <row r="90" spans="1:7">
      <c r="A90" s="362"/>
      <c r="B90" s="362"/>
      <c r="D90"/>
      <c r="G90" s="32"/>
    </row>
    <row r="91" spans="1:7">
      <c r="A91" s="362"/>
      <c r="B91" s="362"/>
      <c r="D91"/>
      <c r="G91" s="32"/>
    </row>
    <row r="92" spans="1:7">
      <c r="A92" s="362"/>
      <c r="B92" s="362"/>
      <c r="D92"/>
      <c r="G92" s="32"/>
    </row>
    <row r="93" spans="1:7">
      <c r="A93" s="362"/>
      <c r="B93" s="362"/>
      <c r="D93"/>
      <c r="G93" s="32"/>
    </row>
    <row r="94" spans="1:7">
      <c r="A94" s="362"/>
      <c r="B94" s="362"/>
      <c r="D94"/>
      <c r="G94" s="32"/>
    </row>
    <row r="95" spans="1:7">
      <c r="A95" s="362"/>
      <c r="B95" s="362"/>
      <c r="D95"/>
      <c r="G95" s="32"/>
    </row>
    <row r="96" spans="1:7">
      <c r="A96" s="362"/>
      <c r="B96" s="362"/>
      <c r="D96"/>
      <c r="G96" s="32"/>
    </row>
    <row r="97" spans="1:7">
      <c r="A97" s="362"/>
      <c r="B97" s="362"/>
      <c r="D97"/>
      <c r="G97" s="32"/>
    </row>
    <row r="98" spans="1:7">
      <c r="A98" s="362"/>
      <c r="B98" s="362"/>
      <c r="D98"/>
      <c r="G98" s="32"/>
    </row>
    <row r="99" spans="1:7">
      <c r="A99" s="362"/>
      <c r="B99" s="362"/>
      <c r="D99"/>
      <c r="G99" s="32"/>
    </row>
    <row r="100" spans="1:7">
      <c r="A100" s="362"/>
      <c r="B100" s="362"/>
      <c r="D100"/>
      <c r="G100" s="32"/>
    </row>
    <row r="101" spans="1:7">
      <c r="A101" s="362"/>
      <c r="B101" s="362"/>
      <c r="D101"/>
      <c r="G101" s="32"/>
    </row>
    <row r="102" spans="1:7">
      <c r="A102" s="362"/>
      <c r="B102" s="362"/>
      <c r="D102"/>
      <c r="G102" s="32"/>
    </row>
    <row r="103" spans="1:7">
      <c r="A103" s="362"/>
      <c r="B103" s="362"/>
      <c r="D103"/>
      <c r="G103" s="32"/>
    </row>
    <row r="104" spans="1:7">
      <c r="A104" s="362"/>
      <c r="B104" s="362"/>
      <c r="D104"/>
      <c r="G104" s="32"/>
    </row>
    <row r="105" spans="1:7">
      <c r="A105" s="362"/>
      <c r="B105" s="362"/>
      <c r="D105"/>
      <c r="G105" s="32"/>
    </row>
    <row r="106" spans="1:7">
      <c r="A106" s="362"/>
      <c r="B106" s="362"/>
      <c r="D106"/>
      <c r="G106" s="32"/>
    </row>
    <row r="107" spans="1:7">
      <c r="A107" s="362"/>
      <c r="B107" s="362"/>
      <c r="D107"/>
      <c r="G107" s="32"/>
    </row>
    <row r="108" spans="1:7">
      <c r="A108" s="362"/>
      <c r="B108" s="362"/>
      <c r="D108"/>
      <c r="G108" s="32"/>
    </row>
    <row r="109" spans="1:7">
      <c r="A109" s="362"/>
      <c r="B109" s="362"/>
      <c r="D109"/>
      <c r="G109" s="32"/>
    </row>
    <row r="110" spans="1:7">
      <c r="A110" s="362"/>
      <c r="B110" s="362"/>
      <c r="D110"/>
      <c r="G110" s="32"/>
    </row>
    <row r="111" spans="1:7">
      <c r="A111" s="362"/>
      <c r="B111" s="362"/>
      <c r="D111"/>
      <c r="G111" s="32"/>
    </row>
    <row r="112" spans="1:7">
      <c r="A112" s="362"/>
      <c r="B112" s="362"/>
      <c r="D112"/>
      <c r="G112" s="32"/>
    </row>
    <row r="113" spans="1:7">
      <c r="A113" s="362"/>
      <c r="B113" s="362"/>
      <c r="D113"/>
      <c r="G113" s="32"/>
    </row>
    <row r="114" spans="1:7">
      <c r="A114" s="362"/>
      <c r="B114" s="362"/>
      <c r="D114"/>
      <c r="G114" s="32"/>
    </row>
    <row r="115" spans="1:7">
      <c r="A115" s="362"/>
      <c r="B115" s="362"/>
      <c r="D115"/>
      <c r="G115" s="32"/>
    </row>
    <row r="116" spans="1:7">
      <c r="A116" s="362"/>
      <c r="B116" s="362"/>
      <c r="D116"/>
      <c r="G116" s="32"/>
    </row>
    <row r="117" spans="1:7">
      <c r="A117" s="362"/>
      <c r="B117" s="362"/>
      <c r="D117"/>
      <c r="G117" s="32"/>
    </row>
    <row r="118" spans="1:7">
      <c r="A118" s="362"/>
      <c r="B118" s="362"/>
      <c r="D118"/>
      <c r="G118" s="32"/>
    </row>
    <row r="119" spans="1:7">
      <c r="A119" s="362"/>
      <c r="B119" s="362"/>
      <c r="D119"/>
      <c r="G119" s="32"/>
    </row>
    <row r="120" spans="1:7">
      <c r="A120" s="362"/>
      <c r="B120" s="362"/>
      <c r="D120"/>
      <c r="G120" s="32"/>
    </row>
    <row r="121" spans="1:7">
      <c r="A121" s="362"/>
      <c r="B121" s="362"/>
      <c r="D121"/>
      <c r="G121" s="32"/>
    </row>
  </sheetData>
  <dataConsolidate/>
  <mergeCells count="105">
    <mergeCell ref="I23:I24"/>
    <mergeCell ref="B38:B39"/>
    <mergeCell ref="M23:M24"/>
    <mergeCell ref="M25:M26"/>
    <mergeCell ref="B25:B26"/>
    <mergeCell ref="M32:M33"/>
    <mergeCell ref="M36:M37"/>
    <mergeCell ref="M38:M39"/>
    <mergeCell ref="B23:B24"/>
    <mergeCell ref="A40:A41"/>
    <mergeCell ref="A43:A44"/>
    <mergeCell ref="A38:A39"/>
    <mergeCell ref="B36:B37"/>
    <mergeCell ref="H23:H24"/>
    <mergeCell ref="H25:H26"/>
    <mergeCell ref="H32:H33"/>
    <mergeCell ref="A23:A24"/>
    <mergeCell ref="A25:A26"/>
    <mergeCell ref="I54:I55"/>
    <mergeCell ref="B40:B41"/>
    <mergeCell ref="B43:B44"/>
    <mergeCell ref="M45:M46"/>
    <mergeCell ref="M48:M49"/>
    <mergeCell ref="M50:M51"/>
    <mergeCell ref="M54:M55"/>
    <mergeCell ref="M40:M41"/>
    <mergeCell ref="M43:M44"/>
    <mergeCell ref="H54:H55"/>
    <mergeCell ref="H40:H41"/>
    <mergeCell ref="H43:H44"/>
    <mergeCell ref="H45:H46"/>
    <mergeCell ref="H48:H49"/>
    <mergeCell ref="H50:H51"/>
    <mergeCell ref="N54:N55"/>
    <mergeCell ref="A54:A55"/>
    <mergeCell ref="B54:B55"/>
    <mergeCell ref="A7:A8"/>
    <mergeCell ref="B7:B8"/>
    <mergeCell ref="A9:A11"/>
    <mergeCell ref="I50:I51"/>
    <mergeCell ref="I36:I37"/>
    <mergeCell ref="I38:I39"/>
    <mergeCell ref="I40:I41"/>
    <mergeCell ref="I43:I44"/>
    <mergeCell ref="I45:I46"/>
    <mergeCell ref="I48:I49"/>
    <mergeCell ref="I25:I26"/>
    <mergeCell ref="I32:I33"/>
    <mergeCell ref="A32:A33"/>
    <mergeCell ref="B32:B33"/>
    <mergeCell ref="A36:A37"/>
    <mergeCell ref="A45:A46"/>
    <mergeCell ref="B45:B46"/>
    <mergeCell ref="A48:A49"/>
    <mergeCell ref="B48:B49"/>
    <mergeCell ref="A50:A51"/>
    <mergeCell ref="B50:B51"/>
    <mergeCell ref="N48:N49"/>
    <mergeCell ref="N7:N8"/>
    <mergeCell ref="M7:M8"/>
    <mergeCell ref="M16:M17"/>
    <mergeCell ref="M21:M22"/>
    <mergeCell ref="N16:N17"/>
    <mergeCell ref="N21:N22"/>
    <mergeCell ref="A16:A17"/>
    <mergeCell ref="B21:B22"/>
    <mergeCell ref="A18:A20"/>
    <mergeCell ref="A21:A22"/>
    <mergeCell ref="B16:B17"/>
    <mergeCell ref="B18:B20"/>
    <mergeCell ref="B9:B11"/>
    <mergeCell ref="A12:A15"/>
    <mergeCell ref="B12:B15"/>
    <mergeCell ref="H7:H8"/>
    <mergeCell ref="I16:I17"/>
    <mergeCell ref="I21:I22"/>
    <mergeCell ref="I7:I8"/>
    <mergeCell ref="H16:H17"/>
    <mergeCell ref="H21:H22"/>
    <mergeCell ref="H36:H37"/>
    <mergeCell ref="H38:H39"/>
    <mergeCell ref="N23:N24"/>
    <mergeCell ref="AE16:AE17"/>
    <mergeCell ref="AE48:AE49"/>
    <mergeCell ref="W50:W51"/>
    <mergeCell ref="W54:W55"/>
    <mergeCell ref="W38:W39"/>
    <mergeCell ref="W40:W41"/>
    <mergeCell ref="W43:W44"/>
    <mergeCell ref="W45:W46"/>
    <mergeCell ref="W48:W49"/>
    <mergeCell ref="W21:W22"/>
    <mergeCell ref="W23:W24"/>
    <mergeCell ref="W25:W26"/>
    <mergeCell ref="W32:W33"/>
    <mergeCell ref="W36:W37"/>
    <mergeCell ref="AA48:AA49"/>
    <mergeCell ref="N50:N51"/>
    <mergeCell ref="N25:N26"/>
    <mergeCell ref="N32:N33"/>
    <mergeCell ref="N36:N37"/>
    <mergeCell ref="N38:N39"/>
    <mergeCell ref="N40:N41"/>
    <mergeCell ref="N43:N44"/>
    <mergeCell ref="N45:N46"/>
  </mergeCells>
  <phoneticPr fontId="3" type="noConversion"/>
  <conditionalFormatting sqref="R5:R64 Q4:U62 T5:T64 Q63:T66">
    <cfRule type="cellIs" dxfId="97" priority="25" operator="lessThan">
      <formula>-0.3</formula>
    </cfRule>
    <cfRule type="cellIs" dxfId="96" priority="26" operator="greaterThan">
      <formula>0.3</formula>
    </cfRule>
  </conditionalFormatting>
  <conditionalFormatting sqref="O4:O62">
    <cfRule type="cellIs" dxfId="95" priority="20" stopIfTrue="1" operator="lessThanOrEqual">
      <formula>-0.3</formula>
    </cfRule>
    <cfRule type="cellIs" dxfId="94" priority="21" stopIfTrue="1" operator="greaterThanOrEqual">
      <formula>0.3</formula>
    </cfRule>
  </conditionalFormatting>
  <conditionalFormatting sqref="M4:N4">
    <cfRule type="cellIs" dxfId="93" priority="29" operator="notEqual">
      <formula>$I$4</formula>
    </cfRule>
  </conditionalFormatting>
  <conditionalFormatting sqref="P4:P63">
    <cfRule type="expression" dxfId="92" priority="13">
      <formula>P4&lt;0</formula>
    </cfRule>
  </conditionalFormatting>
  <conditionalFormatting sqref="P4:P63">
    <cfRule type="cellIs" dxfId="91" priority="11" stopIfTrue="1" operator="lessThan">
      <formula>0</formula>
    </cfRule>
    <cfRule type="cellIs" dxfId="90" priority="12" operator="greaterThan">
      <formula>0</formula>
    </cfRule>
  </conditionalFormatting>
  <conditionalFormatting sqref="P4:P63">
    <cfRule type="cellIs" dxfId="89" priority="9" operator="lessThan">
      <formula>0</formula>
    </cfRule>
    <cfRule type="cellIs" dxfId="88" priority="10" stopIfTrue="1" operator="greaterThan">
      <formula>0</formula>
    </cfRule>
  </conditionalFormatting>
  <conditionalFormatting sqref="P4:P63">
    <cfRule type="cellIs" dxfId="87" priority="7" operator="lessThan">
      <formula>0</formula>
    </cfRule>
    <cfRule type="cellIs" dxfId="86" priority="8" operator="greaterThan">
      <formula>0</formula>
    </cfRule>
  </conditionalFormatting>
  <conditionalFormatting sqref="P4:P63">
    <cfRule type="cellIs" dxfId="85" priority="5" stopIfTrue="1" operator="lessThan">
      <formula>0</formula>
    </cfRule>
    <cfRule type="cellIs" dxfId="84" priority="6" operator="greaterThan">
      <formula>0</formula>
    </cfRule>
  </conditionalFormatting>
  <conditionalFormatting sqref="P4:P63">
    <cfRule type="cellIs" dxfId="83" priority="3" operator="lessThan">
      <formula>0</formula>
    </cfRule>
    <cfRule type="cellIs" dxfId="82" priority="4" stopIfTrue="1" operator="greaterThan">
      <formula>0</formula>
    </cfRule>
  </conditionalFormatting>
  <conditionalFormatting sqref="P4:P63">
    <cfRule type="cellIs" dxfId="81" priority="1" operator="lessThan">
      <formula>0</formula>
    </cfRule>
    <cfRule type="cellIs" dxfId="80" priority="2" operator="greaterThan">
      <formula>0</formula>
    </cfRule>
  </conditionalFormatting>
  <dataValidations count="36">
    <dataValidation type="list" allowBlank="1" showInputMessage="1" showErrorMessage="1" sqref="K5:L5">
      <formula1>$AG$5:$AH$5</formula1>
    </dataValidation>
    <dataValidation type="list" allowBlank="1" showInputMessage="1" showErrorMessage="1" sqref="K7:L7">
      <formula1>$K$7:$AI$7</formula1>
    </dataValidation>
    <dataValidation type="list" allowBlank="1" showInputMessage="1" showErrorMessage="1" sqref="K8:L8">
      <formula1>$K$8:$AI$8</formula1>
    </dataValidation>
    <dataValidation type="list" allowBlank="1" showInputMessage="1" showErrorMessage="1" sqref="K21:L21">
      <formula1>$K$21:$AI$21</formula1>
    </dataValidation>
    <dataValidation type="list" allowBlank="1" showInputMessage="1" showErrorMessage="1" sqref="K22:L22">
      <formula1>$K$22:$AI$22</formula1>
    </dataValidation>
    <dataValidation type="list" allowBlank="1" showInputMessage="1" showErrorMessage="1" sqref="K23:L23">
      <formula1>$K$23:$AI$23</formula1>
    </dataValidation>
    <dataValidation type="list" allowBlank="1" showInputMessage="1" showErrorMessage="1" sqref="K24:L24">
      <formula1>$K$24:$AI$24</formula1>
    </dataValidation>
    <dataValidation type="list" allowBlank="1" showInputMessage="1" showErrorMessage="1" sqref="K25:L25">
      <formula1>$K$25:$AI$25</formula1>
    </dataValidation>
    <dataValidation type="list" allowBlank="1" showInputMessage="1" showErrorMessage="1" sqref="K26:L26">
      <formula1>$K$26:$AI$26</formula1>
    </dataValidation>
    <dataValidation type="list" allowBlank="1" showInputMessage="1" showErrorMessage="1" sqref="K27:L27">
      <formula1>$AG$27:$AH$27</formula1>
    </dataValidation>
    <dataValidation type="list" allowBlank="1" showInputMessage="1" showErrorMessage="1" sqref="K28:L28">
      <formula1>$K$28:$AI$28</formula1>
    </dataValidation>
    <dataValidation type="list" allowBlank="1" showInputMessage="1" showErrorMessage="1" sqref="K29:L29">
      <formula1>$K$29:$AI$29</formula1>
    </dataValidation>
    <dataValidation type="list" allowBlank="1" showInputMessage="1" showErrorMessage="1" sqref="K30:L30">
      <formula1>$K$30:$O$30</formula1>
    </dataValidation>
    <dataValidation type="list" allowBlank="1" showInputMessage="1" showErrorMessage="1" sqref="K31:L31">
      <formula1>$AG$31:$AH$31</formula1>
    </dataValidation>
    <dataValidation type="list" allowBlank="1" showInputMessage="1" showErrorMessage="1" sqref="K32:L32">
      <formula1>$K$32:$AI$32</formula1>
    </dataValidation>
    <dataValidation type="list" allowBlank="1" showInputMessage="1" showErrorMessage="1" sqref="K33:L33">
      <formula1>$K$33:$AI$33</formula1>
    </dataValidation>
    <dataValidation type="list" allowBlank="1" showInputMessage="1" showErrorMessage="1" sqref="K34:L34">
      <formula1>$K$34:$AI$34</formula1>
    </dataValidation>
    <dataValidation type="list" allowBlank="1" showInputMessage="1" showErrorMessage="1" sqref="K35:L35">
      <formula1>$AG$35:$AH$35</formula1>
    </dataValidation>
    <dataValidation type="list" allowBlank="1" showInputMessage="1" showErrorMessage="1" sqref="K36:L36">
      <formula1>$K$36:$AI$36</formula1>
    </dataValidation>
    <dataValidation type="list" allowBlank="1" showInputMessage="1" showErrorMessage="1" sqref="K37:L37">
      <formula1>$K$37:$AI$37</formula1>
    </dataValidation>
    <dataValidation type="list" allowBlank="1" showInputMessage="1" showErrorMessage="1" sqref="K38:L38">
      <formula1>$K$38:$AI$38</formula1>
    </dataValidation>
    <dataValidation type="list" allowBlank="1" showInputMessage="1" showErrorMessage="1" sqref="K39:L39">
      <formula1>$K$39:$AI$39</formula1>
    </dataValidation>
    <dataValidation type="list" allowBlank="1" showInputMessage="1" showErrorMessage="1" sqref="K40:L40">
      <formula1>$K$40:$O$40</formula1>
    </dataValidation>
    <dataValidation type="list" allowBlank="1" showInputMessage="1" showErrorMessage="1" sqref="K41:L41">
      <formula1>$K$41:$AI$41</formula1>
    </dataValidation>
    <dataValidation type="list" allowBlank="1" showInputMessage="1" showErrorMessage="1" sqref="K43:L43">
      <formula1>$K$43:$O$43</formula1>
    </dataValidation>
    <dataValidation type="list" allowBlank="1" showInputMessage="1" showErrorMessage="1" sqref="K44:L44">
      <formula1>$K$44:$AI$44</formula1>
    </dataValidation>
    <dataValidation type="list" allowBlank="1" showInputMessage="1" showErrorMessage="1" sqref="K45:L45">
      <formula1>$K$45:$AI$45</formula1>
    </dataValidation>
    <dataValidation type="list" allowBlank="1" showInputMessage="1" showErrorMessage="1" sqref="K46:L46">
      <formula1>$K$46:$AI$46</formula1>
    </dataValidation>
    <dataValidation type="list" allowBlank="1" showInputMessage="1" showErrorMessage="1" sqref="K48:L48">
      <formula1>$K$48:$AI$48</formula1>
    </dataValidation>
    <dataValidation type="list" allowBlank="1" showInputMessage="1" showErrorMessage="1" sqref="K49:L49">
      <formula1>$K$49:$AI$49</formula1>
    </dataValidation>
    <dataValidation type="list" allowBlank="1" showInputMessage="1" showErrorMessage="1" sqref="K50:L50">
      <formula1>$K$50:$AI$50</formula1>
    </dataValidation>
    <dataValidation type="list" allowBlank="1" showInputMessage="1" showErrorMessage="1" sqref="K51:L51">
      <formula1>$K$51:$AI$51</formula1>
    </dataValidation>
    <dataValidation type="list" allowBlank="1" showInputMessage="1" showErrorMessage="1" sqref="K54:L54">
      <formula1>$K$54:$O$54</formula1>
    </dataValidation>
    <dataValidation type="list" allowBlank="1" showInputMessage="1" showErrorMessage="1" sqref="K55:L55">
      <formula1>$K$55:$AI$55</formula1>
    </dataValidation>
    <dataValidation type="list" allowBlank="1" showInputMessage="1" showErrorMessage="1" sqref="K61:L61">
      <formula1>$AG$61:$AH$61</formula1>
    </dataValidation>
    <dataValidation type="list" allowBlank="1" showInputMessage="1" showErrorMessage="1" sqref="K62:L62">
      <formula1>$AG$62:$AH$62</formula1>
    </dataValidation>
  </dataValidations>
  <hyperlinks>
    <hyperlink ref="D71" location="权重!A1" display="权重!A1"/>
    <hyperlink ref="D72" location="目录!A1" display="目录!A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sheetPr>
  <dimension ref="A1:W162"/>
  <sheetViews>
    <sheetView workbookViewId="0">
      <pane xSplit="8" ySplit="3" topLeftCell="I11" activePane="bottomRight" state="frozenSplit"/>
      <selection activeCell="C1" sqref="C1"/>
      <selection pane="topRight" activeCell="F1" sqref="F1"/>
      <selection pane="bottomLeft" activeCell="C17" sqref="C17"/>
      <selection pane="bottomRight" activeCell="B28" sqref="B28"/>
    </sheetView>
  </sheetViews>
  <sheetFormatPr defaultColWidth="8.875" defaultRowHeight="15" outlineLevelRow="1" outlineLevelCol="2"/>
  <cols>
    <col min="1" max="1" width="20.75" style="3" hidden="1" customWidth="1" outlineLevel="1"/>
    <col min="2" max="2" width="38.25" style="3" hidden="1" customWidth="1" outlineLevel="1"/>
    <col min="3" max="3" width="6.875" style="10" customWidth="1" collapsed="1"/>
    <col min="4" max="4" width="14.5" style="3" customWidth="1"/>
    <col min="5" max="5" width="12.75" style="3" hidden="1" customWidth="1" outlineLevel="1"/>
    <col min="6" max="6" width="11.5" style="87" hidden="1" customWidth="1" outlineLevel="2"/>
    <col min="7" max="7" width="9" style="3" hidden="1" customWidth="1" outlineLevel="1" collapsed="1"/>
    <col min="8" max="8" width="8.875" style="87" customWidth="1" collapsed="1"/>
    <col min="9" max="9" width="17.5" style="3" customWidth="1" collapsed="1"/>
    <col min="10" max="10" width="17.5" style="3" customWidth="1"/>
    <col min="11" max="11" width="8.625" style="3" hidden="1" customWidth="1"/>
    <col min="12" max="12" width="31.875" style="3" hidden="1" customWidth="1"/>
    <col min="13" max="13" width="33.625" style="3" hidden="1" customWidth="1"/>
    <col min="14" max="18" width="8.875" style="3" customWidth="1"/>
    <col min="19" max="21" width="8.875" style="3" customWidth="1" outlineLevel="1"/>
    <col min="22" max="16384" width="8.875" style="3"/>
  </cols>
  <sheetData>
    <row r="1" spans="1:23">
      <c r="A1" s="798"/>
      <c r="B1" s="798"/>
      <c r="C1" s="798" t="s">
        <v>241</v>
      </c>
      <c r="D1" s="798"/>
      <c r="E1" s="43"/>
      <c r="F1" s="43"/>
      <c r="I1" s="239"/>
      <c r="J1" s="43"/>
    </row>
    <row r="2" spans="1:23">
      <c r="A2" s="111"/>
      <c r="B2" s="111"/>
      <c r="C2" s="111"/>
      <c r="D2" s="111"/>
      <c r="E2" s="111"/>
      <c r="F2" s="111"/>
      <c r="I2" s="159"/>
      <c r="J2" s="111"/>
      <c r="K2" s="43"/>
      <c r="P2" s="308" t="s">
        <v>1945</v>
      </c>
    </row>
    <row r="3" spans="1:23">
      <c r="A3" s="14" t="s">
        <v>1853</v>
      </c>
      <c r="B3" s="14" t="s">
        <v>1854</v>
      </c>
      <c r="C3" s="14" t="s">
        <v>228</v>
      </c>
      <c r="D3" s="15" t="s">
        <v>242</v>
      </c>
      <c r="E3" s="15" t="s">
        <v>1752</v>
      </c>
      <c r="F3" s="15" t="s">
        <v>469</v>
      </c>
      <c r="G3" s="15" t="s">
        <v>1753</v>
      </c>
      <c r="H3" s="15" t="s">
        <v>1834</v>
      </c>
      <c r="I3" s="15" t="s">
        <v>1759</v>
      </c>
      <c r="J3" s="707" t="s">
        <v>2347</v>
      </c>
      <c r="K3" s="15" t="s">
        <v>1799</v>
      </c>
      <c r="L3" s="15"/>
      <c r="M3" s="15"/>
      <c r="N3" s="15" t="s">
        <v>1852</v>
      </c>
      <c r="O3" s="707" t="s">
        <v>2344</v>
      </c>
      <c r="P3" s="15" t="s">
        <v>1760</v>
      </c>
      <c r="Q3" s="751" t="s">
        <v>1855</v>
      </c>
      <c r="R3" s="751" t="s">
        <v>541</v>
      </c>
      <c r="S3" s="751" t="s">
        <v>1892</v>
      </c>
      <c r="T3" s="751" t="s">
        <v>1893</v>
      </c>
      <c r="U3" s="751" t="s">
        <v>1894</v>
      </c>
    </row>
    <row r="4" spans="1:23" s="2" customFormat="1" ht="15.6" customHeight="1">
      <c r="A4" s="112" t="s">
        <v>464</v>
      </c>
      <c r="B4" s="112" t="s">
        <v>446</v>
      </c>
      <c r="C4" s="13">
        <v>1</v>
      </c>
      <c r="D4" s="12" t="s">
        <v>205</v>
      </c>
      <c r="E4" s="473" t="s">
        <v>254</v>
      </c>
      <c r="F4" s="781" t="s">
        <v>483</v>
      </c>
      <c r="G4" s="5" t="s">
        <v>284</v>
      </c>
      <c r="H4" s="777">
        <v>5</v>
      </c>
      <c r="I4" s="46" t="s">
        <v>206</v>
      </c>
      <c r="J4" s="46" t="s">
        <v>206</v>
      </c>
      <c r="K4" s="42"/>
      <c r="L4" s="5" t="s">
        <v>206</v>
      </c>
      <c r="M4" s="5" t="s">
        <v>207</v>
      </c>
      <c r="N4" s="778">
        <f t="shared" ref="N4:N22" si="0">IF((J4=I4)=TRUE,0,1)</f>
        <v>0</v>
      </c>
      <c r="O4" s="773">
        <v>5</v>
      </c>
      <c r="P4" s="773">
        <v>5</v>
      </c>
      <c r="Q4" s="502">
        <f>O4-P4</f>
        <v>0</v>
      </c>
      <c r="R4" s="65">
        <f t="shared" ref="R4:R21" si="1">H4-O4</f>
        <v>0</v>
      </c>
      <c r="S4" s="65">
        <f>R4*100%</f>
        <v>0</v>
      </c>
      <c r="T4" s="65">
        <f>S4/9</f>
        <v>0</v>
      </c>
      <c r="U4" s="65">
        <f>T4/2</f>
        <v>0</v>
      </c>
      <c r="V4" s="2" t="s">
        <v>205</v>
      </c>
      <c r="W4" s="2" t="b">
        <f t="shared" ref="W4:W9" si="2">V4=D4</f>
        <v>1</v>
      </c>
    </row>
    <row r="5" spans="1:23" s="2" customFormat="1" ht="15.6" customHeight="1">
      <c r="A5" s="1980" t="s">
        <v>465</v>
      </c>
      <c r="B5" s="1989" t="s">
        <v>447</v>
      </c>
      <c r="C5" s="13">
        <v>2</v>
      </c>
      <c r="D5" s="12" t="s">
        <v>208</v>
      </c>
      <c r="E5" s="473" t="s">
        <v>254</v>
      </c>
      <c r="F5" s="780" t="s">
        <v>479</v>
      </c>
      <c r="G5" s="5" t="s">
        <v>284</v>
      </c>
      <c r="H5" s="777">
        <v>10</v>
      </c>
      <c r="I5" s="46" t="s">
        <v>209</v>
      </c>
      <c r="J5" s="46" t="s">
        <v>209</v>
      </c>
      <c r="K5" s="42"/>
      <c r="L5" s="5" t="s">
        <v>209</v>
      </c>
      <c r="M5" s="5" t="s">
        <v>210</v>
      </c>
      <c r="N5" s="778">
        <f t="shared" si="0"/>
        <v>0</v>
      </c>
      <c r="O5" s="773">
        <v>10</v>
      </c>
      <c r="P5" s="773">
        <v>10</v>
      </c>
      <c r="Q5" s="502">
        <f t="shared" ref="Q5:Q21" si="3">O5-P5</f>
        <v>0</v>
      </c>
      <c r="R5" s="65">
        <f t="shared" si="1"/>
        <v>0</v>
      </c>
      <c r="S5" s="65">
        <f t="shared" ref="S5:S26" si="4">R5*100%</f>
        <v>0</v>
      </c>
      <c r="T5" s="65">
        <f t="shared" ref="T5:T26" si="5">S5/9</f>
        <v>0</v>
      </c>
      <c r="U5" s="65">
        <f t="shared" ref="U5:U26" si="6">T5/2</f>
        <v>0</v>
      </c>
      <c r="V5" s="2" t="s">
        <v>208</v>
      </c>
      <c r="W5" s="2" t="b">
        <f t="shared" si="2"/>
        <v>1</v>
      </c>
    </row>
    <row r="6" spans="1:23" s="2" customFormat="1" ht="15.6" customHeight="1">
      <c r="A6" s="1980"/>
      <c r="B6" s="1989"/>
      <c r="C6" s="13">
        <v>3</v>
      </c>
      <c r="D6" s="12" t="s">
        <v>211</v>
      </c>
      <c r="E6" s="473" t="s">
        <v>254</v>
      </c>
      <c r="F6" s="780" t="s">
        <v>479</v>
      </c>
      <c r="G6" s="5" t="s">
        <v>284</v>
      </c>
      <c r="H6" s="777">
        <v>5</v>
      </c>
      <c r="I6" s="46" t="s">
        <v>212</v>
      </c>
      <c r="J6" s="46" t="s">
        <v>212</v>
      </c>
      <c r="K6" s="42"/>
      <c r="L6" s="5" t="s">
        <v>212</v>
      </c>
      <c r="M6" s="5" t="s">
        <v>213</v>
      </c>
      <c r="N6" s="778">
        <f t="shared" si="0"/>
        <v>0</v>
      </c>
      <c r="O6" s="773">
        <v>5</v>
      </c>
      <c r="P6" s="773">
        <v>5</v>
      </c>
      <c r="Q6" s="502">
        <f t="shared" si="3"/>
        <v>0</v>
      </c>
      <c r="R6" s="65">
        <f t="shared" si="1"/>
        <v>0</v>
      </c>
      <c r="S6" s="65">
        <f t="shared" si="4"/>
        <v>0</v>
      </c>
      <c r="T6" s="65">
        <f t="shared" si="5"/>
        <v>0</v>
      </c>
      <c r="U6" s="65">
        <f t="shared" si="6"/>
        <v>0</v>
      </c>
      <c r="V6" s="2" t="s">
        <v>211</v>
      </c>
      <c r="W6" s="2" t="b">
        <f t="shared" si="2"/>
        <v>1</v>
      </c>
    </row>
    <row r="7" spans="1:23" s="2" customFormat="1" ht="15.6" customHeight="1">
      <c r="A7" s="1980"/>
      <c r="B7" s="1989"/>
      <c r="C7" s="13">
        <v>4</v>
      </c>
      <c r="D7" s="12" t="s">
        <v>214</v>
      </c>
      <c r="E7" s="473" t="s">
        <v>254</v>
      </c>
      <c r="F7" s="780" t="s">
        <v>479</v>
      </c>
      <c r="G7" s="5" t="s">
        <v>284</v>
      </c>
      <c r="H7" s="777">
        <v>5</v>
      </c>
      <c r="I7" s="46" t="s">
        <v>215</v>
      </c>
      <c r="J7" s="46" t="s">
        <v>215</v>
      </c>
      <c r="K7" s="42"/>
      <c r="L7" s="5" t="s">
        <v>215</v>
      </c>
      <c r="M7" s="5" t="s">
        <v>216</v>
      </c>
      <c r="N7" s="778">
        <f t="shared" si="0"/>
        <v>0</v>
      </c>
      <c r="O7" s="773">
        <v>5</v>
      </c>
      <c r="P7" s="773">
        <v>5</v>
      </c>
      <c r="Q7" s="502">
        <f t="shared" si="3"/>
        <v>0</v>
      </c>
      <c r="R7" s="65">
        <f t="shared" si="1"/>
        <v>0</v>
      </c>
      <c r="S7" s="65">
        <f t="shared" si="4"/>
        <v>0</v>
      </c>
      <c r="T7" s="65">
        <f t="shared" si="5"/>
        <v>0</v>
      </c>
      <c r="U7" s="65">
        <f t="shared" si="6"/>
        <v>0</v>
      </c>
      <c r="V7" s="2" t="s">
        <v>214</v>
      </c>
      <c r="W7" s="2" t="b">
        <f t="shared" si="2"/>
        <v>1</v>
      </c>
    </row>
    <row r="8" spans="1:23" s="2" customFormat="1" ht="15.6" customHeight="1">
      <c r="A8" s="1980"/>
      <c r="B8" s="1989"/>
      <c r="C8" s="13">
        <v>5</v>
      </c>
      <c r="D8" s="12" t="s">
        <v>217</v>
      </c>
      <c r="E8" s="473" t="s">
        <v>254</v>
      </c>
      <c r="F8" s="780" t="s">
        <v>479</v>
      </c>
      <c r="G8" s="5" t="s">
        <v>284</v>
      </c>
      <c r="H8" s="777">
        <v>5</v>
      </c>
      <c r="I8" s="46" t="s">
        <v>218</v>
      </c>
      <c r="J8" s="46" t="s">
        <v>218</v>
      </c>
      <c r="K8" s="42"/>
      <c r="L8" s="5" t="s">
        <v>218</v>
      </c>
      <c r="M8" s="5" t="s">
        <v>219</v>
      </c>
      <c r="N8" s="778">
        <f t="shared" si="0"/>
        <v>0</v>
      </c>
      <c r="O8" s="773">
        <v>5</v>
      </c>
      <c r="P8" s="773">
        <v>5</v>
      </c>
      <c r="Q8" s="502">
        <f t="shared" si="3"/>
        <v>0</v>
      </c>
      <c r="R8" s="65">
        <f t="shared" si="1"/>
        <v>0</v>
      </c>
      <c r="S8" s="65">
        <f t="shared" si="4"/>
        <v>0</v>
      </c>
      <c r="T8" s="65">
        <f t="shared" si="5"/>
        <v>0</v>
      </c>
      <c r="U8" s="65">
        <f t="shared" si="6"/>
        <v>0</v>
      </c>
      <c r="V8" s="2" t="s">
        <v>217</v>
      </c>
      <c r="W8" s="2" t="b">
        <f t="shared" si="2"/>
        <v>1</v>
      </c>
    </row>
    <row r="9" spans="1:23" s="2" customFormat="1" ht="15.6" customHeight="1">
      <c r="A9" s="1980"/>
      <c r="B9" s="1989"/>
      <c r="C9" s="13">
        <v>6</v>
      </c>
      <c r="D9" s="12" t="s">
        <v>220</v>
      </c>
      <c r="E9" s="473" t="s">
        <v>254</v>
      </c>
      <c r="F9" s="780" t="s">
        <v>479</v>
      </c>
      <c r="G9" s="5" t="s">
        <v>284</v>
      </c>
      <c r="H9" s="777">
        <v>5</v>
      </c>
      <c r="I9" s="46" t="s">
        <v>221</v>
      </c>
      <c r="J9" s="46" t="s">
        <v>221</v>
      </c>
      <c r="K9" s="5"/>
      <c r="L9" s="5" t="s">
        <v>221</v>
      </c>
      <c r="M9" s="5" t="s">
        <v>222</v>
      </c>
      <c r="N9" s="778">
        <f t="shared" si="0"/>
        <v>0</v>
      </c>
      <c r="O9" s="773">
        <v>5</v>
      </c>
      <c r="P9" s="773">
        <v>5</v>
      </c>
      <c r="Q9" s="502">
        <f t="shared" si="3"/>
        <v>0</v>
      </c>
      <c r="R9" s="65">
        <f t="shared" si="1"/>
        <v>0</v>
      </c>
      <c r="S9" s="65">
        <f t="shared" si="4"/>
        <v>0</v>
      </c>
      <c r="T9" s="65">
        <f t="shared" si="5"/>
        <v>0</v>
      </c>
      <c r="U9" s="65">
        <f t="shared" si="6"/>
        <v>0</v>
      </c>
      <c r="V9" s="2" t="s">
        <v>220</v>
      </c>
      <c r="W9" s="2" t="b">
        <f t="shared" si="2"/>
        <v>1</v>
      </c>
    </row>
    <row r="10" spans="1:23" s="2" customFormat="1" ht="15.6" customHeight="1">
      <c r="A10" s="1875" t="s">
        <v>457</v>
      </c>
      <c r="B10" s="1878" t="s">
        <v>458</v>
      </c>
      <c r="C10" s="13">
        <v>7</v>
      </c>
      <c r="D10" s="12" t="s">
        <v>455</v>
      </c>
      <c r="E10" s="473"/>
      <c r="F10" s="780" t="s">
        <v>484</v>
      </c>
      <c r="G10" s="625" t="s">
        <v>284</v>
      </c>
      <c r="H10" s="777">
        <v>20</v>
      </c>
      <c r="I10" s="46"/>
      <c r="J10" s="46"/>
      <c r="K10" s="46"/>
      <c r="L10" s="5"/>
      <c r="M10" s="5"/>
      <c r="N10" s="778">
        <f t="shared" si="0"/>
        <v>0</v>
      </c>
      <c r="O10" s="773">
        <v>20</v>
      </c>
      <c r="P10" s="773">
        <v>20</v>
      </c>
      <c r="Q10" s="502">
        <f t="shared" si="3"/>
        <v>0</v>
      </c>
      <c r="R10" s="65">
        <f t="shared" si="1"/>
        <v>0</v>
      </c>
      <c r="S10" s="65">
        <f t="shared" si="4"/>
        <v>0</v>
      </c>
      <c r="T10" s="65">
        <f t="shared" si="5"/>
        <v>0</v>
      </c>
      <c r="U10" s="65">
        <f t="shared" si="6"/>
        <v>0</v>
      </c>
    </row>
    <row r="11" spans="1:23" s="2" customFormat="1" ht="15.6" customHeight="1" outlineLevel="1">
      <c r="A11" s="1876"/>
      <c r="B11" s="1879"/>
      <c r="C11" s="775">
        <v>7.1</v>
      </c>
      <c r="D11" s="5" t="s">
        <v>448</v>
      </c>
      <c r="E11" s="473" t="s">
        <v>254</v>
      </c>
      <c r="F11" s="780"/>
      <c r="G11" s="5"/>
      <c r="H11" s="776"/>
      <c r="I11" s="5">
        <v>0</v>
      </c>
      <c r="J11" s="5">
        <v>0</v>
      </c>
      <c r="K11" s="42"/>
      <c r="L11" s="5"/>
      <c r="M11" s="5"/>
      <c r="N11" s="778">
        <f t="shared" si="0"/>
        <v>0</v>
      </c>
      <c r="O11" s="5"/>
      <c r="P11" s="5"/>
      <c r="Q11" s="502">
        <f t="shared" si="3"/>
        <v>0</v>
      </c>
      <c r="R11" s="65">
        <f t="shared" si="1"/>
        <v>0</v>
      </c>
      <c r="S11" s="65">
        <f t="shared" si="4"/>
        <v>0</v>
      </c>
      <c r="T11" s="65">
        <f t="shared" si="5"/>
        <v>0</v>
      </c>
      <c r="U11" s="65">
        <f t="shared" si="6"/>
        <v>0</v>
      </c>
    </row>
    <row r="12" spans="1:23" s="2" customFormat="1" ht="15.6" customHeight="1" outlineLevel="1">
      <c r="A12" s="1876"/>
      <c r="B12" s="1879"/>
      <c r="C12" s="775">
        <v>7.2</v>
      </c>
      <c r="D12" s="5" t="s">
        <v>449</v>
      </c>
      <c r="E12" s="473" t="s">
        <v>254</v>
      </c>
      <c r="F12" s="780"/>
      <c r="G12" s="5"/>
      <c r="H12" s="776"/>
      <c r="I12" s="5">
        <v>0</v>
      </c>
      <c r="J12" s="5">
        <v>0</v>
      </c>
      <c r="K12" s="42"/>
      <c r="L12" s="5"/>
      <c r="M12" s="5"/>
      <c r="N12" s="778">
        <f t="shared" si="0"/>
        <v>0</v>
      </c>
      <c r="O12" s="5"/>
      <c r="P12" s="5"/>
      <c r="Q12" s="502">
        <f t="shared" si="3"/>
        <v>0</v>
      </c>
      <c r="R12" s="65">
        <f t="shared" si="1"/>
        <v>0</v>
      </c>
      <c r="S12" s="65">
        <f t="shared" si="4"/>
        <v>0</v>
      </c>
      <c r="T12" s="65">
        <f t="shared" si="5"/>
        <v>0</v>
      </c>
      <c r="U12" s="65">
        <f t="shared" si="6"/>
        <v>0</v>
      </c>
    </row>
    <row r="13" spans="1:23" s="2" customFormat="1" ht="15.6" customHeight="1" outlineLevel="1">
      <c r="A13" s="1876"/>
      <c r="B13" s="1879"/>
      <c r="C13" s="775">
        <v>7.3</v>
      </c>
      <c r="D13" s="46" t="s">
        <v>450</v>
      </c>
      <c r="E13" s="473" t="s">
        <v>254</v>
      </c>
      <c r="F13" s="780"/>
      <c r="G13" s="5"/>
      <c r="H13" s="776"/>
      <c r="I13" s="5">
        <v>0</v>
      </c>
      <c r="J13" s="5">
        <v>0</v>
      </c>
      <c r="K13" s="42"/>
      <c r="L13" s="5"/>
      <c r="M13" s="5"/>
      <c r="N13" s="778">
        <f t="shared" si="0"/>
        <v>0</v>
      </c>
      <c r="O13" s="5"/>
      <c r="P13" s="5"/>
      <c r="Q13" s="502">
        <f t="shared" si="3"/>
        <v>0</v>
      </c>
      <c r="R13" s="65">
        <f t="shared" si="1"/>
        <v>0</v>
      </c>
      <c r="S13" s="65">
        <f t="shared" si="4"/>
        <v>0</v>
      </c>
      <c r="T13" s="65">
        <f t="shared" si="5"/>
        <v>0</v>
      </c>
      <c r="U13" s="65">
        <f t="shared" si="6"/>
        <v>0</v>
      </c>
    </row>
    <row r="14" spans="1:23" s="2" customFormat="1" ht="15.6" customHeight="1" outlineLevel="1">
      <c r="A14" s="1876"/>
      <c r="B14" s="1879"/>
      <c r="C14" s="775">
        <v>7.4</v>
      </c>
      <c r="D14" s="5" t="s">
        <v>451</v>
      </c>
      <c r="E14" s="473" t="s">
        <v>254</v>
      </c>
      <c r="F14" s="780"/>
      <c r="G14" s="5"/>
      <c r="H14" s="776"/>
      <c r="I14" s="5">
        <v>0</v>
      </c>
      <c r="J14" s="5">
        <v>0</v>
      </c>
      <c r="K14" s="42"/>
      <c r="L14" s="5"/>
      <c r="M14" s="5"/>
      <c r="N14" s="778">
        <f t="shared" si="0"/>
        <v>0</v>
      </c>
      <c r="O14" s="5"/>
      <c r="P14" s="5"/>
      <c r="Q14" s="502">
        <f t="shared" si="3"/>
        <v>0</v>
      </c>
      <c r="R14" s="65">
        <f t="shared" si="1"/>
        <v>0</v>
      </c>
      <c r="S14" s="65">
        <f t="shared" si="4"/>
        <v>0</v>
      </c>
      <c r="T14" s="65">
        <f t="shared" si="5"/>
        <v>0</v>
      </c>
      <c r="U14" s="65">
        <f t="shared" si="6"/>
        <v>0</v>
      </c>
    </row>
    <row r="15" spans="1:23" s="2" customFormat="1" ht="32.450000000000003" customHeight="1" outlineLevel="1">
      <c r="A15" s="1877"/>
      <c r="B15" s="1880"/>
      <c r="C15" s="775">
        <v>7.5</v>
      </c>
      <c r="D15" s="49" t="s">
        <v>452</v>
      </c>
      <c r="E15" s="473" t="s">
        <v>254</v>
      </c>
      <c r="F15" s="780"/>
      <c r="G15" s="5"/>
      <c r="H15" s="776"/>
      <c r="I15" s="5">
        <v>0</v>
      </c>
      <c r="J15" s="5">
        <v>0</v>
      </c>
      <c r="K15" s="42"/>
      <c r="L15" s="5"/>
      <c r="M15" s="5"/>
      <c r="N15" s="778">
        <f t="shared" si="0"/>
        <v>0</v>
      </c>
      <c r="O15" s="5"/>
      <c r="P15" s="5"/>
      <c r="Q15" s="502">
        <f t="shared" si="3"/>
        <v>0</v>
      </c>
      <c r="R15" s="65">
        <f t="shared" si="1"/>
        <v>0</v>
      </c>
      <c r="S15" s="65">
        <f t="shared" si="4"/>
        <v>0</v>
      </c>
      <c r="T15" s="65">
        <f t="shared" si="5"/>
        <v>0</v>
      </c>
      <c r="U15" s="65">
        <f t="shared" si="6"/>
        <v>0</v>
      </c>
    </row>
    <row r="16" spans="1:23" s="2" customFormat="1" ht="15.6" hidden="1" customHeight="1">
      <c r="A16" s="113" t="s">
        <v>516</v>
      </c>
      <c r="B16" s="779" t="s">
        <v>459</v>
      </c>
      <c r="C16" s="13">
        <v>8</v>
      </c>
      <c r="D16" s="85" t="s">
        <v>460</v>
      </c>
      <c r="E16" s="473" t="s">
        <v>254</v>
      </c>
      <c r="F16" s="780" t="s">
        <v>485</v>
      </c>
      <c r="G16" s="5" t="s">
        <v>284</v>
      </c>
      <c r="H16" s="777">
        <v>5</v>
      </c>
      <c r="I16" s="46" t="s">
        <v>206</v>
      </c>
      <c r="J16" s="49" t="s">
        <v>206</v>
      </c>
      <c r="K16" s="42"/>
      <c r="L16" s="5" t="s">
        <v>206</v>
      </c>
      <c r="M16" s="5" t="s">
        <v>207</v>
      </c>
      <c r="N16" s="778">
        <f t="shared" si="0"/>
        <v>0</v>
      </c>
      <c r="O16" s="776">
        <v>5</v>
      </c>
      <c r="P16" s="776">
        <v>5</v>
      </c>
      <c r="Q16" s="502">
        <f t="shared" si="3"/>
        <v>0</v>
      </c>
      <c r="R16" s="65">
        <f t="shared" si="1"/>
        <v>0</v>
      </c>
      <c r="S16" s="65">
        <f t="shared" si="4"/>
        <v>0</v>
      </c>
      <c r="T16" s="65">
        <f t="shared" si="5"/>
        <v>0</v>
      </c>
      <c r="U16" s="65">
        <f t="shared" si="6"/>
        <v>0</v>
      </c>
    </row>
    <row r="17" spans="1:21" s="2" customFormat="1" ht="30.75" customHeight="1">
      <c r="A17" s="1875" t="s">
        <v>2375</v>
      </c>
      <c r="B17" s="1878" t="s">
        <v>2394</v>
      </c>
      <c r="C17" s="13">
        <v>9</v>
      </c>
      <c r="D17" s="12" t="s">
        <v>453</v>
      </c>
      <c r="E17" s="473"/>
      <c r="F17" s="780" t="s">
        <v>484</v>
      </c>
      <c r="G17" s="5" t="s">
        <v>284</v>
      </c>
      <c r="H17" s="777">
        <v>15</v>
      </c>
      <c r="I17" s="5">
        <v>0</v>
      </c>
      <c r="J17" s="5">
        <v>0</v>
      </c>
      <c r="K17" s="42"/>
      <c r="L17" s="5"/>
      <c r="M17" s="5"/>
      <c r="N17" s="778">
        <f t="shared" si="0"/>
        <v>0</v>
      </c>
      <c r="O17" s="776">
        <v>15</v>
      </c>
      <c r="P17" s="776">
        <v>15</v>
      </c>
      <c r="Q17" s="502">
        <f t="shared" si="3"/>
        <v>0</v>
      </c>
      <c r="R17" s="65">
        <f t="shared" si="1"/>
        <v>0</v>
      </c>
      <c r="S17" s="65">
        <f t="shared" si="4"/>
        <v>0</v>
      </c>
      <c r="T17" s="65">
        <f t="shared" si="5"/>
        <v>0</v>
      </c>
      <c r="U17" s="65">
        <f t="shared" si="6"/>
        <v>0</v>
      </c>
    </row>
    <row r="18" spans="1:21" s="2" customFormat="1" ht="58.5" customHeight="1" outlineLevel="1">
      <c r="A18" s="1876"/>
      <c r="B18" s="1879"/>
      <c r="C18" s="775">
        <v>9.1</v>
      </c>
      <c r="D18" s="5" t="s">
        <v>454</v>
      </c>
      <c r="E18" s="473" t="s">
        <v>254</v>
      </c>
      <c r="F18" s="780"/>
      <c r="G18" s="5"/>
      <c r="H18" s="776"/>
      <c r="I18" s="5">
        <v>0</v>
      </c>
      <c r="J18" s="5">
        <v>0</v>
      </c>
      <c r="K18" s="42"/>
      <c r="L18" s="5"/>
      <c r="M18" s="5"/>
      <c r="N18" s="778">
        <f t="shared" si="0"/>
        <v>0</v>
      </c>
      <c r="O18" s="5"/>
      <c r="P18" s="5"/>
      <c r="Q18" s="502">
        <f t="shared" si="3"/>
        <v>0</v>
      </c>
      <c r="R18" s="65">
        <f t="shared" si="1"/>
        <v>0</v>
      </c>
      <c r="S18" s="65">
        <f t="shared" si="4"/>
        <v>0</v>
      </c>
      <c r="T18" s="65">
        <f t="shared" si="5"/>
        <v>0</v>
      </c>
      <c r="U18" s="65">
        <f t="shared" si="6"/>
        <v>0</v>
      </c>
    </row>
    <row r="19" spans="1:21" s="2" customFormat="1" ht="131.25" customHeight="1" outlineLevel="1">
      <c r="A19" s="1877"/>
      <c r="B19" s="1880"/>
      <c r="C19" s="775">
        <v>9.1999999999999993</v>
      </c>
      <c r="D19" s="5" t="s">
        <v>456</v>
      </c>
      <c r="E19" s="473" t="s">
        <v>254</v>
      </c>
      <c r="F19" s="780"/>
      <c r="G19" s="5"/>
      <c r="H19" s="776"/>
      <c r="I19" s="5">
        <v>0</v>
      </c>
      <c r="J19" s="5">
        <v>0</v>
      </c>
      <c r="K19" s="42"/>
      <c r="L19" s="5"/>
      <c r="M19" s="5"/>
      <c r="N19" s="778">
        <f t="shared" si="0"/>
        <v>0</v>
      </c>
      <c r="O19" s="5"/>
      <c r="P19" s="5"/>
      <c r="Q19" s="502">
        <f t="shared" si="3"/>
        <v>0</v>
      </c>
      <c r="R19" s="65">
        <f t="shared" si="1"/>
        <v>0</v>
      </c>
      <c r="S19" s="65">
        <f t="shared" si="4"/>
        <v>0</v>
      </c>
      <c r="T19" s="65">
        <f t="shared" si="5"/>
        <v>0</v>
      </c>
      <c r="U19" s="65">
        <f t="shared" si="6"/>
        <v>0</v>
      </c>
    </row>
    <row r="20" spans="1:21" s="2" customFormat="1" ht="15.6" customHeight="1">
      <c r="A20" s="1875" t="s">
        <v>2368</v>
      </c>
      <c r="B20" s="1878" t="s">
        <v>2367</v>
      </c>
      <c r="C20" s="13">
        <v>10</v>
      </c>
      <c r="D20" s="12" t="s">
        <v>2365</v>
      </c>
      <c r="E20" s="473"/>
      <c r="F20" s="780" t="s">
        <v>484</v>
      </c>
      <c r="G20" s="5" t="s">
        <v>284</v>
      </c>
      <c r="H20" s="777">
        <v>15</v>
      </c>
      <c r="I20" s="5">
        <v>0</v>
      </c>
      <c r="J20" s="5">
        <v>0</v>
      </c>
      <c r="K20" s="42"/>
      <c r="L20" s="5"/>
      <c r="M20" s="5"/>
      <c r="N20" s="778">
        <f t="shared" si="0"/>
        <v>0</v>
      </c>
      <c r="O20" s="776">
        <v>15</v>
      </c>
      <c r="P20" s="776">
        <v>15</v>
      </c>
      <c r="Q20" s="502">
        <f t="shared" si="3"/>
        <v>0</v>
      </c>
      <c r="R20" s="65">
        <f t="shared" si="1"/>
        <v>0</v>
      </c>
      <c r="S20" s="65">
        <f t="shared" si="4"/>
        <v>0</v>
      </c>
      <c r="T20" s="65">
        <f t="shared" si="5"/>
        <v>0</v>
      </c>
      <c r="U20" s="65">
        <f t="shared" si="6"/>
        <v>0</v>
      </c>
    </row>
    <row r="21" spans="1:21" s="2" customFormat="1" ht="15.6" customHeight="1" outlineLevel="1">
      <c r="A21" s="1877"/>
      <c r="B21" s="1880"/>
      <c r="C21" s="775">
        <v>10.1</v>
      </c>
      <c r="D21" s="5" t="s">
        <v>2366</v>
      </c>
      <c r="E21" s="473" t="s">
        <v>254</v>
      </c>
      <c r="F21" s="780"/>
      <c r="G21" s="5"/>
      <c r="H21" s="776"/>
      <c r="I21" s="5">
        <v>0</v>
      </c>
      <c r="J21" s="5">
        <v>0</v>
      </c>
      <c r="K21" s="42"/>
      <c r="L21" s="5"/>
      <c r="M21" s="5"/>
      <c r="N21" s="778">
        <f t="shared" si="0"/>
        <v>0</v>
      </c>
      <c r="O21" s="5"/>
      <c r="P21" s="5"/>
      <c r="Q21" s="502">
        <f t="shared" si="3"/>
        <v>0</v>
      </c>
      <c r="R21" s="65">
        <f t="shared" si="1"/>
        <v>0</v>
      </c>
      <c r="S21" s="65">
        <f t="shared" si="4"/>
        <v>0</v>
      </c>
      <c r="T21" s="65">
        <f t="shared" si="5"/>
        <v>0</v>
      </c>
      <c r="U21" s="65">
        <f t="shared" si="6"/>
        <v>0</v>
      </c>
    </row>
    <row r="22" spans="1:21" s="2" customFormat="1" ht="15.6" customHeight="1" thickBot="1">
      <c r="A22" s="110" t="s">
        <v>466</v>
      </c>
      <c r="B22" s="774" t="s">
        <v>467</v>
      </c>
      <c r="C22" s="13">
        <v>11</v>
      </c>
      <c r="D22" s="886" t="s">
        <v>461</v>
      </c>
      <c r="E22" s="474" t="s">
        <v>254</v>
      </c>
      <c r="F22" s="824" t="s">
        <v>484</v>
      </c>
      <c r="G22" s="56" t="s">
        <v>541</v>
      </c>
      <c r="H22" s="887" t="s">
        <v>462</v>
      </c>
      <c r="I22" s="56">
        <v>0</v>
      </c>
      <c r="J22" s="56">
        <v>0</v>
      </c>
      <c r="K22" s="888"/>
      <c r="L22" s="56"/>
      <c r="M22" s="56"/>
      <c r="N22" s="889">
        <f t="shared" si="0"/>
        <v>0</v>
      </c>
      <c r="O22" s="821" t="s">
        <v>1165</v>
      </c>
      <c r="P22" s="821" t="s">
        <v>1165</v>
      </c>
      <c r="Q22" s="880">
        <f>0</f>
        <v>0</v>
      </c>
      <c r="R22" s="820">
        <f>0</f>
        <v>0</v>
      </c>
      <c r="S22" s="820">
        <f t="shared" si="4"/>
        <v>0</v>
      </c>
      <c r="T22" s="820">
        <f t="shared" si="5"/>
        <v>0</v>
      </c>
      <c r="U22" s="820">
        <f t="shared" si="6"/>
        <v>0</v>
      </c>
    </row>
    <row r="23" spans="1:21" s="2" customFormat="1" ht="16.5">
      <c r="A23" s="5"/>
      <c r="B23" s="275"/>
      <c r="C23" s="275"/>
      <c r="D23" s="890" t="s">
        <v>277</v>
      </c>
      <c r="E23" s="891"/>
      <c r="F23" s="892"/>
      <c r="G23" s="893"/>
      <c r="H23" s="894">
        <f>SUM(H4:H22)</f>
        <v>90</v>
      </c>
      <c r="I23" s="893"/>
      <c r="J23" s="893"/>
      <c r="K23" s="895"/>
      <c r="L23" s="893"/>
      <c r="M23" s="893"/>
      <c r="N23" s="896"/>
      <c r="O23" s="897">
        <f>SUM(O4:O22)</f>
        <v>90</v>
      </c>
      <c r="P23" s="897">
        <f>SUM(P4:P22)</f>
        <v>90</v>
      </c>
      <c r="Q23" s="898">
        <f>SUM(Q4:Q22)</f>
        <v>0</v>
      </c>
      <c r="R23" s="899">
        <f>SUM(R4:R22)</f>
        <v>0</v>
      </c>
      <c r="S23" s="900">
        <f t="shared" si="4"/>
        <v>0</v>
      </c>
      <c r="T23" s="900">
        <f t="shared" si="5"/>
        <v>0</v>
      </c>
      <c r="U23" s="901">
        <f t="shared" si="6"/>
        <v>0</v>
      </c>
    </row>
    <row r="24" spans="1:21" s="2" customFormat="1" ht="14.25">
      <c r="C24" s="7"/>
      <c r="D24" s="902" t="s">
        <v>281</v>
      </c>
      <c r="E24" s="89"/>
      <c r="F24" s="541"/>
      <c r="G24" s="89"/>
      <c r="H24" s="800">
        <v>90</v>
      </c>
      <c r="I24" s="89"/>
      <c r="J24" s="89"/>
      <c r="K24" s="89"/>
      <c r="L24" s="89"/>
      <c r="M24" s="89"/>
      <c r="N24" s="89"/>
      <c r="O24" s="737">
        <f>O23</f>
        <v>90</v>
      </c>
      <c r="P24" s="737">
        <f>P23</f>
        <v>90</v>
      </c>
      <c r="Q24" s="731"/>
      <c r="R24" s="731"/>
      <c r="S24" s="550">
        <f t="shared" si="4"/>
        <v>0</v>
      </c>
      <c r="T24" s="550">
        <f t="shared" si="5"/>
        <v>0</v>
      </c>
      <c r="U24" s="903">
        <f t="shared" si="6"/>
        <v>0</v>
      </c>
    </row>
    <row r="25" spans="1:21" s="2" customFormat="1" ht="14.25">
      <c r="C25" s="7"/>
      <c r="D25" s="902" t="s">
        <v>538</v>
      </c>
      <c r="E25" s="89"/>
      <c r="F25" s="541"/>
      <c r="G25" s="89"/>
      <c r="H25" s="800">
        <v>10</v>
      </c>
      <c r="I25" s="89"/>
      <c r="J25" s="89"/>
      <c r="K25" s="89"/>
      <c r="L25" s="89"/>
      <c r="M25" s="89"/>
      <c r="N25" s="89"/>
      <c r="O25" s="737">
        <v>10</v>
      </c>
      <c r="P25" s="737">
        <v>10</v>
      </c>
      <c r="Q25" s="731"/>
      <c r="R25" s="731"/>
      <c r="S25" s="550">
        <f t="shared" si="4"/>
        <v>0</v>
      </c>
      <c r="T25" s="550">
        <f t="shared" si="5"/>
        <v>0</v>
      </c>
      <c r="U25" s="903">
        <f t="shared" si="6"/>
        <v>0</v>
      </c>
    </row>
    <row r="26" spans="1:21" s="2" customFormat="1" thickBot="1">
      <c r="C26" s="7"/>
      <c r="D26" s="904" t="s">
        <v>540</v>
      </c>
      <c r="E26" s="905"/>
      <c r="F26" s="906"/>
      <c r="G26" s="905"/>
      <c r="H26" s="907">
        <f>100-SUM(H24:H25)</f>
        <v>0</v>
      </c>
      <c r="I26" s="905"/>
      <c r="J26" s="905"/>
      <c r="K26" s="905"/>
      <c r="L26" s="905"/>
      <c r="M26" s="905"/>
      <c r="N26" s="905"/>
      <c r="O26" s="908">
        <f>100-SUM(O24:O25)</f>
        <v>0</v>
      </c>
      <c r="P26" s="908">
        <f>100-SUM(P24:P25)</f>
        <v>0</v>
      </c>
      <c r="Q26" s="909"/>
      <c r="R26" s="909"/>
      <c r="S26" s="910">
        <f t="shared" si="4"/>
        <v>0</v>
      </c>
      <c r="T26" s="910">
        <f t="shared" si="5"/>
        <v>0</v>
      </c>
      <c r="U26" s="911">
        <f t="shared" si="6"/>
        <v>0</v>
      </c>
    </row>
    <row r="27" spans="1:21" s="2" customFormat="1" ht="14.25">
      <c r="C27" s="7"/>
      <c r="F27" s="83"/>
      <c r="H27" s="83"/>
    </row>
    <row r="28" spans="1:21" s="2" customFormat="1" ht="14.25">
      <c r="C28" s="7"/>
      <c r="F28" s="83"/>
      <c r="H28" s="83"/>
    </row>
    <row r="29" spans="1:21" s="2" customFormat="1" ht="14.25">
      <c r="C29" s="7"/>
      <c r="F29" s="83"/>
      <c r="H29" s="83"/>
    </row>
    <row r="30" spans="1:21" s="2" customFormat="1" ht="14.25">
      <c r="C30" s="7"/>
      <c r="D30" s="843" t="s">
        <v>1897</v>
      </c>
      <c r="F30" s="83"/>
      <c r="H30" s="83"/>
    </row>
    <row r="31" spans="1:21" s="2" customFormat="1" ht="14.25">
      <c r="C31" s="7"/>
      <c r="D31" s="876" t="s">
        <v>1944</v>
      </c>
      <c r="F31" s="83"/>
      <c r="H31" s="83"/>
    </row>
    <row r="32" spans="1:21" s="2" customFormat="1" ht="14.25">
      <c r="C32" s="7"/>
      <c r="F32" s="83"/>
      <c r="H32" s="83"/>
    </row>
    <row r="33" spans="3:8" s="2" customFormat="1" ht="14.25">
      <c r="C33" s="7"/>
      <c r="F33" s="83"/>
      <c r="H33" s="83"/>
    </row>
    <row r="34" spans="3:8" s="2" customFormat="1" ht="14.25">
      <c r="C34" s="7"/>
      <c r="F34" s="83"/>
      <c r="H34" s="83"/>
    </row>
    <row r="35" spans="3:8" s="2" customFormat="1" ht="14.25">
      <c r="C35" s="7"/>
      <c r="F35" s="83"/>
      <c r="H35" s="83"/>
    </row>
    <row r="36" spans="3:8" s="2" customFormat="1" ht="14.25">
      <c r="C36" s="7"/>
      <c r="F36" s="83"/>
      <c r="H36" s="83"/>
    </row>
    <row r="37" spans="3:8" s="2" customFormat="1" ht="14.25">
      <c r="C37" s="7"/>
      <c r="F37" s="83"/>
      <c r="H37" s="83"/>
    </row>
    <row r="38" spans="3:8" s="2" customFormat="1" ht="14.25">
      <c r="C38" s="7"/>
      <c r="F38" s="83"/>
      <c r="H38" s="83"/>
    </row>
    <row r="39" spans="3:8" s="2" customFormat="1" ht="14.25">
      <c r="C39" s="7"/>
      <c r="F39" s="83"/>
      <c r="H39" s="83"/>
    </row>
    <row r="40" spans="3:8" s="2" customFormat="1" ht="14.25">
      <c r="C40" s="7"/>
      <c r="F40" s="83"/>
      <c r="H40" s="83"/>
    </row>
    <row r="41" spans="3:8" s="2" customFormat="1" ht="14.25">
      <c r="C41" s="7"/>
      <c r="F41" s="83"/>
      <c r="H41" s="83"/>
    </row>
    <row r="42" spans="3:8" s="2" customFormat="1" ht="14.25">
      <c r="C42" s="7"/>
      <c r="F42" s="83"/>
      <c r="H42" s="83"/>
    </row>
    <row r="43" spans="3:8" s="2" customFormat="1" ht="14.25">
      <c r="C43" s="7"/>
      <c r="F43" s="83"/>
      <c r="H43" s="83"/>
    </row>
    <row r="44" spans="3:8" s="2" customFormat="1" ht="14.25">
      <c r="C44" s="7"/>
      <c r="F44" s="83"/>
      <c r="H44" s="83"/>
    </row>
    <row r="45" spans="3:8" s="2" customFormat="1" ht="14.25">
      <c r="C45" s="7"/>
      <c r="F45" s="83"/>
      <c r="H45" s="83"/>
    </row>
    <row r="46" spans="3:8" s="2" customFormat="1" ht="14.25">
      <c r="C46" s="7"/>
      <c r="F46" s="83"/>
      <c r="H46" s="83"/>
    </row>
    <row r="47" spans="3:8" s="2" customFormat="1" ht="14.25">
      <c r="C47" s="7"/>
      <c r="F47" s="83"/>
      <c r="H47" s="83"/>
    </row>
    <row r="48" spans="3:8" s="2" customFormat="1" ht="14.25">
      <c r="C48" s="7"/>
      <c r="F48" s="83"/>
      <c r="H48" s="83"/>
    </row>
    <row r="49" spans="3:8" s="2" customFormat="1" ht="14.25">
      <c r="C49" s="7"/>
      <c r="F49" s="83"/>
      <c r="H49" s="83"/>
    </row>
    <row r="50" spans="3:8" s="2" customFormat="1" ht="14.25">
      <c r="C50" s="7"/>
      <c r="F50" s="83"/>
      <c r="H50" s="83"/>
    </row>
    <row r="51" spans="3:8" s="2" customFormat="1" ht="14.25">
      <c r="C51" s="7"/>
      <c r="F51" s="83"/>
      <c r="H51" s="83"/>
    </row>
    <row r="52" spans="3:8" s="2" customFormat="1" ht="14.25">
      <c r="C52" s="7"/>
      <c r="F52" s="83"/>
      <c r="H52" s="83"/>
    </row>
    <row r="53" spans="3:8" s="2" customFormat="1" ht="14.25">
      <c r="C53" s="7"/>
      <c r="F53" s="83"/>
      <c r="H53" s="83"/>
    </row>
    <row r="54" spans="3:8" s="2" customFormat="1" ht="14.25">
      <c r="C54" s="7"/>
      <c r="F54" s="83"/>
      <c r="H54" s="83"/>
    </row>
    <row r="55" spans="3:8" s="2" customFormat="1" ht="14.25">
      <c r="C55" s="7"/>
      <c r="F55" s="83"/>
      <c r="H55" s="83"/>
    </row>
    <row r="56" spans="3:8" s="2" customFormat="1" ht="14.25">
      <c r="C56" s="7"/>
      <c r="F56" s="83"/>
      <c r="H56" s="83"/>
    </row>
    <row r="57" spans="3:8" s="2" customFormat="1" ht="14.25">
      <c r="C57" s="7"/>
      <c r="F57" s="83"/>
      <c r="H57" s="83"/>
    </row>
    <row r="58" spans="3:8" s="2" customFormat="1" ht="14.25">
      <c r="C58" s="7"/>
      <c r="F58" s="83"/>
      <c r="H58" s="83"/>
    </row>
    <row r="59" spans="3:8" s="2" customFormat="1" ht="14.25">
      <c r="C59" s="7"/>
      <c r="F59" s="83"/>
      <c r="H59" s="83"/>
    </row>
    <row r="60" spans="3:8" s="2" customFormat="1" ht="14.25">
      <c r="C60" s="7"/>
      <c r="F60" s="83"/>
      <c r="H60" s="83"/>
    </row>
    <row r="61" spans="3:8" s="2" customFormat="1" ht="14.25">
      <c r="C61" s="7"/>
      <c r="F61" s="83"/>
      <c r="H61" s="83"/>
    </row>
    <row r="62" spans="3:8" s="2" customFormat="1" ht="14.25">
      <c r="C62" s="7"/>
      <c r="F62" s="83"/>
      <c r="H62" s="83"/>
    </row>
    <row r="63" spans="3:8" s="2" customFormat="1" ht="14.25">
      <c r="C63" s="7"/>
      <c r="F63" s="83"/>
      <c r="H63" s="83"/>
    </row>
    <row r="64" spans="3:8" s="2" customFormat="1" ht="14.25">
      <c r="C64" s="7"/>
      <c r="F64" s="83"/>
      <c r="H64" s="83"/>
    </row>
    <row r="65" spans="3:8" s="2" customFormat="1" ht="14.25">
      <c r="C65" s="7"/>
      <c r="F65" s="83"/>
      <c r="H65" s="83"/>
    </row>
    <row r="66" spans="3:8" s="2" customFormat="1" ht="14.25">
      <c r="C66" s="7"/>
      <c r="F66" s="83"/>
      <c r="H66" s="83"/>
    </row>
    <row r="67" spans="3:8" s="2" customFormat="1" ht="14.25">
      <c r="C67" s="7"/>
      <c r="F67" s="83"/>
      <c r="H67" s="83"/>
    </row>
    <row r="68" spans="3:8" s="2" customFormat="1" ht="14.25">
      <c r="C68" s="7"/>
      <c r="F68" s="83"/>
      <c r="H68" s="83"/>
    </row>
    <row r="69" spans="3:8" s="2" customFormat="1" ht="14.25">
      <c r="C69" s="7"/>
      <c r="F69" s="83"/>
      <c r="H69" s="83"/>
    </row>
    <row r="70" spans="3:8" s="2" customFormat="1" ht="14.25">
      <c r="C70" s="7"/>
      <c r="F70" s="83"/>
      <c r="H70" s="83"/>
    </row>
    <row r="71" spans="3:8" s="2" customFormat="1" ht="14.25">
      <c r="C71" s="7"/>
      <c r="F71" s="83"/>
      <c r="H71" s="83"/>
    </row>
    <row r="72" spans="3:8" s="2" customFormat="1" ht="14.25">
      <c r="C72" s="7"/>
      <c r="F72" s="83"/>
      <c r="H72" s="83"/>
    </row>
    <row r="73" spans="3:8" s="2" customFormat="1" ht="14.25">
      <c r="C73" s="7"/>
      <c r="F73" s="83"/>
      <c r="H73" s="83"/>
    </row>
    <row r="74" spans="3:8" s="2" customFormat="1" ht="14.25">
      <c r="C74" s="7"/>
      <c r="F74" s="83"/>
      <c r="H74" s="83"/>
    </row>
    <row r="75" spans="3:8" s="2" customFormat="1" ht="14.25">
      <c r="C75" s="7"/>
      <c r="F75" s="83"/>
      <c r="H75" s="83"/>
    </row>
    <row r="76" spans="3:8" s="2" customFormat="1" ht="14.25">
      <c r="C76" s="7"/>
      <c r="F76" s="83"/>
      <c r="H76" s="83"/>
    </row>
    <row r="77" spans="3:8" s="2" customFormat="1" ht="14.25">
      <c r="C77" s="7"/>
      <c r="F77" s="83"/>
      <c r="H77" s="83"/>
    </row>
    <row r="78" spans="3:8" s="2" customFormat="1" ht="14.25">
      <c r="C78" s="7"/>
      <c r="F78" s="83"/>
      <c r="H78" s="83"/>
    </row>
    <row r="79" spans="3:8" s="2" customFormat="1" ht="14.25">
      <c r="C79" s="7"/>
      <c r="F79" s="83"/>
      <c r="H79" s="83"/>
    </row>
    <row r="80" spans="3:8" s="2" customFormat="1" ht="14.25">
      <c r="C80" s="7"/>
      <c r="F80" s="83"/>
      <c r="H80" s="83"/>
    </row>
    <row r="81" spans="3:8" s="2" customFormat="1" ht="14.25">
      <c r="C81" s="7"/>
      <c r="F81" s="83"/>
      <c r="H81" s="83"/>
    </row>
    <row r="82" spans="3:8" s="2" customFormat="1" ht="14.25">
      <c r="C82" s="7"/>
      <c r="F82" s="83"/>
      <c r="H82" s="83"/>
    </row>
    <row r="83" spans="3:8" s="2" customFormat="1" ht="14.25">
      <c r="C83" s="7"/>
      <c r="F83" s="83"/>
      <c r="H83" s="83"/>
    </row>
    <row r="84" spans="3:8" s="2" customFormat="1" ht="14.25">
      <c r="C84" s="7"/>
      <c r="F84" s="83"/>
      <c r="H84" s="83"/>
    </row>
    <row r="85" spans="3:8" s="2" customFormat="1" ht="14.25">
      <c r="C85" s="7"/>
      <c r="F85" s="83"/>
      <c r="H85" s="83"/>
    </row>
    <row r="86" spans="3:8" s="2" customFormat="1" ht="14.25">
      <c r="C86" s="7"/>
      <c r="F86" s="83"/>
      <c r="H86" s="83"/>
    </row>
    <row r="87" spans="3:8" s="2" customFormat="1" ht="14.25">
      <c r="C87" s="7"/>
      <c r="F87" s="83"/>
      <c r="H87" s="83"/>
    </row>
    <row r="88" spans="3:8" s="2" customFormat="1" ht="14.25">
      <c r="C88" s="7"/>
      <c r="F88" s="83"/>
      <c r="H88" s="83"/>
    </row>
    <row r="89" spans="3:8" s="2" customFormat="1" ht="14.25">
      <c r="C89" s="7"/>
      <c r="F89" s="83"/>
      <c r="H89" s="83"/>
    </row>
    <row r="90" spans="3:8" s="2" customFormat="1" ht="14.25">
      <c r="C90" s="7"/>
      <c r="F90" s="83"/>
      <c r="H90" s="83"/>
    </row>
    <row r="91" spans="3:8" s="2" customFormat="1" ht="14.25">
      <c r="C91" s="7"/>
      <c r="F91" s="83"/>
      <c r="H91" s="83"/>
    </row>
    <row r="92" spans="3:8" s="2" customFormat="1" ht="14.25">
      <c r="C92" s="7"/>
      <c r="F92" s="83"/>
      <c r="H92" s="83"/>
    </row>
    <row r="93" spans="3:8" s="2" customFormat="1" ht="14.25">
      <c r="C93" s="7"/>
      <c r="F93" s="83"/>
      <c r="H93" s="83"/>
    </row>
    <row r="94" spans="3:8" s="2" customFormat="1" ht="14.25">
      <c r="C94" s="7"/>
      <c r="F94" s="83"/>
      <c r="H94" s="83"/>
    </row>
    <row r="95" spans="3:8" s="2" customFormat="1" ht="14.25">
      <c r="C95" s="7"/>
      <c r="F95" s="83"/>
      <c r="H95" s="83"/>
    </row>
    <row r="96" spans="3:8" s="2" customFormat="1" ht="14.25">
      <c r="C96" s="7"/>
      <c r="F96" s="83"/>
      <c r="H96" s="83"/>
    </row>
    <row r="97" spans="3:8" s="2" customFormat="1" ht="14.25">
      <c r="C97" s="7"/>
      <c r="F97" s="83"/>
      <c r="H97" s="83"/>
    </row>
    <row r="98" spans="3:8" s="2" customFormat="1" ht="14.25">
      <c r="C98" s="7"/>
      <c r="F98" s="83"/>
      <c r="H98" s="83"/>
    </row>
    <row r="99" spans="3:8" s="2" customFormat="1" ht="14.25">
      <c r="C99" s="7"/>
      <c r="F99" s="83"/>
      <c r="H99" s="83"/>
    </row>
    <row r="100" spans="3:8" s="2" customFormat="1" ht="14.25">
      <c r="C100" s="7"/>
      <c r="F100" s="83"/>
      <c r="H100" s="83"/>
    </row>
    <row r="101" spans="3:8" s="2" customFormat="1" ht="14.25">
      <c r="C101" s="7"/>
      <c r="F101" s="83"/>
      <c r="H101" s="83"/>
    </row>
    <row r="102" spans="3:8" s="2" customFormat="1" ht="14.25">
      <c r="C102" s="7"/>
      <c r="F102" s="83"/>
      <c r="H102" s="83"/>
    </row>
    <row r="103" spans="3:8" s="2" customFormat="1" ht="14.25">
      <c r="C103" s="7"/>
      <c r="F103" s="83"/>
      <c r="H103" s="83"/>
    </row>
    <row r="104" spans="3:8" s="2" customFormat="1" ht="14.25">
      <c r="C104" s="7"/>
      <c r="F104" s="83"/>
      <c r="H104" s="83"/>
    </row>
    <row r="105" spans="3:8" s="2" customFormat="1" ht="14.25">
      <c r="C105" s="7"/>
      <c r="F105" s="83"/>
      <c r="H105" s="83"/>
    </row>
    <row r="106" spans="3:8" s="2" customFormat="1" ht="14.25">
      <c r="C106" s="7"/>
      <c r="F106" s="83"/>
      <c r="H106" s="83"/>
    </row>
    <row r="107" spans="3:8" s="2" customFormat="1" ht="14.25">
      <c r="C107" s="7"/>
      <c r="F107" s="83"/>
      <c r="H107" s="83"/>
    </row>
    <row r="108" spans="3:8" s="2" customFormat="1" ht="14.25">
      <c r="C108" s="7"/>
      <c r="F108" s="83"/>
      <c r="H108" s="83"/>
    </row>
    <row r="109" spans="3:8" s="2" customFormat="1" ht="14.25">
      <c r="C109" s="7"/>
      <c r="F109" s="83"/>
      <c r="H109" s="83"/>
    </row>
    <row r="110" spans="3:8" s="2" customFormat="1" ht="14.25">
      <c r="C110" s="7"/>
      <c r="F110" s="83"/>
      <c r="H110" s="83"/>
    </row>
    <row r="111" spans="3:8" s="2" customFormat="1" ht="14.25">
      <c r="C111" s="7"/>
      <c r="F111" s="83"/>
      <c r="H111" s="83"/>
    </row>
    <row r="112" spans="3:8" s="2" customFormat="1" ht="14.25">
      <c r="C112" s="7"/>
      <c r="F112" s="83"/>
      <c r="H112" s="83"/>
    </row>
    <row r="113" spans="3:8" s="4" customFormat="1" ht="14.25">
      <c r="C113" s="9"/>
      <c r="F113" s="88"/>
      <c r="H113" s="88"/>
    </row>
    <row r="114" spans="3:8" s="4" customFormat="1" ht="14.25">
      <c r="C114" s="9"/>
      <c r="F114" s="88"/>
      <c r="H114" s="88"/>
    </row>
    <row r="115" spans="3:8" s="4" customFormat="1" ht="14.25">
      <c r="C115" s="9"/>
      <c r="F115" s="88"/>
      <c r="H115" s="88"/>
    </row>
    <row r="116" spans="3:8" s="4" customFormat="1" ht="14.25">
      <c r="C116" s="9"/>
      <c r="F116" s="88"/>
      <c r="H116" s="88"/>
    </row>
    <row r="117" spans="3:8" s="4" customFormat="1" ht="14.25">
      <c r="C117" s="9"/>
      <c r="F117" s="88"/>
      <c r="H117" s="88"/>
    </row>
    <row r="118" spans="3:8" s="4" customFormat="1" ht="14.25">
      <c r="C118" s="9"/>
      <c r="F118" s="88"/>
      <c r="H118" s="88"/>
    </row>
    <row r="119" spans="3:8" s="4" customFormat="1" ht="14.25">
      <c r="C119" s="9"/>
      <c r="F119" s="88"/>
      <c r="H119" s="88"/>
    </row>
    <row r="120" spans="3:8" s="4" customFormat="1" ht="14.25">
      <c r="C120" s="9"/>
      <c r="F120" s="88"/>
      <c r="H120" s="88"/>
    </row>
    <row r="121" spans="3:8" s="4" customFormat="1" ht="14.25">
      <c r="C121" s="9"/>
      <c r="F121" s="88"/>
      <c r="H121" s="88"/>
    </row>
    <row r="122" spans="3:8" s="4" customFormat="1" ht="14.25">
      <c r="C122" s="9"/>
      <c r="F122" s="88"/>
      <c r="H122" s="88"/>
    </row>
    <row r="123" spans="3:8" s="4" customFormat="1" ht="14.25">
      <c r="C123" s="9"/>
      <c r="F123" s="88"/>
      <c r="H123" s="88"/>
    </row>
    <row r="124" spans="3:8" s="4" customFormat="1" ht="14.25">
      <c r="C124" s="9"/>
      <c r="F124" s="88"/>
      <c r="H124" s="88"/>
    </row>
    <row r="125" spans="3:8" s="4" customFormat="1" ht="14.25">
      <c r="C125" s="9"/>
      <c r="F125" s="88"/>
      <c r="H125" s="88"/>
    </row>
    <row r="126" spans="3:8" s="4" customFormat="1" ht="14.25">
      <c r="C126" s="9"/>
      <c r="F126" s="88"/>
      <c r="H126" s="88"/>
    </row>
    <row r="127" spans="3:8" s="4" customFormat="1" ht="14.25">
      <c r="C127" s="9"/>
      <c r="F127" s="88"/>
      <c r="H127" s="88"/>
    </row>
    <row r="128" spans="3:8" s="4" customFormat="1" ht="14.25">
      <c r="C128" s="9"/>
      <c r="F128" s="88"/>
      <c r="H128" s="88"/>
    </row>
    <row r="129" spans="3:8" s="4" customFormat="1" ht="14.25">
      <c r="C129" s="9"/>
      <c r="F129" s="88"/>
      <c r="H129" s="88"/>
    </row>
    <row r="130" spans="3:8" s="4" customFormat="1" ht="14.25">
      <c r="C130" s="9"/>
      <c r="F130" s="88"/>
      <c r="H130" s="88"/>
    </row>
    <row r="131" spans="3:8" s="4" customFormat="1" ht="14.25">
      <c r="C131" s="9"/>
      <c r="F131" s="88"/>
      <c r="H131" s="88"/>
    </row>
    <row r="132" spans="3:8" s="4" customFormat="1" ht="14.25">
      <c r="C132" s="9"/>
      <c r="F132" s="88"/>
      <c r="H132" s="88"/>
    </row>
    <row r="133" spans="3:8" s="4" customFormat="1" ht="14.25">
      <c r="C133" s="9"/>
      <c r="F133" s="88"/>
      <c r="H133" s="88"/>
    </row>
    <row r="134" spans="3:8" s="4" customFormat="1" ht="14.25">
      <c r="C134" s="9"/>
      <c r="F134" s="88"/>
      <c r="H134" s="88"/>
    </row>
    <row r="135" spans="3:8" s="4" customFormat="1" ht="14.25">
      <c r="C135" s="9"/>
      <c r="F135" s="88"/>
      <c r="H135" s="88"/>
    </row>
    <row r="136" spans="3:8" s="4" customFormat="1" ht="14.25">
      <c r="C136" s="9"/>
      <c r="F136" s="88"/>
      <c r="H136" s="88"/>
    </row>
    <row r="137" spans="3:8" s="4" customFormat="1" ht="14.25">
      <c r="C137" s="9"/>
      <c r="F137" s="88"/>
      <c r="H137" s="88"/>
    </row>
    <row r="138" spans="3:8" s="4" customFormat="1" ht="14.25">
      <c r="C138" s="9"/>
      <c r="F138" s="88"/>
      <c r="H138" s="88"/>
    </row>
    <row r="139" spans="3:8" s="4" customFormat="1" ht="14.25">
      <c r="C139" s="9"/>
      <c r="F139" s="88"/>
      <c r="H139" s="88"/>
    </row>
    <row r="140" spans="3:8" s="4" customFormat="1" ht="14.25">
      <c r="C140" s="9"/>
      <c r="F140" s="88"/>
      <c r="H140" s="88"/>
    </row>
    <row r="141" spans="3:8" s="4" customFormat="1" ht="14.25">
      <c r="C141" s="9"/>
      <c r="F141" s="88"/>
      <c r="H141" s="88"/>
    </row>
    <row r="142" spans="3:8" s="4" customFormat="1" ht="14.25">
      <c r="C142" s="9"/>
      <c r="F142" s="88"/>
      <c r="H142" s="88"/>
    </row>
    <row r="143" spans="3:8" s="4" customFormat="1" ht="14.25">
      <c r="C143" s="9"/>
      <c r="F143" s="88"/>
      <c r="H143" s="88"/>
    </row>
    <row r="144" spans="3:8" s="4" customFormat="1" ht="14.25">
      <c r="C144" s="9"/>
      <c r="F144" s="88"/>
      <c r="H144" s="88"/>
    </row>
    <row r="145" spans="3:8" s="4" customFormat="1" ht="14.25">
      <c r="C145" s="9"/>
      <c r="F145" s="88"/>
      <c r="H145" s="88"/>
    </row>
    <row r="146" spans="3:8" s="4" customFormat="1" ht="14.25">
      <c r="C146" s="9"/>
      <c r="F146" s="88"/>
      <c r="H146" s="88"/>
    </row>
    <row r="147" spans="3:8" s="4" customFormat="1" ht="14.25">
      <c r="C147" s="9"/>
      <c r="F147" s="88"/>
      <c r="H147" s="88"/>
    </row>
    <row r="148" spans="3:8" s="4" customFormat="1" ht="14.25">
      <c r="C148" s="9"/>
      <c r="F148" s="88"/>
      <c r="H148" s="88"/>
    </row>
    <row r="149" spans="3:8" s="4" customFormat="1" ht="14.25">
      <c r="C149" s="9"/>
      <c r="F149" s="88"/>
      <c r="H149" s="88"/>
    </row>
    <row r="150" spans="3:8" s="4" customFormat="1" ht="14.25">
      <c r="C150" s="9"/>
      <c r="F150" s="88"/>
      <c r="H150" s="88"/>
    </row>
    <row r="151" spans="3:8" s="4" customFormat="1" ht="14.25">
      <c r="C151" s="9"/>
      <c r="F151" s="88"/>
      <c r="H151" s="88"/>
    </row>
    <row r="152" spans="3:8" s="4" customFormat="1" ht="14.25">
      <c r="C152" s="9"/>
      <c r="F152" s="88"/>
      <c r="H152" s="88"/>
    </row>
    <row r="153" spans="3:8" s="4" customFormat="1" ht="14.25">
      <c r="C153" s="9"/>
      <c r="F153" s="88"/>
      <c r="H153" s="88"/>
    </row>
    <row r="154" spans="3:8" s="4" customFormat="1" ht="14.25">
      <c r="C154" s="9"/>
      <c r="F154" s="88"/>
      <c r="H154" s="88"/>
    </row>
    <row r="155" spans="3:8" s="4" customFormat="1" ht="14.25">
      <c r="C155" s="9"/>
      <c r="F155" s="88"/>
      <c r="H155" s="88"/>
    </row>
    <row r="156" spans="3:8" s="4" customFormat="1" ht="14.25">
      <c r="C156" s="9"/>
      <c r="F156" s="88"/>
      <c r="H156" s="88"/>
    </row>
    <row r="157" spans="3:8" s="4" customFormat="1" ht="14.25">
      <c r="C157" s="9"/>
      <c r="F157" s="88"/>
      <c r="H157" s="88"/>
    </row>
    <row r="158" spans="3:8" s="4" customFormat="1" ht="14.25">
      <c r="C158" s="9"/>
      <c r="F158" s="88"/>
      <c r="H158" s="88"/>
    </row>
    <row r="159" spans="3:8" s="4" customFormat="1" ht="14.25">
      <c r="C159" s="9"/>
      <c r="F159" s="88"/>
      <c r="H159" s="88"/>
    </row>
    <row r="160" spans="3:8" s="4" customFormat="1" ht="14.25">
      <c r="C160" s="9"/>
      <c r="F160" s="88"/>
      <c r="H160" s="88"/>
    </row>
    <row r="161" spans="3:8" s="4" customFormat="1" ht="14.25">
      <c r="C161" s="9"/>
      <c r="F161" s="88"/>
      <c r="H161" s="88"/>
    </row>
    <row r="162" spans="3:8" s="4" customFormat="1" ht="14.25">
      <c r="C162" s="9"/>
      <c r="F162" s="88"/>
      <c r="H162" s="88"/>
    </row>
  </sheetData>
  <mergeCells count="8">
    <mergeCell ref="A20:A21"/>
    <mergeCell ref="B20:B21"/>
    <mergeCell ref="A10:A15"/>
    <mergeCell ref="B10:B15"/>
    <mergeCell ref="B5:B9"/>
    <mergeCell ref="A5:A9"/>
    <mergeCell ref="A17:A19"/>
    <mergeCell ref="B17:B19"/>
  </mergeCells>
  <phoneticPr fontId="3" type="noConversion"/>
  <conditionalFormatting sqref="N4:N22">
    <cfRule type="cellIs" dxfId="79" priority="32" stopIfTrue="1" operator="lessThanOrEqual">
      <formula>-0.3</formula>
    </cfRule>
    <cfRule type="cellIs" dxfId="78" priority="33" stopIfTrue="1" operator="greaterThanOrEqual">
      <formula>0.3</formula>
    </cfRule>
  </conditionalFormatting>
  <conditionalFormatting sqref="Q4:Q23">
    <cfRule type="expression" dxfId="77" priority="13">
      <formula>Q4&lt;0</formula>
    </cfRule>
  </conditionalFormatting>
  <conditionalFormatting sqref="Q4:Q23">
    <cfRule type="cellIs" dxfId="76" priority="11" stopIfTrue="1" operator="lessThan">
      <formula>0</formula>
    </cfRule>
    <cfRule type="cellIs" dxfId="75" priority="12" operator="greaterThan">
      <formula>0</formula>
    </cfRule>
  </conditionalFormatting>
  <dataValidations count="8">
    <dataValidation type="list" allowBlank="1" showInputMessage="1" showErrorMessage="1" sqref="I16 I4:J4">
      <formula1>$L$4:$M$4</formula1>
    </dataValidation>
    <dataValidation type="list" allowBlank="1" showInputMessage="1" showErrorMessage="1" sqref="I5:J5">
      <formula1>$L$5:$M$5</formula1>
    </dataValidation>
    <dataValidation type="list" allowBlank="1" showInputMessage="1" showErrorMessage="1" sqref="I6:J6">
      <formula1>$L$6:$M$6</formula1>
    </dataValidation>
    <dataValidation type="list" allowBlank="1" showInputMessage="1" showErrorMessage="1" sqref="I7:J7">
      <formula1>$L$7:$M$7</formula1>
    </dataValidation>
    <dataValidation type="list" allowBlank="1" showInputMessage="1" showErrorMessage="1" sqref="I8:J8">
      <formula1>$L$8:$M$8</formula1>
    </dataValidation>
    <dataValidation type="list" allowBlank="1" showInputMessage="1" showErrorMessage="1" sqref="I9:I10 J9">
      <formula1>$L$9:$M$9</formula1>
    </dataValidation>
    <dataValidation type="list" allowBlank="1" showInputMessage="1" showErrorMessage="1" sqref="J16">
      <formula1>$K$16:$L$16</formula1>
    </dataValidation>
    <dataValidation type="list" allowBlank="1" showInputMessage="1" showErrorMessage="1" sqref="J10">
      <formula1>$M$9:$M$9</formula1>
    </dataValidation>
  </dataValidations>
  <hyperlinks>
    <hyperlink ref="D30" location="权重!A1" display="权重!A1"/>
    <hyperlink ref="D31" location="目录!A1" display="目录!A1"/>
  </hyperlinks>
  <pageMargins left="0.70866141732283472" right="0.70866141732283472"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6"/>
  </sheetPr>
  <dimension ref="A1:AD169"/>
  <sheetViews>
    <sheetView zoomScale="96" zoomScaleNormal="96" workbookViewId="0">
      <pane xSplit="8" ySplit="3" topLeftCell="I4" activePane="bottomRight" state="frozenSplit"/>
      <selection activeCell="A3" sqref="A3:B3"/>
      <selection pane="topRight" activeCell="A3" sqref="A3:B3"/>
      <selection pane="bottomLeft" activeCell="A3" sqref="A3:B3"/>
      <selection pane="bottomRight" activeCell="D30" sqref="D30"/>
    </sheetView>
  </sheetViews>
  <sheetFormatPr defaultColWidth="8.875" defaultRowHeight="16.5" outlineLevelCol="1"/>
  <cols>
    <col min="1" max="2" width="20.75" style="1" hidden="1" customWidth="1" outlineLevel="1"/>
    <col min="3" max="3" width="4.625" style="8" customWidth="1" collapsed="1"/>
    <col min="4" max="4" width="41.375" style="1" customWidth="1"/>
    <col min="5" max="5" width="12.5" style="2" customWidth="1"/>
    <col min="6" max="6" width="11.5" style="31" hidden="1" customWidth="1" outlineLevel="1"/>
    <col min="7" max="7" width="10.5" style="1" hidden="1" customWidth="1" outlineLevel="1"/>
    <col min="8" max="8" width="9" style="1" customWidth="1" collapsed="1"/>
    <col min="9" max="9" width="13.875" style="1" customWidth="1"/>
    <col min="10" max="10" width="9.625" style="27" customWidth="1" collapsed="1"/>
    <col min="11" max="12" width="9.25" style="27" customWidth="1"/>
    <col min="13" max="14" width="10.625" style="1" customWidth="1"/>
    <col min="15" max="15" width="11.75" style="19" customWidth="1"/>
    <col min="16" max="16" width="7.75" style="1" bestFit="1" customWidth="1"/>
    <col min="17" max="17" width="7.75" style="1" customWidth="1" outlineLevel="1"/>
    <col min="18" max="19" width="11.25" style="1" customWidth="1" outlineLevel="1"/>
    <col min="20" max="20" width="14.875" style="1" customWidth="1"/>
    <col min="21" max="21" width="72.125" style="1" bestFit="1" customWidth="1"/>
    <col min="22" max="22" width="5.375" style="1" bestFit="1" customWidth="1"/>
    <col min="23" max="23" width="7.75" style="1" customWidth="1"/>
    <col min="24" max="25" width="8.875" style="670" hidden="1" customWidth="1" outlineLevel="1"/>
    <col min="26" max="26" width="8.875" style="671" hidden="1" customWidth="1" outlineLevel="1"/>
    <col min="27" max="28" width="8.875" style="670" hidden="1" customWidth="1" outlineLevel="1"/>
    <col min="29" max="29" width="8.875" style="671" hidden="1" customWidth="1" outlineLevel="1"/>
    <col min="30" max="30" width="8.875" style="1" collapsed="1"/>
    <col min="31" max="16384" width="8.875" style="1"/>
  </cols>
  <sheetData>
    <row r="1" spans="1:29">
      <c r="A1" s="162"/>
      <c r="B1" s="162"/>
      <c r="C1" s="163" t="s">
        <v>230</v>
      </c>
      <c r="D1" s="161"/>
      <c r="F1" s="47"/>
      <c r="G1" s="712"/>
      <c r="I1" s="771"/>
      <c r="J1" s="47"/>
      <c r="K1" s="47"/>
      <c r="L1" s="47"/>
      <c r="M1" s="771"/>
      <c r="Y1" s="670" t="s">
        <v>1663</v>
      </c>
      <c r="AB1" s="670" t="s">
        <v>1611</v>
      </c>
    </row>
    <row r="2" spans="1:29">
      <c r="A2" s="763"/>
      <c r="B2" s="763"/>
      <c r="C2" s="86"/>
      <c r="D2" s="37"/>
      <c r="F2" s="86"/>
      <c r="I2" s="771"/>
      <c r="J2" s="47"/>
      <c r="K2" s="47"/>
      <c r="L2" s="47"/>
      <c r="M2" s="771"/>
      <c r="N2" s="308" t="s">
        <v>1945</v>
      </c>
      <c r="Y2" s="670" t="s">
        <v>1169</v>
      </c>
      <c r="AB2" s="670" t="s">
        <v>1169</v>
      </c>
    </row>
    <row r="3" spans="1:29" s="2" customFormat="1" ht="15">
      <c r="A3" s="67" t="s">
        <v>470</v>
      </c>
      <c r="B3" s="67" t="s">
        <v>471</v>
      </c>
      <c r="C3" s="757" t="s">
        <v>228</v>
      </c>
      <c r="D3" s="15" t="s">
        <v>227</v>
      </c>
      <c r="E3" s="15" t="s">
        <v>1752</v>
      </c>
      <c r="F3" s="15" t="s">
        <v>469</v>
      </c>
      <c r="G3" s="15" t="s">
        <v>732</v>
      </c>
      <c r="H3" s="15" t="s">
        <v>571</v>
      </c>
      <c r="I3" s="15" t="s">
        <v>1188</v>
      </c>
      <c r="J3" s="15" t="s">
        <v>1759</v>
      </c>
      <c r="K3" s="707" t="s">
        <v>2347</v>
      </c>
      <c r="L3" s="15" t="s">
        <v>1839</v>
      </c>
      <c r="M3" s="707" t="s">
        <v>2349</v>
      </c>
      <c r="N3" s="15" t="s">
        <v>1826</v>
      </c>
      <c r="O3" s="15" t="s">
        <v>1190</v>
      </c>
      <c r="P3" s="15" t="s">
        <v>541</v>
      </c>
      <c r="Q3" s="751" t="s">
        <v>1895</v>
      </c>
      <c r="R3" s="751" t="s">
        <v>1896</v>
      </c>
      <c r="S3" s="751" t="s">
        <v>1894</v>
      </c>
      <c r="X3" s="572"/>
      <c r="Y3" s="572" t="s">
        <v>1605</v>
      </c>
      <c r="Z3" s="570" t="s">
        <v>1604</v>
      </c>
      <c r="AA3" s="572"/>
      <c r="AB3" s="572" t="s">
        <v>1605</v>
      </c>
      <c r="AC3" s="570" t="s">
        <v>1604</v>
      </c>
    </row>
    <row r="4" spans="1:29" s="2" customFormat="1" ht="15.6" customHeight="1">
      <c r="A4" s="1980" t="s">
        <v>430</v>
      </c>
      <c r="B4" s="1980" t="s">
        <v>431</v>
      </c>
      <c r="C4" s="758">
        <v>1</v>
      </c>
      <c r="D4" s="20" t="s">
        <v>196</v>
      </c>
      <c r="E4" s="473"/>
      <c r="F4" s="97" t="s">
        <v>480</v>
      </c>
      <c r="G4" s="5" t="s">
        <v>283</v>
      </c>
      <c r="H4" s="200">
        <v>8</v>
      </c>
      <c r="I4" s="58"/>
      <c r="J4" s="68">
        <f>J5/J6</f>
        <v>0.75</v>
      </c>
      <c r="K4" s="68">
        <f>K5/K6</f>
        <v>0.75</v>
      </c>
      <c r="L4" s="290">
        <f t="shared" ref="L4:L18" si="0">IF(AND(J4=0,K4&lt;&gt;0),1,IF(AND(J4=0,K4=0),0,K4/J4-1))</f>
        <v>0</v>
      </c>
      <c r="M4" s="5" t="s">
        <v>283</v>
      </c>
      <c r="N4" s="5" t="s">
        <v>283</v>
      </c>
      <c r="O4" s="787" t="str">
        <f>"行业水平评分"</f>
        <v>行业水平评分</v>
      </c>
      <c r="P4" s="795">
        <f>H4</f>
        <v>8</v>
      </c>
      <c r="Q4" s="542">
        <f>P4*100%</f>
        <v>8</v>
      </c>
      <c r="R4" s="542">
        <f>Q4/9*2</f>
        <v>1.7777777777777777</v>
      </c>
      <c r="S4" s="542">
        <f>R4/2</f>
        <v>0.88888888888888884</v>
      </c>
      <c r="T4" s="78" t="b">
        <f t="shared" ref="T4:T18" si="1">J4=K4</f>
        <v>1</v>
      </c>
      <c r="U4" s="2" t="s">
        <v>196</v>
      </c>
      <c r="V4" s="2" t="b">
        <f t="shared" ref="V4:V18" si="2">U4=D4</f>
        <v>1</v>
      </c>
      <c r="W4" s="135"/>
      <c r="X4" s="572"/>
      <c r="Y4" s="570">
        <v>0.5</v>
      </c>
      <c r="Z4" s="570">
        <f>K4*H4</f>
        <v>6</v>
      </c>
      <c r="AA4" s="572"/>
      <c r="AB4" s="570">
        <v>0.5</v>
      </c>
      <c r="AC4" s="570">
        <f>J4*H4</f>
        <v>6</v>
      </c>
    </row>
    <row r="5" spans="1:29" s="2" customFormat="1" ht="15.6" customHeight="1">
      <c r="A5" s="1980"/>
      <c r="B5" s="1980"/>
      <c r="C5" s="759">
        <v>1.1000000000000001</v>
      </c>
      <c r="D5" s="281" t="s">
        <v>197</v>
      </c>
      <c r="E5" s="473" t="s">
        <v>258</v>
      </c>
      <c r="F5" s="100"/>
      <c r="G5" s="5"/>
      <c r="H5" s="54"/>
      <c r="I5" s="58" t="s">
        <v>262</v>
      </c>
      <c r="J5" s="1319">
        <v>3</v>
      </c>
      <c r="K5" s="57">
        <v>3</v>
      </c>
      <c r="L5" s="290">
        <f t="shared" si="0"/>
        <v>0</v>
      </c>
      <c r="M5" s="238"/>
      <c r="N5" s="58"/>
      <c r="O5" s="502">
        <f t="shared" ref="O5:O6" si="3">M5-N5</f>
        <v>0</v>
      </c>
      <c r="P5" s="795">
        <f>H5-N5</f>
        <v>0</v>
      </c>
      <c r="Q5" s="542">
        <f t="shared" ref="Q5:Q21" si="4">P5*100%</f>
        <v>0</v>
      </c>
      <c r="R5" s="542">
        <f t="shared" ref="R5:R21" si="5">Q5/9*2</f>
        <v>0</v>
      </c>
      <c r="S5" s="542">
        <f t="shared" ref="S5:S21" si="6">R5/2</f>
        <v>0</v>
      </c>
      <c r="T5" s="78" t="b">
        <f t="shared" si="1"/>
        <v>1</v>
      </c>
      <c r="U5" s="2" t="s">
        <v>197</v>
      </c>
      <c r="V5" s="2" t="b">
        <f t="shared" si="2"/>
        <v>1</v>
      </c>
      <c r="W5" s="135"/>
      <c r="X5" s="572"/>
      <c r="Y5" s="570"/>
      <c r="Z5" s="570"/>
      <c r="AA5" s="572"/>
      <c r="AB5" s="570"/>
      <c r="AC5" s="570"/>
    </row>
    <row r="6" spans="1:29" s="2" customFormat="1" ht="15.6" customHeight="1">
      <c r="A6" s="1980"/>
      <c r="B6" s="1980"/>
      <c r="C6" s="759">
        <v>1.2</v>
      </c>
      <c r="D6" s="17" t="s">
        <v>198</v>
      </c>
      <c r="E6" s="473" t="s">
        <v>258</v>
      </c>
      <c r="F6" s="99"/>
      <c r="G6" s="5"/>
      <c r="H6" s="54"/>
      <c r="I6" s="58" t="s">
        <v>262</v>
      </c>
      <c r="J6" s="1319">
        <v>4</v>
      </c>
      <c r="K6" s="57">
        <v>4</v>
      </c>
      <c r="L6" s="290">
        <f t="shared" si="0"/>
        <v>0</v>
      </c>
      <c r="M6" s="238"/>
      <c r="N6" s="58"/>
      <c r="O6" s="502">
        <f t="shared" si="3"/>
        <v>0</v>
      </c>
      <c r="P6" s="795">
        <f>H6-N6</f>
        <v>0</v>
      </c>
      <c r="Q6" s="542">
        <f t="shared" si="4"/>
        <v>0</v>
      </c>
      <c r="R6" s="542">
        <f t="shared" si="5"/>
        <v>0</v>
      </c>
      <c r="S6" s="542">
        <f t="shared" si="6"/>
        <v>0</v>
      </c>
      <c r="T6" s="78" t="b">
        <f t="shared" si="1"/>
        <v>1</v>
      </c>
      <c r="U6" s="2" t="s">
        <v>198</v>
      </c>
      <c r="V6" s="2" t="b">
        <f t="shared" si="2"/>
        <v>1</v>
      </c>
      <c r="W6" s="135"/>
      <c r="X6" s="572"/>
      <c r="Y6" s="570"/>
      <c r="Z6" s="570"/>
      <c r="AA6" s="572"/>
      <c r="AB6" s="570"/>
      <c r="AC6" s="570"/>
    </row>
    <row r="7" spans="1:29" s="2" customFormat="1" ht="15.6" customHeight="1">
      <c r="A7" s="749" t="s">
        <v>432</v>
      </c>
      <c r="B7" s="749" t="s">
        <v>433</v>
      </c>
      <c r="C7" s="758">
        <v>2</v>
      </c>
      <c r="D7" s="20" t="s">
        <v>199</v>
      </c>
      <c r="E7" s="473" t="s">
        <v>258</v>
      </c>
      <c r="F7" s="97" t="s">
        <v>480</v>
      </c>
      <c r="G7" s="5" t="s">
        <v>283</v>
      </c>
      <c r="H7" s="200">
        <v>9</v>
      </c>
      <c r="I7" s="58" t="s">
        <v>262</v>
      </c>
      <c r="J7" s="435">
        <v>6.61</v>
      </c>
      <c r="K7" s="435">
        <v>6.86</v>
      </c>
      <c r="L7" s="290">
        <f t="shared" si="0"/>
        <v>3.7821482602117928E-2</v>
      </c>
      <c r="M7" s="625" t="s">
        <v>279</v>
      </c>
      <c r="N7" s="625" t="s">
        <v>279</v>
      </c>
      <c r="O7" s="787" t="str">
        <f>"行业水平评分"</f>
        <v>行业水平评分</v>
      </c>
      <c r="P7" s="795">
        <f>H7</f>
        <v>9</v>
      </c>
      <c r="Q7" s="542">
        <f t="shared" si="4"/>
        <v>9</v>
      </c>
      <c r="R7" s="542">
        <f t="shared" si="5"/>
        <v>2</v>
      </c>
      <c r="S7" s="542">
        <f t="shared" si="6"/>
        <v>1</v>
      </c>
      <c r="T7" s="78" t="b">
        <f t="shared" si="1"/>
        <v>0</v>
      </c>
      <c r="U7" s="2" t="s">
        <v>199</v>
      </c>
      <c r="V7" s="2" t="b">
        <f t="shared" si="2"/>
        <v>1</v>
      </c>
      <c r="W7" s="135"/>
      <c r="X7" s="572"/>
      <c r="Y7" s="570">
        <v>0</v>
      </c>
      <c r="Z7" s="570">
        <v>0</v>
      </c>
      <c r="AA7" s="572"/>
      <c r="AB7" s="570">
        <v>0</v>
      </c>
      <c r="AC7" s="570">
        <v>0</v>
      </c>
    </row>
    <row r="8" spans="1:29" s="2" customFormat="1" ht="40.5">
      <c r="A8" s="748" t="s">
        <v>434</v>
      </c>
      <c r="B8" s="748" t="s">
        <v>435</v>
      </c>
      <c r="C8" s="758">
        <v>3</v>
      </c>
      <c r="D8" s="971" t="s">
        <v>2033</v>
      </c>
      <c r="E8" s="473" t="s">
        <v>258</v>
      </c>
      <c r="F8" s="106" t="s">
        <v>481</v>
      </c>
      <c r="G8" s="5" t="s">
        <v>284</v>
      </c>
      <c r="H8" s="200">
        <v>9</v>
      </c>
      <c r="I8" s="5" t="s">
        <v>728</v>
      </c>
      <c r="J8" s="1319">
        <v>1</v>
      </c>
      <c r="K8" s="57">
        <v>1</v>
      </c>
      <c r="L8" s="290">
        <f t="shared" si="0"/>
        <v>0</v>
      </c>
      <c r="M8" s="125">
        <f>IF(K8=0,9,IF(K8=1,5,IF(K8=2,1,0)))</f>
        <v>5</v>
      </c>
      <c r="N8" s="125">
        <f>IF(J8=0,9,IF(J8=1,5,IF(J8=2,1,0)))</f>
        <v>5</v>
      </c>
      <c r="O8" s="502">
        <f>M8-N8</f>
        <v>0</v>
      </c>
      <c r="P8" s="795">
        <f>H8-M8</f>
        <v>4</v>
      </c>
      <c r="Q8" s="542">
        <f t="shared" si="4"/>
        <v>4</v>
      </c>
      <c r="R8" s="542">
        <f t="shared" si="5"/>
        <v>0.88888888888888884</v>
      </c>
      <c r="S8" s="542">
        <f t="shared" si="6"/>
        <v>0.44444444444444442</v>
      </c>
      <c r="T8" s="78" t="b">
        <f t="shared" si="1"/>
        <v>1</v>
      </c>
      <c r="U8" s="2" t="s">
        <v>200</v>
      </c>
      <c r="V8" s="2" t="b">
        <f t="shared" si="2"/>
        <v>1</v>
      </c>
      <c r="W8" s="135"/>
      <c r="X8" s="572"/>
      <c r="Y8" s="570">
        <v>0</v>
      </c>
      <c r="Z8" s="570">
        <v>0</v>
      </c>
      <c r="AA8" s="572"/>
      <c r="AB8" s="570">
        <v>0</v>
      </c>
      <c r="AC8" s="570">
        <v>0</v>
      </c>
    </row>
    <row r="9" spans="1:29" s="2" customFormat="1" ht="15.6" customHeight="1">
      <c r="A9" s="1980" t="s">
        <v>436</v>
      </c>
      <c r="B9" s="1980" t="s">
        <v>437</v>
      </c>
      <c r="C9" s="758">
        <v>4</v>
      </c>
      <c r="D9" s="20" t="s">
        <v>246</v>
      </c>
      <c r="E9" s="473"/>
      <c r="F9" s="97" t="s">
        <v>480</v>
      </c>
      <c r="G9" s="5" t="s">
        <v>283</v>
      </c>
      <c r="H9" s="200">
        <v>9</v>
      </c>
      <c r="I9" s="5"/>
      <c r="J9" s="167">
        <f>J10/J11</f>
        <v>0.63636363636363635</v>
      </c>
      <c r="K9" s="167">
        <f>K10/K11</f>
        <v>0.52941176470588236</v>
      </c>
      <c r="L9" s="290">
        <f t="shared" si="0"/>
        <v>-0.16806722689075626</v>
      </c>
      <c r="M9" s="625" t="s">
        <v>279</v>
      </c>
      <c r="N9" s="625" t="s">
        <v>279</v>
      </c>
      <c r="O9" s="787" t="str">
        <f>"行业水平评分"</f>
        <v>行业水平评分</v>
      </c>
      <c r="P9" s="795">
        <f>H9</f>
        <v>9</v>
      </c>
      <c r="Q9" s="542">
        <f t="shared" si="4"/>
        <v>9</v>
      </c>
      <c r="R9" s="542">
        <f t="shared" si="5"/>
        <v>2</v>
      </c>
      <c r="S9" s="542">
        <f t="shared" si="6"/>
        <v>1</v>
      </c>
      <c r="T9" s="78" t="b">
        <f t="shared" si="1"/>
        <v>0</v>
      </c>
      <c r="U9" s="2" t="s">
        <v>559</v>
      </c>
      <c r="V9" s="2" t="b">
        <f t="shared" si="2"/>
        <v>1</v>
      </c>
      <c r="W9" s="135"/>
      <c r="X9" s="572"/>
      <c r="Y9" s="570">
        <v>0.5</v>
      </c>
      <c r="Z9" s="570">
        <f>H9*K9</f>
        <v>4.7647058823529411</v>
      </c>
      <c r="AA9" s="572"/>
      <c r="AB9" s="570">
        <v>0.5</v>
      </c>
      <c r="AC9" s="570">
        <f>H9*J9</f>
        <v>5.7272727272727275</v>
      </c>
    </row>
    <row r="10" spans="1:29" s="2" customFormat="1" ht="15.6" customHeight="1">
      <c r="A10" s="1980"/>
      <c r="B10" s="1980"/>
      <c r="C10" s="759">
        <v>4.0999999999999996</v>
      </c>
      <c r="D10" s="281" t="s">
        <v>201</v>
      </c>
      <c r="E10" s="473" t="s">
        <v>258</v>
      </c>
      <c r="F10" s="100"/>
      <c r="G10" s="5"/>
      <c r="H10" s="54"/>
      <c r="I10" s="5" t="s">
        <v>262</v>
      </c>
      <c r="J10" s="1319">
        <v>7</v>
      </c>
      <c r="K10" s="57">
        <v>9</v>
      </c>
      <c r="L10" s="290">
        <f t="shared" si="0"/>
        <v>0.28571428571428581</v>
      </c>
      <c r="M10" s="238"/>
      <c r="N10" s="58"/>
      <c r="O10" s="502">
        <f t="shared" ref="O10:O18" si="7">M10-N10</f>
        <v>0</v>
      </c>
      <c r="P10" s="795">
        <f>H10-N10</f>
        <v>0</v>
      </c>
      <c r="Q10" s="542">
        <f t="shared" si="4"/>
        <v>0</v>
      </c>
      <c r="R10" s="542">
        <f t="shared" si="5"/>
        <v>0</v>
      </c>
      <c r="S10" s="542">
        <f t="shared" si="6"/>
        <v>0</v>
      </c>
      <c r="T10" s="78" t="b">
        <f t="shared" si="1"/>
        <v>0</v>
      </c>
      <c r="U10" s="2" t="s">
        <v>201</v>
      </c>
      <c r="V10" s="2" t="b">
        <f t="shared" si="2"/>
        <v>1</v>
      </c>
      <c r="W10" s="135"/>
      <c r="X10" s="572"/>
      <c r="Y10" s="570"/>
      <c r="Z10" s="570"/>
      <c r="AA10" s="572"/>
      <c r="AB10" s="570"/>
      <c r="AC10" s="570"/>
    </row>
    <row r="11" spans="1:29" s="2" customFormat="1" ht="15.6" customHeight="1">
      <c r="A11" s="1980"/>
      <c r="B11" s="1980"/>
      <c r="C11" s="759">
        <v>4.2</v>
      </c>
      <c r="D11" s="17" t="s">
        <v>202</v>
      </c>
      <c r="E11" s="473" t="s">
        <v>258</v>
      </c>
      <c r="F11" s="99"/>
      <c r="G11" s="5"/>
      <c r="H11" s="54"/>
      <c r="I11" s="5" t="s">
        <v>262</v>
      </c>
      <c r="J11" s="1319">
        <v>11</v>
      </c>
      <c r="K11" s="57">
        <v>17</v>
      </c>
      <c r="L11" s="290">
        <f t="shared" si="0"/>
        <v>0.54545454545454541</v>
      </c>
      <c r="M11" s="238"/>
      <c r="N11" s="58"/>
      <c r="O11" s="502">
        <f t="shared" si="7"/>
        <v>0</v>
      </c>
      <c r="P11" s="795">
        <f>H11-N11</f>
        <v>0</v>
      </c>
      <c r="Q11" s="542">
        <f t="shared" si="4"/>
        <v>0</v>
      </c>
      <c r="R11" s="542">
        <f t="shared" si="5"/>
        <v>0</v>
      </c>
      <c r="S11" s="542">
        <f t="shared" si="6"/>
        <v>0</v>
      </c>
      <c r="T11" s="78" t="b">
        <f t="shared" si="1"/>
        <v>0</v>
      </c>
      <c r="U11" s="2" t="s">
        <v>202</v>
      </c>
      <c r="V11" s="2" t="b">
        <f t="shared" si="2"/>
        <v>1</v>
      </c>
      <c r="W11" s="135"/>
      <c r="X11" s="572"/>
      <c r="Y11" s="570"/>
      <c r="Z11" s="570"/>
      <c r="AA11" s="572"/>
      <c r="AB11" s="570"/>
      <c r="AC11" s="570"/>
    </row>
    <row r="12" spans="1:29" s="2" customFormat="1" ht="15.6" customHeight="1">
      <c r="A12" s="749" t="s">
        <v>438</v>
      </c>
      <c r="B12" s="749" t="s">
        <v>439</v>
      </c>
      <c r="C12" s="758">
        <v>5</v>
      </c>
      <c r="D12" s="20" t="s">
        <v>203</v>
      </c>
      <c r="E12" s="473" t="s">
        <v>258</v>
      </c>
      <c r="F12" s="98" t="s">
        <v>482</v>
      </c>
      <c r="G12" s="5" t="s">
        <v>282</v>
      </c>
      <c r="H12" s="200">
        <v>8</v>
      </c>
      <c r="I12" s="5" t="s">
        <v>263</v>
      </c>
      <c r="J12" s="1319">
        <v>0</v>
      </c>
      <c r="K12" s="57">
        <v>0</v>
      </c>
      <c r="L12" s="290">
        <f t="shared" si="0"/>
        <v>0</v>
      </c>
      <c r="M12" s="1322">
        <f>MAX(H12-K12*2,0)</f>
        <v>8</v>
      </c>
      <c r="N12" s="1322">
        <f>MAX(M12-J12*2,0)</f>
        <v>8</v>
      </c>
      <c r="O12" s="502">
        <f t="shared" si="7"/>
        <v>0</v>
      </c>
      <c r="P12" s="795">
        <f>H12-N12</f>
        <v>0</v>
      </c>
      <c r="Q12" s="542">
        <f t="shared" si="4"/>
        <v>0</v>
      </c>
      <c r="R12" s="542">
        <f t="shared" si="5"/>
        <v>0</v>
      </c>
      <c r="S12" s="542">
        <f t="shared" si="6"/>
        <v>0</v>
      </c>
      <c r="T12" s="78" t="b">
        <f t="shared" si="1"/>
        <v>1</v>
      </c>
      <c r="U12" s="2" t="s">
        <v>203</v>
      </c>
      <c r="V12" s="2" t="b">
        <f t="shared" si="2"/>
        <v>1</v>
      </c>
      <c r="W12" s="135"/>
      <c r="X12" s="572"/>
      <c r="Y12" s="570">
        <v>1</v>
      </c>
      <c r="Z12" s="570">
        <f>M12</f>
        <v>8</v>
      </c>
      <c r="AA12" s="572"/>
      <c r="AB12" s="570">
        <v>1</v>
      </c>
      <c r="AC12" s="570">
        <f>N12</f>
        <v>8</v>
      </c>
    </row>
    <row r="13" spans="1:29" s="2" customFormat="1" ht="15.6" customHeight="1">
      <c r="A13" s="749" t="s">
        <v>440</v>
      </c>
      <c r="B13" s="749" t="s">
        <v>512</v>
      </c>
      <c r="C13" s="758">
        <v>6</v>
      </c>
      <c r="D13" s="20" t="s">
        <v>2034</v>
      </c>
      <c r="E13" s="473" t="s">
        <v>258</v>
      </c>
      <c r="F13" s="98" t="s">
        <v>482</v>
      </c>
      <c r="G13" s="5" t="s">
        <v>282</v>
      </c>
      <c r="H13" s="200">
        <v>8</v>
      </c>
      <c r="I13" s="5" t="s">
        <v>263</v>
      </c>
      <c r="J13" s="1319">
        <v>0</v>
      </c>
      <c r="K13" s="57">
        <v>0</v>
      </c>
      <c r="L13" s="290">
        <f t="shared" si="0"/>
        <v>0</v>
      </c>
      <c r="M13" s="1322">
        <f>8-K13*2</f>
        <v>8</v>
      </c>
      <c r="N13" s="1322">
        <f>8-J13*2</f>
        <v>8</v>
      </c>
      <c r="O13" s="502">
        <f t="shared" si="7"/>
        <v>0</v>
      </c>
      <c r="P13" s="795">
        <f>H13-M13</f>
        <v>0</v>
      </c>
      <c r="Q13" s="542">
        <f t="shared" si="4"/>
        <v>0</v>
      </c>
      <c r="R13" s="542">
        <f t="shared" si="5"/>
        <v>0</v>
      </c>
      <c r="S13" s="542">
        <f t="shared" si="6"/>
        <v>0</v>
      </c>
      <c r="T13" s="78" t="b">
        <f t="shared" si="1"/>
        <v>1</v>
      </c>
      <c r="U13" s="139" t="s">
        <v>560</v>
      </c>
      <c r="V13" s="2" t="b">
        <f t="shared" si="2"/>
        <v>1</v>
      </c>
      <c r="W13" s="135"/>
      <c r="X13" s="572"/>
      <c r="Y13" s="570">
        <v>1</v>
      </c>
      <c r="Z13" s="570">
        <f t="shared" ref="Z13:Z18" si="8">M13</f>
        <v>8</v>
      </c>
      <c r="AA13" s="572"/>
      <c r="AB13" s="570">
        <v>1</v>
      </c>
      <c r="AC13" s="570">
        <f t="shared" ref="AC13:AC18" si="9">N13</f>
        <v>8</v>
      </c>
    </row>
    <row r="14" spans="1:29" s="2" customFormat="1" ht="15.6" customHeight="1">
      <c r="A14" s="749" t="s">
        <v>441</v>
      </c>
      <c r="B14" s="749" t="s">
        <v>513</v>
      </c>
      <c r="C14" s="758">
        <v>7</v>
      </c>
      <c r="D14" s="20" t="s">
        <v>561</v>
      </c>
      <c r="E14" s="473" t="s">
        <v>258</v>
      </c>
      <c r="F14" s="98" t="s">
        <v>482</v>
      </c>
      <c r="G14" s="5" t="s">
        <v>282</v>
      </c>
      <c r="H14" s="200">
        <v>10</v>
      </c>
      <c r="I14" s="5" t="s">
        <v>264</v>
      </c>
      <c r="J14" s="1319">
        <v>0</v>
      </c>
      <c r="K14" s="57">
        <v>0</v>
      </c>
      <c r="L14" s="290">
        <f t="shared" si="0"/>
        <v>0</v>
      </c>
      <c r="M14" s="1322">
        <f>MAX(H14-K14*3,0)</f>
        <v>10</v>
      </c>
      <c r="N14" s="1322">
        <f>MAX(M14-J14*3,0)</f>
        <v>10</v>
      </c>
      <c r="O14" s="502">
        <f t="shared" si="7"/>
        <v>0</v>
      </c>
      <c r="P14" s="795">
        <f>H14-N14</f>
        <v>0</v>
      </c>
      <c r="Q14" s="542">
        <f t="shared" si="4"/>
        <v>0</v>
      </c>
      <c r="R14" s="542">
        <f t="shared" si="5"/>
        <v>0</v>
      </c>
      <c r="S14" s="542">
        <f t="shared" si="6"/>
        <v>0</v>
      </c>
      <c r="T14" s="78" t="b">
        <f t="shared" si="1"/>
        <v>1</v>
      </c>
      <c r="U14" s="139" t="s">
        <v>561</v>
      </c>
      <c r="V14" s="2" t="b">
        <f t="shared" si="2"/>
        <v>1</v>
      </c>
      <c r="W14" s="135"/>
      <c r="X14" s="572"/>
      <c r="Y14" s="570">
        <v>1</v>
      </c>
      <c r="Z14" s="570">
        <f t="shared" si="8"/>
        <v>10</v>
      </c>
      <c r="AA14" s="572"/>
      <c r="AB14" s="570">
        <v>1</v>
      </c>
      <c r="AC14" s="570">
        <f t="shared" si="9"/>
        <v>10</v>
      </c>
    </row>
    <row r="15" spans="1:29" s="2" customFormat="1" ht="15.6" customHeight="1">
      <c r="A15" s="749" t="s">
        <v>442</v>
      </c>
      <c r="B15" s="749" t="s">
        <v>513</v>
      </c>
      <c r="C15" s="758">
        <v>8</v>
      </c>
      <c r="D15" s="20" t="s">
        <v>562</v>
      </c>
      <c r="E15" s="473" t="s">
        <v>258</v>
      </c>
      <c r="F15" s="98" t="s">
        <v>482</v>
      </c>
      <c r="G15" s="5" t="s">
        <v>282</v>
      </c>
      <c r="H15" s="200">
        <v>10</v>
      </c>
      <c r="I15" s="5" t="s">
        <v>265</v>
      </c>
      <c r="J15" s="1319">
        <v>0</v>
      </c>
      <c r="K15" s="57">
        <v>0</v>
      </c>
      <c r="L15" s="290">
        <f t="shared" si="0"/>
        <v>0</v>
      </c>
      <c r="M15" s="1322">
        <f>MAX(H15-K15*3,0)</f>
        <v>10</v>
      </c>
      <c r="N15" s="1322">
        <f>MAX(M15-J15*3,0)</f>
        <v>10</v>
      </c>
      <c r="O15" s="502">
        <f t="shared" si="7"/>
        <v>0</v>
      </c>
      <c r="P15" s="795">
        <f>H15-N15</f>
        <v>0</v>
      </c>
      <c r="Q15" s="542">
        <f t="shared" si="4"/>
        <v>0</v>
      </c>
      <c r="R15" s="542">
        <f t="shared" si="5"/>
        <v>0</v>
      </c>
      <c r="S15" s="542">
        <f t="shared" si="6"/>
        <v>0</v>
      </c>
      <c r="T15" s="78" t="b">
        <f t="shared" si="1"/>
        <v>1</v>
      </c>
      <c r="U15" s="139" t="s">
        <v>562</v>
      </c>
      <c r="V15" s="2" t="b">
        <f t="shared" si="2"/>
        <v>1</v>
      </c>
      <c r="W15" s="135"/>
      <c r="X15" s="572"/>
      <c r="Y15" s="570">
        <v>1</v>
      </c>
      <c r="Z15" s="570">
        <f t="shared" si="8"/>
        <v>10</v>
      </c>
      <c r="AA15" s="572"/>
      <c r="AB15" s="570">
        <v>1</v>
      </c>
      <c r="AC15" s="570">
        <f t="shared" si="9"/>
        <v>10</v>
      </c>
    </row>
    <row r="16" spans="1:29" s="2" customFormat="1" ht="15.6" customHeight="1">
      <c r="A16" s="749" t="s">
        <v>443</v>
      </c>
      <c r="B16" s="749" t="s">
        <v>513</v>
      </c>
      <c r="C16" s="758">
        <v>9</v>
      </c>
      <c r="D16" s="20" t="s">
        <v>563</v>
      </c>
      <c r="E16" s="473" t="s">
        <v>258</v>
      </c>
      <c r="F16" s="98" t="s">
        <v>482</v>
      </c>
      <c r="G16" s="5" t="s">
        <v>282</v>
      </c>
      <c r="H16" s="200">
        <v>9</v>
      </c>
      <c r="I16" s="5" t="s">
        <v>266</v>
      </c>
      <c r="J16" s="1319">
        <v>0</v>
      </c>
      <c r="K16" s="57">
        <v>0</v>
      </c>
      <c r="L16" s="290">
        <f t="shared" si="0"/>
        <v>0</v>
      </c>
      <c r="M16" s="457">
        <f>MAX(H16-K16*3,0)</f>
        <v>9</v>
      </c>
      <c r="N16" s="457">
        <f>MAX(M16-J16*3,0)</f>
        <v>9</v>
      </c>
      <c r="O16" s="502">
        <f t="shared" si="7"/>
        <v>0</v>
      </c>
      <c r="P16" s="795">
        <f>H16-N16</f>
        <v>0</v>
      </c>
      <c r="Q16" s="542">
        <f t="shared" si="4"/>
        <v>0</v>
      </c>
      <c r="R16" s="542">
        <f t="shared" si="5"/>
        <v>0</v>
      </c>
      <c r="S16" s="542">
        <f t="shared" si="6"/>
        <v>0</v>
      </c>
      <c r="T16" s="78" t="b">
        <f t="shared" si="1"/>
        <v>1</v>
      </c>
      <c r="U16" s="139" t="s">
        <v>563</v>
      </c>
      <c r="V16" s="2" t="b">
        <f t="shared" si="2"/>
        <v>1</v>
      </c>
      <c r="W16" s="135"/>
      <c r="X16" s="572"/>
      <c r="Y16" s="570">
        <v>1</v>
      </c>
      <c r="Z16" s="570">
        <f t="shared" si="8"/>
        <v>9</v>
      </c>
      <c r="AA16" s="572"/>
      <c r="AB16" s="570">
        <v>1</v>
      </c>
      <c r="AC16" s="570">
        <f t="shared" si="9"/>
        <v>9</v>
      </c>
    </row>
    <row r="17" spans="1:29" s="2" customFormat="1" ht="15.6" customHeight="1">
      <c r="A17" s="749" t="s">
        <v>444</v>
      </c>
      <c r="B17" s="749" t="s">
        <v>439</v>
      </c>
      <c r="C17" s="758">
        <v>10</v>
      </c>
      <c r="D17" s="20" t="s">
        <v>204</v>
      </c>
      <c r="E17" s="473" t="s">
        <v>258</v>
      </c>
      <c r="F17" s="98" t="s">
        <v>482</v>
      </c>
      <c r="G17" s="5" t="s">
        <v>282</v>
      </c>
      <c r="H17" s="200">
        <v>10</v>
      </c>
      <c r="I17" s="5" t="s">
        <v>265</v>
      </c>
      <c r="J17" s="1319">
        <v>0</v>
      </c>
      <c r="K17" s="57">
        <v>0</v>
      </c>
      <c r="L17" s="290">
        <f t="shared" si="0"/>
        <v>0</v>
      </c>
      <c r="M17" s="457">
        <f>MAX(H17-K17*2,0)</f>
        <v>10</v>
      </c>
      <c r="N17" s="457">
        <f>MAX(M17-J17*2,0)</f>
        <v>10</v>
      </c>
      <c r="O17" s="502">
        <f t="shared" si="7"/>
        <v>0</v>
      </c>
      <c r="P17" s="795">
        <f>H17-N17</f>
        <v>0</v>
      </c>
      <c r="Q17" s="542">
        <f t="shared" si="4"/>
        <v>0</v>
      </c>
      <c r="R17" s="542">
        <f t="shared" si="5"/>
        <v>0</v>
      </c>
      <c r="S17" s="542">
        <f t="shared" si="6"/>
        <v>0</v>
      </c>
      <c r="T17" s="78" t="b">
        <f t="shared" si="1"/>
        <v>1</v>
      </c>
      <c r="U17" s="2" t="s">
        <v>204</v>
      </c>
      <c r="V17" s="2" t="b">
        <f t="shared" si="2"/>
        <v>1</v>
      </c>
      <c r="W17" s="135"/>
      <c r="X17" s="572"/>
      <c r="Y17" s="570">
        <v>1</v>
      </c>
      <c r="Z17" s="570">
        <f t="shared" si="8"/>
        <v>10</v>
      </c>
      <c r="AA17" s="572"/>
      <c r="AB17" s="570">
        <v>1</v>
      </c>
      <c r="AC17" s="570">
        <f t="shared" si="9"/>
        <v>10</v>
      </c>
    </row>
    <row r="18" spans="1:29" s="2" customFormat="1" ht="15.6" customHeight="1" thickBot="1">
      <c r="A18" s="749" t="s">
        <v>445</v>
      </c>
      <c r="B18" s="749" t="s">
        <v>439</v>
      </c>
      <c r="C18" s="761">
        <v>11</v>
      </c>
      <c r="D18" s="60" t="s">
        <v>564</v>
      </c>
      <c r="E18" s="474" t="s">
        <v>258</v>
      </c>
      <c r="F18" s="97" t="s">
        <v>482</v>
      </c>
      <c r="G18" s="56" t="s">
        <v>282</v>
      </c>
      <c r="H18" s="201">
        <v>10</v>
      </c>
      <c r="I18" s="56"/>
      <c r="J18" s="912">
        <v>0</v>
      </c>
      <c r="K18" s="912">
        <v>0</v>
      </c>
      <c r="L18" s="754">
        <f t="shared" si="0"/>
        <v>0</v>
      </c>
      <c r="M18" s="823">
        <f>MAX(H18-K18*2,0)</f>
        <v>10</v>
      </c>
      <c r="N18" s="823">
        <f>MAX(M18-J18*2,0)</f>
        <v>10</v>
      </c>
      <c r="O18" s="880">
        <f t="shared" si="7"/>
        <v>0</v>
      </c>
      <c r="P18" s="913">
        <f>H18-N18</f>
        <v>0</v>
      </c>
      <c r="Q18" s="755">
        <f t="shared" si="4"/>
        <v>0</v>
      </c>
      <c r="R18" s="755">
        <f t="shared" si="5"/>
        <v>0</v>
      </c>
      <c r="S18" s="755">
        <f t="shared" si="6"/>
        <v>0</v>
      </c>
      <c r="T18" s="78" t="b">
        <f t="shared" si="1"/>
        <v>1</v>
      </c>
      <c r="U18" s="2" t="s">
        <v>564</v>
      </c>
      <c r="V18" s="2" t="b">
        <f t="shared" si="2"/>
        <v>1</v>
      </c>
      <c r="W18" s="135"/>
      <c r="X18" s="572"/>
      <c r="Y18" s="570">
        <v>1</v>
      </c>
      <c r="Z18" s="570">
        <f t="shared" si="8"/>
        <v>10</v>
      </c>
      <c r="AA18" s="572"/>
      <c r="AB18" s="570">
        <v>1</v>
      </c>
      <c r="AC18" s="570">
        <f t="shared" si="9"/>
        <v>10</v>
      </c>
    </row>
    <row r="19" spans="1:29" s="4" customFormat="1" ht="15.6" customHeight="1">
      <c r="A19" s="12"/>
      <c r="B19" s="12"/>
      <c r="C19" s="758"/>
      <c r="D19" s="914" t="s">
        <v>277</v>
      </c>
      <c r="E19" s="915"/>
      <c r="F19" s="916"/>
      <c r="G19" s="917"/>
      <c r="H19" s="918">
        <v>100</v>
      </c>
      <c r="I19" s="917"/>
      <c r="J19" s="919"/>
      <c r="K19" s="919"/>
      <c r="L19" s="919"/>
      <c r="M19" s="920">
        <f>SUBTOTAL(9,M4:M18)</f>
        <v>70</v>
      </c>
      <c r="N19" s="920">
        <f>SUBTOTAL(9,N4:N18)</f>
        <v>70</v>
      </c>
      <c r="O19" s="921">
        <f>M19-N19</f>
        <v>0</v>
      </c>
      <c r="P19" s="922">
        <f>H19-M19</f>
        <v>30</v>
      </c>
      <c r="Q19" s="923">
        <f t="shared" si="4"/>
        <v>30</v>
      </c>
      <c r="R19" s="923">
        <f t="shared" si="5"/>
        <v>6.666666666666667</v>
      </c>
      <c r="S19" s="923">
        <f t="shared" si="6"/>
        <v>3.3333333333333335</v>
      </c>
      <c r="T19" s="924"/>
      <c r="X19" s="720"/>
      <c r="Y19" s="720"/>
      <c r="Z19" s="739"/>
      <c r="AA19" s="720"/>
      <c r="AB19" s="720"/>
      <c r="AC19" s="739"/>
    </row>
    <row r="20" spans="1:29" s="2" customFormat="1" ht="14.25">
      <c r="C20" s="7"/>
      <c r="D20" s="925" t="s">
        <v>281</v>
      </c>
      <c r="E20" s="89"/>
      <c r="F20" s="541"/>
      <c r="G20" s="89"/>
      <c r="H20" s="819">
        <f>H8+SUM(H12:H18)</f>
        <v>74</v>
      </c>
      <c r="I20" s="89"/>
      <c r="J20" s="540"/>
      <c r="K20" s="540"/>
      <c r="L20" s="540"/>
      <c r="M20" s="797">
        <f>M19-M22</f>
        <v>70</v>
      </c>
      <c r="N20" s="797">
        <f>N19-N22</f>
        <v>70</v>
      </c>
      <c r="O20" s="257"/>
      <c r="P20" s="794">
        <f>P8+SUM(P12:P18)</f>
        <v>4</v>
      </c>
      <c r="Q20" s="838">
        <f t="shared" si="4"/>
        <v>4</v>
      </c>
      <c r="R20" s="838">
        <f t="shared" si="5"/>
        <v>0.88888888888888884</v>
      </c>
      <c r="S20" s="838">
        <f t="shared" si="6"/>
        <v>0.44444444444444442</v>
      </c>
      <c r="T20" s="926" t="s">
        <v>1850</v>
      </c>
      <c r="X20" s="572"/>
      <c r="Y20" s="572"/>
      <c r="Z20" s="570"/>
      <c r="AA20" s="572"/>
      <c r="AB20" s="572"/>
      <c r="AC20" s="570"/>
    </row>
    <row r="21" spans="1:29" s="2" customFormat="1" ht="14.25">
      <c r="C21" s="7"/>
      <c r="D21" s="925" t="s">
        <v>1849</v>
      </c>
      <c r="E21" s="89"/>
      <c r="F21" s="541"/>
      <c r="G21" s="89"/>
      <c r="H21" s="819">
        <v>26</v>
      </c>
      <c r="I21" s="89"/>
      <c r="J21" s="540"/>
      <c r="K21" s="540"/>
      <c r="L21" s="540"/>
      <c r="M21" s="704">
        <f>M22</f>
        <v>0</v>
      </c>
      <c r="N21" s="704">
        <f>N22</f>
        <v>0</v>
      </c>
      <c r="O21" s="257"/>
      <c r="P21" s="794">
        <f>P4+P7+P9</f>
        <v>26</v>
      </c>
      <c r="Q21" s="838">
        <f t="shared" si="4"/>
        <v>26</v>
      </c>
      <c r="R21" s="838">
        <f t="shared" si="5"/>
        <v>5.7777777777777777</v>
      </c>
      <c r="S21" s="838">
        <f t="shared" si="6"/>
        <v>2.8888888888888888</v>
      </c>
      <c r="T21" s="926" t="s">
        <v>1851</v>
      </c>
      <c r="X21" s="572"/>
      <c r="Y21" s="572"/>
      <c r="Z21" s="570"/>
      <c r="AA21" s="572"/>
      <c r="AB21" s="572"/>
      <c r="AC21" s="570"/>
    </row>
    <row r="22" spans="1:29" s="2" customFormat="1" ht="14.25">
      <c r="C22" s="7"/>
      <c r="D22" s="925" t="s">
        <v>537</v>
      </c>
      <c r="E22" s="89"/>
      <c r="F22" s="541"/>
      <c r="G22" s="89"/>
      <c r="H22" s="89"/>
      <c r="I22" s="89"/>
      <c r="J22" s="540"/>
      <c r="K22" s="540"/>
      <c r="L22" s="540"/>
      <c r="M22" s="704">
        <v>0</v>
      </c>
      <c r="N22" s="704">
        <v>0</v>
      </c>
      <c r="O22" s="257"/>
      <c r="P22" s="89"/>
      <c r="Q22" s="89"/>
      <c r="R22" s="89"/>
      <c r="S22" s="89"/>
      <c r="T22" s="927"/>
      <c r="X22" s="572"/>
      <c r="Y22" s="572"/>
      <c r="Z22" s="570"/>
      <c r="AA22" s="572"/>
      <c r="AB22" s="572"/>
      <c r="AC22" s="570"/>
    </row>
    <row r="23" spans="1:29" s="2" customFormat="1" ht="14.25">
      <c r="C23" s="7"/>
      <c r="D23" s="925" t="s">
        <v>539</v>
      </c>
      <c r="E23" s="89"/>
      <c r="F23" s="541"/>
      <c r="G23" s="89"/>
      <c r="H23" s="89"/>
      <c r="I23" s="89"/>
      <c r="J23" s="540"/>
      <c r="K23" s="540"/>
      <c r="L23" s="540"/>
      <c r="M23" s="704">
        <f>26-M22</f>
        <v>26</v>
      </c>
      <c r="N23" s="704">
        <f>26-N22</f>
        <v>26</v>
      </c>
      <c r="O23" s="257"/>
      <c r="P23" s="89"/>
      <c r="Q23" s="89"/>
      <c r="R23" s="89"/>
      <c r="S23" s="89"/>
      <c r="T23" s="927"/>
      <c r="X23" s="572"/>
      <c r="Y23" s="572"/>
      <c r="Z23" s="570"/>
      <c r="AA23" s="572"/>
      <c r="AB23" s="572"/>
      <c r="AC23" s="570"/>
    </row>
    <row r="24" spans="1:29" s="2" customFormat="1" ht="15" thickBot="1">
      <c r="C24" s="7"/>
      <c r="D24" s="928" t="s">
        <v>540</v>
      </c>
      <c r="E24" s="905"/>
      <c r="F24" s="906"/>
      <c r="G24" s="905"/>
      <c r="H24" s="905"/>
      <c r="I24" s="905"/>
      <c r="J24" s="929"/>
      <c r="K24" s="929"/>
      <c r="L24" s="929"/>
      <c r="M24" s="930">
        <f>100-SUM(M20:M21)</f>
        <v>30</v>
      </c>
      <c r="N24" s="930">
        <f>100-SUM(N20:N21)</f>
        <v>30</v>
      </c>
      <c r="O24" s="931"/>
      <c r="P24" s="905"/>
      <c r="Q24" s="905"/>
      <c r="R24" s="905"/>
      <c r="S24" s="905"/>
      <c r="T24" s="932"/>
      <c r="X24" s="572"/>
      <c r="Y24" s="572"/>
      <c r="Z24" s="570"/>
      <c r="AA24" s="572"/>
      <c r="AB24" s="572"/>
      <c r="AC24" s="570"/>
    </row>
    <row r="25" spans="1:29" s="2" customFormat="1" ht="14.25">
      <c r="C25" s="7"/>
      <c r="F25" s="83"/>
      <c r="J25" s="26"/>
      <c r="K25" s="26"/>
      <c r="L25" s="26"/>
      <c r="M25" s="18"/>
      <c r="N25" s="18"/>
      <c r="O25" s="18"/>
      <c r="X25" s="572"/>
      <c r="Y25" s="572"/>
      <c r="Z25" s="570"/>
      <c r="AA25" s="572"/>
      <c r="AB25" s="572"/>
      <c r="AC25" s="570"/>
    </row>
    <row r="26" spans="1:29" s="2" customFormat="1" ht="14.25">
      <c r="C26" s="7"/>
      <c r="F26" s="83"/>
      <c r="J26" s="26"/>
      <c r="K26" s="26"/>
      <c r="L26" s="26"/>
      <c r="O26" s="18"/>
      <c r="X26" s="572" t="s">
        <v>577</v>
      </c>
      <c r="Y26" s="572"/>
      <c r="Z26" s="570">
        <f>SUMPRODUCT(Y4:Y18,Z4:Z18)</f>
        <v>70.382352941176464</v>
      </c>
      <c r="AA26" s="572"/>
      <c r="AB26" s="572"/>
      <c r="AC26" s="570">
        <f>SUMPRODUCT(AB4:AB18,AC4:AC18)</f>
        <v>70.86363636363636</v>
      </c>
    </row>
    <row r="27" spans="1:29" s="2" customFormat="1" ht="14.25">
      <c r="C27" s="7"/>
      <c r="F27" s="83"/>
      <c r="J27" s="26"/>
      <c r="K27" s="26"/>
      <c r="L27" s="26"/>
      <c r="O27" s="18"/>
      <c r="X27" s="572" t="s">
        <v>1440</v>
      </c>
      <c r="Y27" s="572"/>
      <c r="Z27" s="570">
        <f>SUMPRODUCT(Y4:Y18,H4:H18)</f>
        <v>73.5</v>
      </c>
      <c r="AA27" s="572"/>
      <c r="AB27" s="572"/>
      <c r="AC27" s="570">
        <f>SUMPRODUCT(AB4:AB18,H4:H18)</f>
        <v>73.5</v>
      </c>
    </row>
    <row r="28" spans="1:29" s="2" customFormat="1" ht="14.25">
      <c r="C28" s="7"/>
      <c r="F28" s="83"/>
      <c r="J28" s="26"/>
      <c r="K28" s="26"/>
      <c r="L28" s="26"/>
      <c r="O28" s="18"/>
      <c r="X28" s="572"/>
      <c r="Y28" s="572"/>
      <c r="Z28" s="570"/>
      <c r="AA28" s="572"/>
      <c r="AB28" s="572"/>
      <c r="AC28" s="570"/>
    </row>
    <row r="29" spans="1:29" s="2" customFormat="1" ht="14.25">
      <c r="C29" s="7"/>
      <c r="F29" s="83"/>
      <c r="J29" s="26"/>
      <c r="K29" s="26"/>
      <c r="L29" s="26"/>
      <c r="O29" s="18"/>
      <c r="X29" s="572"/>
      <c r="Y29" s="572"/>
      <c r="Z29" s="570"/>
      <c r="AA29" s="572"/>
      <c r="AB29" s="572"/>
      <c r="AC29" s="571">
        <f>AC26/AC27*100</f>
        <v>96.41311069882498</v>
      </c>
    </row>
    <row r="30" spans="1:29" s="2" customFormat="1" ht="14.25">
      <c r="C30" s="7"/>
      <c r="D30" s="843" t="s">
        <v>1897</v>
      </c>
      <c r="F30" s="83"/>
      <c r="J30" s="26"/>
      <c r="K30" s="26"/>
      <c r="L30" s="26"/>
      <c r="O30" s="18"/>
      <c r="X30" s="572"/>
      <c r="Y30" s="572"/>
      <c r="Z30" s="570"/>
      <c r="AA30" s="572"/>
      <c r="AB30" s="572"/>
      <c r="AC30" s="570"/>
    </row>
    <row r="31" spans="1:29" s="2" customFormat="1" ht="14.25">
      <c r="C31" s="7"/>
      <c r="D31" s="876" t="s">
        <v>1944</v>
      </c>
      <c r="F31" s="83"/>
      <c r="J31" s="26"/>
      <c r="K31" s="26"/>
      <c r="L31" s="26"/>
      <c r="O31" s="18"/>
      <c r="X31" s="572"/>
      <c r="Y31" s="572"/>
      <c r="Z31" s="570"/>
      <c r="AA31" s="572"/>
      <c r="AB31" s="572"/>
      <c r="AC31" s="570"/>
    </row>
    <row r="32" spans="1:29" s="2" customFormat="1" ht="14.25">
      <c r="C32" s="7"/>
      <c r="F32" s="83"/>
      <c r="J32" s="26"/>
      <c r="K32" s="26"/>
      <c r="L32" s="26"/>
      <c r="O32" s="18"/>
      <c r="X32" s="572"/>
      <c r="Y32" s="572"/>
      <c r="Z32" s="570"/>
      <c r="AA32" s="572"/>
      <c r="AB32" s="572"/>
      <c r="AC32" s="570"/>
    </row>
    <row r="33" spans="3:29" s="2" customFormat="1" ht="14.25">
      <c r="C33" s="7"/>
      <c r="F33" s="83"/>
      <c r="J33" s="26"/>
      <c r="K33" s="26"/>
      <c r="L33" s="26"/>
      <c r="O33" s="18"/>
      <c r="X33" s="572"/>
      <c r="Y33" s="572"/>
      <c r="Z33" s="570"/>
      <c r="AA33" s="572"/>
      <c r="AB33" s="572"/>
      <c r="AC33" s="570"/>
    </row>
    <row r="34" spans="3:29" s="2" customFormat="1" ht="14.25">
      <c r="C34" s="7"/>
      <c r="F34" s="83"/>
      <c r="J34" s="26"/>
      <c r="K34" s="26"/>
      <c r="L34" s="26"/>
      <c r="O34" s="18"/>
      <c r="X34" s="572"/>
      <c r="Y34" s="572"/>
      <c r="Z34" s="570"/>
      <c r="AA34" s="572"/>
      <c r="AB34" s="572"/>
      <c r="AC34" s="570"/>
    </row>
    <row r="35" spans="3:29" s="2" customFormat="1" ht="14.25">
      <c r="C35" s="7"/>
      <c r="F35" s="83"/>
      <c r="J35" s="26"/>
      <c r="K35" s="26"/>
      <c r="L35" s="26"/>
      <c r="O35" s="18"/>
      <c r="X35" s="572"/>
      <c r="Y35" s="572"/>
      <c r="Z35" s="570"/>
      <c r="AA35" s="572"/>
      <c r="AB35" s="572"/>
      <c r="AC35" s="570"/>
    </row>
    <row r="36" spans="3:29" s="2" customFormat="1" ht="14.25">
      <c r="C36" s="7"/>
      <c r="F36" s="83"/>
      <c r="J36" s="26"/>
      <c r="K36" s="26"/>
      <c r="L36" s="26"/>
      <c r="O36" s="18"/>
      <c r="X36" s="572"/>
      <c r="Y36" s="572"/>
      <c r="Z36" s="570"/>
      <c r="AA36" s="572"/>
      <c r="AB36" s="572"/>
      <c r="AC36" s="570"/>
    </row>
    <row r="37" spans="3:29" s="2" customFormat="1" ht="14.25">
      <c r="C37" s="7"/>
      <c r="F37" s="83"/>
      <c r="J37" s="26"/>
      <c r="K37" s="26"/>
      <c r="L37" s="26"/>
      <c r="O37" s="18"/>
      <c r="X37" s="572"/>
      <c r="Y37" s="572"/>
      <c r="Z37" s="570"/>
      <c r="AA37" s="572"/>
      <c r="AB37" s="572"/>
      <c r="AC37" s="570"/>
    </row>
    <row r="38" spans="3:29" s="2" customFormat="1" ht="14.25">
      <c r="C38" s="7"/>
      <c r="F38" s="83"/>
      <c r="J38" s="26"/>
      <c r="K38" s="26"/>
      <c r="L38" s="26"/>
      <c r="O38" s="18"/>
      <c r="X38" s="572"/>
      <c r="Y38" s="572"/>
      <c r="Z38" s="570"/>
      <c r="AA38" s="572"/>
      <c r="AB38" s="572"/>
      <c r="AC38" s="570"/>
    </row>
    <row r="39" spans="3:29" s="2" customFormat="1" ht="14.25">
      <c r="C39" s="7"/>
      <c r="F39" s="83"/>
      <c r="J39" s="26"/>
      <c r="K39" s="26"/>
      <c r="L39" s="26"/>
      <c r="O39" s="18"/>
      <c r="X39" s="572"/>
      <c r="Y39" s="572"/>
      <c r="Z39" s="570"/>
      <c r="AA39" s="572"/>
      <c r="AB39" s="572"/>
      <c r="AC39" s="570"/>
    </row>
    <row r="40" spans="3:29" s="2" customFormat="1" ht="14.25">
      <c r="C40" s="7"/>
      <c r="F40" s="83"/>
      <c r="J40" s="26"/>
      <c r="K40" s="26"/>
      <c r="L40" s="26"/>
      <c r="O40" s="18"/>
      <c r="X40" s="572"/>
      <c r="Y40" s="572"/>
      <c r="Z40" s="570"/>
      <c r="AA40" s="572"/>
      <c r="AB40" s="572"/>
      <c r="AC40" s="570"/>
    </row>
    <row r="41" spans="3:29" s="2" customFormat="1" ht="14.25">
      <c r="C41" s="7"/>
      <c r="F41" s="83"/>
      <c r="J41" s="26"/>
      <c r="K41" s="26"/>
      <c r="L41" s="26"/>
      <c r="O41" s="18"/>
      <c r="X41" s="572"/>
      <c r="Y41" s="572"/>
      <c r="Z41" s="570"/>
      <c r="AA41" s="572"/>
      <c r="AB41" s="572"/>
      <c r="AC41" s="570"/>
    </row>
    <row r="42" spans="3:29" s="2" customFormat="1" ht="14.25">
      <c r="C42" s="7"/>
      <c r="F42" s="83"/>
      <c r="J42" s="26"/>
      <c r="K42" s="26"/>
      <c r="L42" s="26"/>
      <c r="O42" s="18"/>
      <c r="X42" s="572"/>
      <c r="Y42" s="572"/>
      <c r="Z42" s="570"/>
      <c r="AA42" s="572"/>
      <c r="AB42" s="572"/>
      <c r="AC42" s="570"/>
    </row>
    <row r="43" spans="3:29" s="2" customFormat="1" ht="14.25">
      <c r="C43" s="7"/>
      <c r="F43" s="83"/>
      <c r="J43" s="26"/>
      <c r="K43" s="26"/>
      <c r="L43" s="26"/>
      <c r="O43" s="18"/>
      <c r="X43" s="572"/>
      <c r="Y43" s="572"/>
      <c r="Z43" s="570"/>
      <c r="AA43" s="572"/>
      <c r="AB43" s="572"/>
      <c r="AC43" s="570"/>
    </row>
    <row r="44" spans="3:29" s="2" customFormat="1" ht="14.25">
      <c r="C44" s="7"/>
      <c r="F44" s="83"/>
      <c r="J44" s="26"/>
      <c r="K44" s="26"/>
      <c r="L44" s="26"/>
      <c r="O44" s="18"/>
      <c r="X44" s="572"/>
      <c r="Y44" s="572"/>
      <c r="Z44" s="570"/>
      <c r="AA44" s="572"/>
      <c r="AB44" s="572"/>
      <c r="AC44" s="570"/>
    </row>
    <row r="45" spans="3:29" s="2" customFormat="1" ht="14.25">
      <c r="C45" s="7"/>
      <c r="F45" s="83"/>
      <c r="J45" s="26"/>
      <c r="K45" s="26"/>
      <c r="L45" s="26"/>
      <c r="O45" s="18"/>
      <c r="X45" s="572"/>
      <c r="Y45" s="572"/>
      <c r="Z45" s="570"/>
      <c r="AA45" s="572"/>
      <c r="AB45" s="572"/>
      <c r="AC45" s="570"/>
    </row>
    <row r="46" spans="3:29" s="2" customFormat="1" ht="14.25">
      <c r="C46" s="7"/>
      <c r="F46" s="83"/>
      <c r="J46" s="26"/>
      <c r="K46" s="26"/>
      <c r="L46" s="26"/>
      <c r="O46" s="18"/>
      <c r="X46" s="572"/>
      <c r="Y46" s="572"/>
      <c r="Z46" s="570"/>
      <c r="AA46" s="572"/>
      <c r="AB46" s="572"/>
      <c r="AC46" s="570"/>
    </row>
    <row r="47" spans="3:29" s="2" customFormat="1" ht="14.25">
      <c r="C47" s="7"/>
      <c r="F47" s="83"/>
      <c r="J47" s="26"/>
      <c r="K47" s="26"/>
      <c r="L47" s="26"/>
      <c r="O47" s="18"/>
      <c r="X47" s="572"/>
      <c r="Y47" s="572"/>
      <c r="Z47" s="570"/>
      <c r="AA47" s="572"/>
      <c r="AB47" s="572"/>
      <c r="AC47" s="570"/>
    </row>
    <row r="48" spans="3:29" s="2" customFormat="1" ht="14.25">
      <c r="C48" s="7"/>
      <c r="F48" s="83"/>
      <c r="J48" s="26"/>
      <c r="K48" s="26"/>
      <c r="L48" s="26"/>
      <c r="O48" s="18"/>
      <c r="X48" s="572"/>
      <c r="Y48" s="572"/>
      <c r="Z48" s="570"/>
      <c r="AA48" s="572"/>
      <c r="AB48" s="572"/>
      <c r="AC48" s="570"/>
    </row>
    <row r="49" spans="3:29" s="2" customFormat="1" ht="14.25">
      <c r="C49" s="7"/>
      <c r="F49" s="83"/>
      <c r="J49" s="26"/>
      <c r="K49" s="26"/>
      <c r="L49" s="26"/>
      <c r="O49" s="18"/>
      <c r="X49" s="572"/>
      <c r="Y49" s="572"/>
      <c r="Z49" s="570"/>
      <c r="AA49" s="572"/>
      <c r="AB49" s="572"/>
      <c r="AC49" s="570"/>
    </row>
    <row r="50" spans="3:29" s="2" customFormat="1" ht="14.25">
      <c r="C50" s="7"/>
      <c r="F50" s="83"/>
      <c r="J50" s="26"/>
      <c r="K50" s="26"/>
      <c r="L50" s="26"/>
      <c r="O50" s="18"/>
      <c r="X50" s="572"/>
      <c r="Y50" s="572"/>
      <c r="Z50" s="570"/>
      <c r="AA50" s="572"/>
      <c r="AB50" s="572"/>
      <c r="AC50" s="570"/>
    </row>
    <row r="51" spans="3:29" s="2" customFormat="1" ht="14.25">
      <c r="C51" s="7"/>
      <c r="F51" s="83"/>
      <c r="J51" s="26"/>
      <c r="K51" s="26"/>
      <c r="L51" s="26"/>
      <c r="O51" s="18"/>
      <c r="X51" s="572"/>
      <c r="Y51" s="572"/>
      <c r="Z51" s="570"/>
      <c r="AA51" s="572"/>
      <c r="AB51" s="572"/>
      <c r="AC51" s="570"/>
    </row>
    <row r="52" spans="3:29" s="2" customFormat="1" ht="14.25">
      <c r="C52" s="7"/>
      <c r="F52" s="83"/>
      <c r="J52" s="26"/>
      <c r="K52" s="26"/>
      <c r="L52" s="26"/>
      <c r="O52" s="18"/>
      <c r="X52" s="572"/>
      <c r="Y52" s="572"/>
      <c r="Z52" s="570"/>
      <c r="AA52" s="572"/>
      <c r="AB52" s="572"/>
      <c r="AC52" s="570"/>
    </row>
    <row r="53" spans="3:29" s="2" customFormat="1" ht="14.25">
      <c r="C53" s="7"/>
      <c r="F53" s="83"/>
      <c r="J53" s="26"/>
      <c r="K53" s="26"/>
      <c r="L53" s="26"/>
      <c r="O53" s="18"/>
      <c r="X53" s="572"/>
      <c r="Y53" s="572"/>
      <c r="Z53" s="570"/>
      <c r="AA53" s="572"/>
      <c r="AB53" s="572"/>
      <c r="AC53" s="570"/>
    </row>
    <row r="54" spans="3:29" s="2" customFormat="1" ht="14.25">
      <c r="C54" s="7"/>
      <c r="F54" s="83"/>
      <c r="J54" s="26"/>
      <c r="K54" s="26"/>
      <c r="L54" s="26"/>
      <c r="O54" s="18"/>
      <c r="X54" s="572"/>
      <c r="Y54" s="572"/>
      <c r="Z54" s="570"/>
      <c r="AA54" s="572"/>
      <c r="AB54" s="572"/>
      <c r="AC54" s="570"/>
    </row>
    <row r="55" spans="3:29" s="2" customFormat="1" ht="14.25">
      <c r="C55" s="7"/>
      <c r="F55" s="83"/>
      <c r="J55" s="26"/>
      <c r="K55" s="26"/>
      <c r="L55" s="26"/>
      <c r="O55" s="18"/>
      <c r="X55" s="572"/>
      <c r="Y55" s="572"/>
      <c r="Z55" s="570"/>
      <c r="AA55" s="572"/>
      <c r="AB55" s="572"/>
      <c r="AC55" s="570"/>
    </row>
    <row r="56" spans="3:29" s="2" customFormat="1" ht="14.25">
      <c r="C56" s="7"/>
      <c r="F56" s="83"/>
      <c r="J56" s="26"/>
      <c r="K56" s="26"/>
      <c r="L56" s="26"/>
      <c r="O56" s="18"/>
      <c r="X56" s="572"/>
      <c r="Y56" s="572"/>
      <c r="Z56" s="570"/>
      <c r="AA56" s="572"/>
      <c r="AB56" s="572"/>
      <c r="AC56" s="570"/>
    </row>
    <row r="57" spans="3:29" s="2" customFormat="1" ht="14.25">
      <c r="C57" s="7"/>
      <c r="F57" s="83"/>
      <c r="J57" s="26"/>
      <c r="K57" s="26"/>
      <c r="L57" s="26"/>
      <c r="O57" s="18"/>
      <c r="X57" s="572"/>
      <c r="Y57" s="572"/>
      <c r="Z57" s="570"/>
      <c r="AA57" s="572"/>
      <c r="AB57" s="572"/>
      <c r="AC57" s="570"/>
    </row>
    <row r="58" spans="3:29" s="2" customFormat="1" ht="14.25">
      <c r="C58" s="7"/>
      <c r="F58" s="83"/>
      <c r="J58" s="26"/>
      <c r="K58" s="26"/>
      <c r="L58" s="26"/>
      <c r="O58" s="18"/>
      <c r="X58" s="572"/>
      <c r="Y58" s="572"/>
      <c r="Z58" s="570"/>
      <c r="AA58" s="572"/>
      <c r="AB58" s="572"/>
      <c r="AC58" s="570"/>
    </row>
    <row r="59" spans="3:29" s="2" customFormat="1" ht="14.25">
      <c r="C59" s="7"/>
      <c r="F59" s="83"/>
      <c r="J59" s="26"/>
      <c r="K59" s="26"/>
      <c r="L59" s="26"/>
      <c r="O59" s="18"/>
      <c r="X59" s="572"/>
      <c r="Y59" s="572"/>
      <c r="Z59" s="570"/>
      <c r="AA59" s="572"/>
      <c r="AB59" s="572"/>
      <c r="AC59" s="570"/>
    </row>
    <row r="60" spans="3:29" s="2" customFormat="1" ht="14.25">
      <c r="C60" s="7"/>
      <c r="F60" s="83"/>
      <c r="J60" s="26"/>
      <c r="K60" s="26"/>
      <c r="L60" s="26"/>
      <c r="O60" s="18"/>
      <c r="X60" s="572"/>
      <c r="Y60" s="572"/>
      <c r="Z60" s="570"/>
      <c r="AA60" s="572"/>
      <c r="AB60" s="572"/>
      <c r="AC60" s="570"/>
    </row>
    <row r="61" spans="3:29" s="2" customFormat="1" ht="14.25">
      <c r="C61" s="7"/>
      <c r="F61" s="83"/>
      <c r="J61" s="26"/>
      <c r="K61" s="26"/>
      <c r="L61" s="26"/>
      <c r="O61" s="18"/>
      <c r="X61" s="572"/>
      <c r="Y61" s="572"/>
      <c r="Z61" s="570"/>
      <c r="AA61" s="572"/>
      <c r="AB61" s="572"/>
      <c r="AC61" s="570"/>
    </row>
    <row r="62" spans="3:29" s="2" customFormat="1" ht="14.25">
      <c r="C62" s="7"/>
      <c r="F62" s="83"/>
      <c r="J62" s="26"/>
      <c r="K62" s="26"/>
      <c r="L62" s="26"/>
      <c r="O62" s="18"/>
      <c r="X62" s="572"/>
      <c r="Y62" s="572"/>
      <c r="Z62" s="570"/>
      <c r="AA62" s="572"/>
      <c r="AB62" s="572"/>
      <c r="AC62" s="570"/>
    </row>
    <row r="63" spans="3:29" s="2" customFormat="1" ht="14.25">
      <c r="C63" s="7"/>
      <c r="F63" s="83"/>
      <c r="J63" s="26"/>
      <c r="K63" s="26"/>
      <c r="L63" s="26"/>
      <c r="O63" s="18"/>
      <c r="X63" s="572"/>
      <c r="Y63" s="572"/>
      <c r="Z63" s="570"/>
      <c r="AA63" s="572"/>
      <c r="AB63" s="572"/>
      <c r="AC63" s="570"/>
    </row>
    <row r="64" spans="3:29" s="2" customFormat="1" ht="14.25">
      <c r="C64" s="7"/>
      <c r="F64" s="83"/>
      <c r="J64" s="26"/>
      <c r="K64" s="26"/>
      <c r="L64" s="26"/>
      <c r="O64" s="18"/>
      <c r="X64" s="572"/>
      <c r="Y64" s="572"/>
      <c r="Z64" s="570"/>
      <c r="AA64" s="572"/>
      <c r="AB64" s="572"/>
      <c r="AC64" s="570"/>
    </row>
    <row r="65" spans="3:29" s="2" customFormat="1" ht="14.25">
      <c r="C65" s="7"/>
      <c r="F65" s="83"/>
      <c r="J65" s="26"/>
      <c r="K65" s="26"/>
      <c r="L65" s="26"/>
      <c r="O65" s="18"/>
      <c r="X65" s="572"/>
      <c r="Y65" s="572"/>
      <c r="Z65" s="570"/>
      <c r="AA65" s="572"/>
      <c r="AB65" s="572"/>
      <c r="AC65" s="570"/>
    </row>
    <row r="66" spans="3:29" s="2" customFormat="1" ht="14.25">
      <c r="C66" s="7"/>
      <c r="F66" s="83"/>
      <c r="J66" s="26"/>
      <c r="K66" s="26"/>
      <c r="L66" s="26"/>
      <c r="O66" s="18"/>
      <c r="X66" s="572"/>
      <c r="Y66" s="572"/>
      <c r="Z66" s="570"/>
      <c r="AA66" s="572"/>
      <c r="AB66" s="572"/>
      <c r="AC66" s="570"/>
    </row>
    <row r="67" spans="3:29" s="2" customFormat="1" ht="14.25">
      <c r="C67" s="7"/>
      <c r="F67" s="83"/>
      <c r="J67" s="26"/>
      <c r="K67" s="26"/>
      <c r="L67" s="26"/>
      <c r="O67" s="18"/>
      <c r="X67" s="572"/>
      <c r="Y67" s="572"/>
      <c r="Z67" s="570"/>
      <c r="AA67" s="572"/>
      <c r="AB67" s="572"/>
      <c r="AC67" s="570"/>
    </row>
    <row r="68" spans="3:29" s="2" customFormat="1" ht="14.25">
      <c r="C68" s="7"/>
      <c r="F68" s="83"/>
      <c r="J68" s="26"/>
      <c r="K68" s="26"/>
      <c r="L68" s="26"/>
      <c r="O68" s="18"/>
      <c r="X68" s="572"/>
      <c r="Y68" s="572"/>
      <c r="Z68" s="570"/>
      <c r="AA68" s="572"/>
      <c r="AB68" s="572"/>
      <c r="AC68" s="570"/>
    </row>
    <row r="69" spans="3:29" s="2" customFormat="1" ht="14.25">
      <c r="C69" s="7"/>
      <c r="F69" s="83"/>
      <c r="J69" s="26"/>
      <c r="K69" s="26"/>
      <c r="L69" s="26"/>
      <c r="O69" s="18"/>
      <c r="X69" s="572"/>
      <c r="Y69" s="572"/>
      <c r="Z69" s="570"/>
      <c r="AA69" s="572"/>
      <c r="AB69" s="572"/>
      <c r="AC69" s="570"/>
    </row>
    <row r="70" spans="3:29" s="2" customFormat="1" ht="14.25">
      <c r="C70" s="7"/>
      <c r="F70" s="83"/>
      <c r="J70" s="26"/>
      <c r="K70" s="26"/>
      <c r="L70" s="26"/>
      <c r="O70" s="18"/>
      <c r="X70" s="572"/>
      <c r="Y70" s="572"/>
      <c r="Z70" s="570"/>
      <c r="AA70" s="572"/>
      <c r="AB70" s="572"/>
      <c r="AC70" s="570"/>
    </row>
    <row r="71" spans="3:29" s="2" customFormat="1" ht="14.25">
      <c r="C71" s="7"/>
      <c r="F71" s="83"/>
      <c r="J71" s="26"/>
      <c r="K71" s="26"/>
      <c r="L71" s="26"/>
      <c r="O71" s="18"/>
      <c r="X71" s="572"/>
      <c r="Y71" s="572"/>
      <c r="Z71" s="570"/>
      <c r="AA71" s="572"/>
      <c r="AB71" s="572"/>
      <c r="AC71" s="570"/>
    </row>
    <row r="72" spans="3:29" s="2" customFormat="1" ht="14.25">
      <c r="C72" s="7"/>
      <c r="F72" s="83"/>
      <c r="J72" s="26"/>
      <c r="K72" s="26"/>
      <c r="L72" s="26"/>
      <c r="O72" s="18"/>
      <c r="X72" s="572"/>
      <c r="Y72" s="572"/>
      <c r="Z72" s="570"/>
      <c r="AA72" s="572"/>
      <c r="AB72" s="572"/>
      <c r="AC72" s="570"/>
    </row>
    <row r="73" spans="3:29" s="2" customFormat="1" ht="14.25">
      <c r="C73" s="7"/>
      <c r="F73" s="83"/>
      <c r="J73" s="26"/>
      <c r="K73" s="26"/>
      <c r="L73" s="26"/>
      <c r="O73" s="18"/>
      <c r="X73" s="572"/>
      <c r="Y73" s="572"/>
      <c r="Z73" s="570"/>
      <c r="AA73" s="572"/>
      <c r="AB73" s="572"/>
      <c r="AC73" s="570"/>
    </row>
    <row r="74" spans="3:29" s="2" customFormat="1" ht="14.25">
      <c r="C74" s="7"/>
      <c r="F74" s="83"/>
      <c r="J74" s="26"/>
      <c r="K74" s="26"/>
      <c r="L74" s="26"/>
      <c r="O74" s="18"/>
      <c r="X74" s="572"/>
      <c r="Y74" s="572"/>
      <c r="Z74" s="570"/>
      <c r="AA74" s="572"/>
      <c r="AB74" s="572"/>
      <c r="AC74" s="570"/>
    </row>
    <row r="75" spans="3:29" s="2" customFormat="1" ht="14.25">
      <c r="C75" s="7"/>
      <c r="F75" s="83"/>
      <c r="J75" s="26"/>
      <c r="K75" s="26"/>
      <c r="L75" s="26"/>
      <c r="O75" s="18"/>
      <c r="X75" s="572"/>
      <c r="Y75" s="572"/>
      <c r="Z75" s="570"/>
      <c r="AA75" s="572"/>
      <c r="AB75" s="572"/>
      <c r="AC75" s="570"/>
    </row>
    <row r="76" spans="3:29" s="2" customFormat="1" ht="14.25">
      <c r="C76" s="7"/>
      <c r="F76" s="83"/>
      <c r="J76" s="26"/>
      <c r="K76" s="26"/>
      <c r="L76" s="26"/>
      <c r="O76" s="18"/>
      <c r="X76" s="572"/>
      <c r="Y76" s="572"/>
      <c r="Z76" s="570"/>
      <c r="AA76" s="572"/>
      <c r="AB76" s="572"/>
      <c r="AC76" s="570"/>
    </row>
    <row r="77" spans="3:29" s="2" customFormat="1" ht="14.25">
      <c r="C77" s="7"/>
      <c r="F77" s="83"/>
      <c r="J77" s="26"/>
      <c r="K77" s="26"/>
      <c r="L77" s="26"/>
      <c r="O77" s="18"/>
      <c r="X77" s="572"/>
      <c r="Y77" s="572"/>
      <c r="Z77" s="570"/>
      <c r="AA77" s="572"/>
      <c r="AB77" s="572"/>
      <c r="AC77" s="570"/>
    </row>
    <row r="78" spans="3:29" s="2" customFormat="1" ht="14.25">
      <c r="C78" s="7"/>
      <c r="F78" s="83"/>
      <c r="J78" s="26"/>
      <c r="K78" s="26"/>
      <c r="L78" s="26"/>
      <c r="O78" s="18"/>
      <c r="X78" s="572"/>
      <c r="Y78" s="572"/>
      <c r="Z78" s="570"/>
      <c r="AA78" s="572"/>
      <c r="AB78" s="572"/>
      <c r="AC78" s="570"/>
    </row>
    <row r="79" spans="3:29" s="2" customFormat="1" ht="14.25">
      <c r="C79" s="7"/>
      <c r="F79" s="83"/>
      <c r="J79" s="26"/>
      <c r="K79" s="26"/>
      <c r="L79" s="26"/>
      <c r="O79" s="18"/>
      <c r="X79" s="572"/>
      <c r="Y79" s="572"/>
      <c r="Z79" s="570"/>
      <c r="AA79" s="572"/>
      <c r="AB79" s="572"/>
      <c r="AC79" s="570"/>
    </row>
    <row r="80" spans="3:29" s="2" customFormat="1" ht="14.25">
      <c r="C80" s="7"/>
      <c r="F80" s="83"/>
      <c r="J80" s="26"/>
      <c r="K80" s="26"/>
      <c r="L80" s="26"/>
      <c r="O80" s="18"/>
      <c r="X80" s="572"/>
      <c r="Y80" s="572"/>
      <c r="Z80" s="570"/>
      <c r="AA80" s="572"/>
      <c r="AB80" s="572"/>
      <c r="AC80" s="570"/>
    </row>
    <row r="81" spans="3:29" s="2" customFormat="1" ht="14.25">
      <c r="C81" s="7"/>
      <c r="F81" s="83"/>
      <c r="J81" s="26"/>
      <c r="K81" s="26"/>
      <c r="L81" s="26"/>
      <c r="O81" s="18"/>
      <c r="X81" s="572"/>
      <c r="Y81" s="572"/>
      <c r="Z81" s="570"/>
      <c r="AA81" s="572"/>
      <c r="AB81" s="572"/>
      <c r="AC81" s="570"/>
    </row>
    <row r="82" spans="3:29" s="2" customFormat="1" ht="14.25">
      <c r="C82" s="7"/>
      <c r="F82" s="83"/>
      <c r="J82" s="26"/>
      <c r="K82" s="26"/>
      <c r="L82" s="26"/>
      <c r="O82" s="18"/>
      <c r="X82" s="572"/>
      <c r="Y82" s="572"/>
      <c r="Z82" s="570"/>
      <c r="AA82" s="572"/>
      <c r="AB82" s="572"/>
      <c r="AC82" s="570"/>
    </row>
    <row r="83" spans="3:29" s="2" customFormat="1" ht="14.25">
      <c r="C83" s="7"/>
      <c r="F83" s="83"/>
      <c r="J83" s="26"/>
      <c r="K83" s="26"/>
      <c r="L83" s="26"/>
      <c r="O83" s="18"/>
      <c r="X83" s="572"/>
      <c r="Y83" s="572"/>
      <c r="Z83" s="570"/>
      <c r="AA83" s="572"/>
      <c r="AB83" s="572"/>
      <c r="AC83" s="570"/>
    </row>
    <row r="84" spans="3:29" s="2" customFormat="1" ht="14.25">
      <c r="C84" s="7"/>
      <c r="F84" s="83"/>
      <c r="J84" s="26"/>
      <c r="K84" s="26"/>
      <c r="L84" s="26"/>
      <c r="O84" s="18"/>
      <c r="X84" s="572"/>
      <c r="Y84" s="572"/>
      <c r="Z84" s="570"/>
      <c r="AA84" s="572"/>
      <c r="AB84" s="572"/>
      <c r="AC84" s="570"/>
    </row>
    <row r="85" spans="3:29" s="2" customFormat="1" ht="14.25">
      <c r="C85" s="7"/>
      <c r="F85" s="83"/>
      <c r="J85" s="26"/>
      <c r="K85" s="26"/>
      <c r="L85" s="26"/>
      <c r="O85" s="18"/>
      <c r="X85" s="572"/>
      <c r="Y85" s="572"/>
      <c r="Z85" s="570"/>
      <c r="AA85" s="572"/>
      <c r="AB85" s="572"/>
      <c r="AC85" s="570"/>
    </row>
    <row r="86" spans="3:29" s="2" customFormat="1" ht="14.25">
      <c r="C86" s="7"/>
      <c r="F86" s="83"/>
      <c r="J86" s="26"/>
      <c r="K86" s="26"/>
      <c r="L86" s="26"/>
      <c r="O86" s="18"/>
      <c r="X86" s="572"/>
      <c r="Y86" s="572"/>
      <c r="Z86" s="570"/>
      <c r="AA86" s="572"/>
      <c r="AB86" s="572"/>
      <c r="AC86" s="570"/>
    </row>
    <row r="87" spans="3:29" s="2" customFormat="1" ht="14.25">
      <c r="C87" s="7"/>
      <c r="F87" s="83"/>
      <c r="J87" s="26"/>
      <c r="K87" s="26"/>
      <c r="L87" s="26"/>
      <c r="O87" s="18"/>
      <c r="X87" s="572"/>
      <c r="Y87" s="572"/>
      <c r="Z87" s="570"/>
      <c r="AA87" s="572"/>
      <c r="AB87" s="572"/>
      <c r="AC87" s="570"/>
    </row>
    <row r="88" spans="3:29" s="2" customFormat="1" ht="14.25">
      <c r="C88" s="7"/>
      <c r="F88" s="83"/>
      <c r="J88" s="26"/>
      <c r="K88" s="26"/>
      <c r="L88" s="26"/>
      <c r="O88" s="18"/>
      <c r="X88" s="572"/>
      <c r="Y88" s="572"/>
      <c r="Z88" s="570"/>
      <c r="AA88" s="572"/>
      <c r="AB88" s="572"/>
      <c r="AC88" s="570"/>
    </row>
    <row r="89" spans="3:29" s="2" customFormat="1" ht="14.25">
      <c r="C89" s="7"/>
      <c r="F89" s="83"/>
      <c r="J89" s="26"/>
      <c r="K89" s="26"/>
      <c r="L89" s="26"/>
      <c r="O89" s="18"/>
      <c r="X89" s="572"/>
      <c r="Y89" s="572"/>
      <c r="Z89" s="570"/>
      <c r="AA89" s="572"/>
      <c r="AB89" s="572"/>
      <c r="AC89" s="570"/>
    </row>
    <row r="90" spans="3:29" s="2" customFormat="1" ht="14.25">
      <c r="C90" s="7"/>
      <c r="F90" s="83"/>
      <c r="J90" s="26"/>
      <c r="K90" s="26"/>
      <c r="L90" s="26"/>
      <c r="O90" s="18"/>
      <c r="X90" s="572"/>
      <c r="Y90" s="572"/>
      <c r="Z90" s="570"/>
      <c r="AA90" s="572"/>
      <c r="AB90" s="572"/>
      <c r="AC90" s="570"/>
    </row>
    <row r="91" spans="3:29" s="2" customFormat="1" ht="14.25">
      <c r="C91" s="7"/>
      <c r="F91" s="83"/>
      <c r="J91" s="26"/>
      <c r="K91" s="26"/>
      <c r="L91" s="26"/>
      <c r="O91" s="18"/>
      <c r="X91" s="572"/>
      <c r="Y91" s="572"/>
      <c r="Z91" s="570"/>
      <c r="AA91" s="572"/>
      <c r="AB91" s="572"/>
      <c r="AC91" s="570"/>
    </row>
    <row r="92" spans="3:29" s="2" customFormat="1" ht="14.25">
      <c r="C92" s="7"/>
      <c r="F92" s="83"/>
      <c r="J92" s="26"/>
      <c r="K92" s="26"/>
      <c r="L92" s="26"/>
      <c r="O92" s="18"/>
      <c r="X92" s="572"/>
      <c r="Y92" s="572"/>
      <c r="Z92" s="570"/>
      <c r="AA92" s="572"/>
      <c r="AB92" s="572"/>
      <c r="AC92" s="570"/>
    </row>
    <row r="93" spans="3:29" s="2" customFormat="1" ht="14.25">
      <c r="C93" s="7"/>
      <c r="F93" s="83"/>
      <c r="J93" s="26"/>
      <c r="K93" s="26"/>
      <c r="L93" s="26"/>
      <c r="O93" s="18"/>
      <c r="X93" s="572"/>
      <c r="Y93" s="572"/>
      <c r="Z93" s="570"/>
      <c r="AA93" s="572"/>
      <c r="AB93" s="572"/>
      <c r="AC93" s="570"/>
    </row>
    <row r="94" spans="3:29" s="2" customFormat="1" ht="14.25">
      <c r="C94" s="7"/>
      <c r="F94" s="83"/>
      <c r="J94" s="26"/>
      <c r="K94" s="26"/>
      <c r="L94" s="26"/>
      <c r="O94" s="18"/>
      <c r="X94" s="572"/>
      <c r="Y94" s="572"/>
      <c r="Z94" s="570"/>
      <c r="AA94" s="572"/>
      <c r="AB94" s="572"/>
      <c r="AC94" s="570"/>
    </row>
    <row r="95" spans="3:29" s="2" customFormat="1" ht="14.25">
      <c r="C95" s="7"/>
      <c r="F95" s="83"/>
      <c r="J95" s="26"/>
      <c r="K95" s="26"/>
      <c r="L95" s="26"/>
      <c r="O95" s="18"/>
      <c r="X95" s="572"/>
      <c r="Y95" s="572"/>
      <c r="Z95" s="570"/>
      <c r="AA95" s="572"/>
      <c r="AB95" s="572"/>
      <c r="AC95" s="570"/>
    </row>
    <row r="96" spans="3:29" s="2" customFormat="1" ht="14.25">
      <c r="C96" s="7"/>
      <c r="F96" s="83"/>
      <c r="J96" s="26"/>
      <c r="K96" s="26"/>
      <c r="L96" s="26"/>
      <c r="O96" s="18"/>
      <c r="X96" s="572"/>
      <c r="Y96" s="572"/>
      <c r="Z96" s="570"/>
      <c r="AA96" s="572"/>
      <c r="AB96" s="572"/>
      <c r="AC96" s="570"/>
    </row>
    <row r="97" spans="3:29" s="2" customFormat="1" ht="14.25">
      <c r="C97" s="7"/>
      <c r="F97" s="83"/>
      <c r="J97" s="26"/>
      <c r="K97" s="26"/>
      <c r="L97" s="26"/>
      <c r="O97" s="18"/>
      <c r="X97" s="572"/>
      <c r="Y97" s="572"/>
      <c r="Z97" s="570"/>
      <c r="AA97" s="572"/>
      <c r="AB97" s="572"/>
      <c r="AC97" s="570"/>
    </row>
    <row r="98" spans="3:29" s="2" customFormat="1" ht="14.25">
      <c r="C98" s="7"/>
      <c r="F98" s="83"/>
      <c r="J98" s="26"/>
      <c r="K98" s="26"/>
      <c r="L98" s="26"/>
      <c r="O98" s="18"/>
      <c r="X98" s="572"/>
      <c r="Y98" s="572"/>
      <c r="Z98" s="570"/>
      <c r="AA98" s="572"/>
      <c r="AB98" s="572"/>
      <c r="AC98" s="570"/>
    </row>
    <row r="99" spans="3:29" s="2" customFormat="1" ht="14.25">
      <c r="C99" s="7"/>
      <c r="F99" s="83"/>
      <c r="J99" s="26"/>
      <c r="K99" s="26"/>
      <c r="L99" s="26"/>
      <c r="O99" s="18"/>
      <c r="X99" s="572"/>
      <c r="Y99" s="572"/>
      <c r="Z99" s="570"/>
      <c r="AA99" s="572"/>
      <c r="AB99" s="572"/>
      <c r="AC99" s="570"/>
    </row>
    <row r="100" spans="3:29" s="2" customFormat="1" ht="14.25">
      <c r="C100" s="7"/>
      <c r="F100" s="83"/>
      <c r="J100" s="26"/>
      <c r="K100" s="26"/>
      <c r="L100" s="26"/>
      <c r="O100" s="18"/>
      <c r="X100" s="572"/>
      <c r="Y100" s="572"/>
      <c r="Z100" s="570"/>
      <c r="AA100" s="572"/>
      <c r="AB100" s="572"/>
      <c r="AC100" s="570"/>
    </row>
    <row r="101" spans="3:29" s="2" customFormat="1" ht="14.25">
      <c r="C101" s="7"/>
      <c r="F101" s="83"/>
      <c r="J101" s="26"/>
      <c r="K101" s="26"/>
      <c r="L101" s="26"/>
      <c r="O101" s="18"/>
      <c r="X101" s="572"/>
      <c r="Y101" s="572"/>
      <c r="Z101" s="570"/>
      <c r="AA101" s="572"/>
      <c r="AB101" s="572"/>
      <c r="AC101" s="570"/>
    </row>
    <row r="102" spans="3:29" s="2" customFormat="1" ht="14.25">
      <c r="C102" s="7"/>
      <c r="F102" s="83"/>
      <c r="J102" s="26"/>
      <c r="K102" s="26"/>
      <c r="L102" s="26"/>
      <c r="O102" s="18"/>
      <c r="X102" s="572"/>
      <c r="Y102" s="572"/>
      <c r="Z102" s="570"/>
      <c r="AA102" s="572"/>
      <c r="AB102" s="572"/>
      <c r="AC102" s="570"/>
    </row>
    <row r="103" spans="3:29" s="2" customFormat="1" ht="14.25">
      <c r="C103" s="7"/>
      <c r="F103" s="83"/>
      <c r="J103" s="26"/>
      <c r="K103" s="26"/>
      <c r="L103" s="26"/>
      <c r="O103" s="18"/>
      <c r="X103" s="572"/>
      <c r="Y103" s="572"/>
      <c r="Z103" s="570"/>
      <c r="AA103" s="572"/>
      <c r="AB103" s="572"/>
      <c r="AC103" s="570"/>
    </row>
    <row r="104" spans="3:29" s="2" customFormat="1" ht="14.25">
      <c r="C104" s="7"/>
      <c r="F104" s="83"/>
      <c r="J104" s="26"/>
      <c r="K104" s="26"/>
      <c r="L104" s="26"/>
      <c r="O104" s="18"/>
      <c r="X104" s="572"/>
      <c r="Y104" s="572"/>
      <c r="Z104" s="570"/>
      <c r="AA104" s="572"/>
      <c r="AB104" s="572"/>
      <c r="AC104" s="570"/>
    </row>
    <row r="105" spans="3:29" s="2" customFormat="1" ht="14.25">
      <c r="C105" s="7"/>
      <c r="F105" s="83"/>
      <c r="J105" s="26"/>
      <c r="K105" s="26"/>
      <c r="L105" s="26"/>
      <c r="O105" s="18"/>
      <c r="X105" s="572"/>
      <c r="Y105" s="572"/>
      <c r="Z105" s="570"/>
      <c r="AA105" s="572"/>
      <c r="AB105" s="572"/>
      <c r="AC105" s="570"/>
    </row>
    <row r="106" spans="3:29" s="2" customFormat="1" ht="14.25">
      <c r="C106" s="7"/>
      <c r="F106" s="83"/>
      <c r="J106" s="26"/>
      <c r="K106" s="26"/>
      <c r="L106" s="26"/>
      <c r="O106" s="18"/>
      <c r="X106" s="572"/>
      <c r="Y106" s="572"/>
      <c r="Z106" s="570"/>
      <c r="AA106" s="572"/>
      <c r="AB106" s="572"/>
      <c r="AC106" s="570"/>
    </row>
    <row r="107" spans="3:29" s="2" customFormat="1" ht="14.25">
      <c r="C107" s="7"/>
      <c r="F107" s="83"/>
      <c r="J107" s="26"/>
      <c r="K107" s="26"/>
      <c r="L107" s="26"/>
      <c r="O107" s="18"/>
      <c r="X107" s="572"/>
      <c r="Y107" s="572"/>
      <c r="Z107" s="570"/>
      <c r="AA107" s="572"/>
      <c r="AB107" s="572"/>
      <c r="AC107" s="570"/>
    </row>
    <row r="108" spans="3:29" s="2" customFormat="1" ht="14.25">
      <c r="C108" s="7"/>
      <c r="F108" s="83"/>
      <c r="J108" s="26"/>
      <c r="K108" s="26"/>
      <c r="L108" s="26"/>
      <c r="O108" s="18"/>
      <c r="X108" s="572"/>
      <c r="Y108" s="572"/>
      <c r="Z108" s="570"/>
      <c r="AA108" s="572"/>
      <c r="AB108" s="572"/>
      <c r="AC108" s="570"/>
    </row>
    <row r="109" spans="3:29" s="2" customFormat="1" ht="14.25">
      <c r="C109" s="7"/>
      <c r="F109" s="83"/>
      <c r="J109" s="26"/>
      <c r="K109" s="26"/>
      <c r="L109" s="26"/>
      <c r="O109" s="18"/>
      <c r="X109" s="572"/>
      <c r="Y109" s="572"/>
      <c r="Z109" s="570"/>
      <c r="AA109" s="572"/>
      <c r="AB109" s="572"/>
      <c r="AC109" s="570"/>
    </row>
    <row r="110" spans="3:29" s="2" customFormat="1" ht="14.25">
      <c r="C110" s="7"/>
      <c r="F110" s="83"/>
      <c r="J110" s="26"/>
      <c r="K110" s="26"/>
      <c r="L110" s="26"/>
      <c r="O110" s="18"/>
      <c r="X110" s="572"/>
      <c r="Y110" s="572"/>
      <c r="Z110" s="570"/>
      <c r="AA110" s="572"/>
      <c r="AB110" s="572"/>
      <c r="AC110" s="570"/>
    </row>
    <row r="111" spans="3:29" s="2" customFormat="1" ht="14.25">
      <c r="C111" s="7"/>
      <c r="F111" s="83"/>
      <c r="J111" s="26"/>
      <c r="K111" s="26"/>
      <c r="L111" s="26"/>
      <c r="O111" s="18"/>
      <c r="X111" s="572"/>
      <c r="Y111" s="572"/>
      <c r="Z111" s="570"/>
      <c r="AA111" s="572"/>
      <c r="AB111" s="572"/>
      <c r="AC111" s="570"/>
    </row>
    <row r="112" spans="3:29" s="2" customFormat="1" ht="14.25">
      <c r="C112" s="7"/>
      <c r="F112" s="83"/>
      <c r="J112" s="26"/>
      <c r="K112" s="26"/>
      <c r="L112" s="26"/>
      <c r="O112" s="18"/>
      <c r="X112" s="572"/>
      <c r="Y112" s="572"/>
      <c r="Z112" s="570"/>
      <c r="AA112" s="572"/>
      <c r="AB112" s="572"/>
      <c r="AC112" s="570"/>
    </row>
    <row r="113" spans="3:29" s="2" customFormat="1" ht="14.25">
      <c r="C113" s="7"/>
      <c r="F113" s="83"/>
      <c r="J113" s="26"/>
      <c r="K113" s="26"/>
      <c r="L113" s="26"/>
      <c r="O113" s="18"/>
      <c r="X113" s="572"/>
      <c r="Y113" s="572"/>
      <c r="Z113" s="570"/>
      <c r="AA113" s="572"/>
      <c r="AB113" s="572"/>
      <c r="AC113" s="570"/>
    </row>
    <row r="114" spans="3:29" s="2" customFormat="1" ht="14.25">
      <c r="C114" s="7"/>
      <c r="F114" s="83"/>
      <c r="J114" s="26"/>
      <c r="K114" s="26"/>
      <c r="L114" s="26"/>
      <c r="O114" s="18"/>
      <c r="X114" s="572"/>
      <c r="Y114" s="572"/>
      <c r="Z114" s="570"/>
      <c r="AA114" s="572"/>
      <c r="AB114" s="572"/>
      <c r="AC114" s="570"/>
    </row>
    <row r="115" spans="3:29" s="2" customFormat="1" ht="14.25">
      <c r="C115" s="7"/>
      <c r="F115" s="83"/>
      <c r="J115" s="26"/>
      <c r="K115" s="26"/>
      <c r="L115" s="26"/>
      <c r="O115" s="18"/>
      <c r="X115" s="572"/>
      <c r="Y115" s="572"/>
      <c r="Z115" s="570"/>
      <c r="AA115" s="572"/>
      <c r="AB115" s="572"/>
      <c r="AC115" s="570"/>
    </row>
    <row r="116" spans="3:29" s="2" customFormat="1" ht="14.25">
      <c r="C116" s="7"/>
      <c r="F116" s="83"/>
      <c r="J116" s="26"/>
      <c r="K116" s="26"/>
      <c r="L116" s="26"/>
      <c r="O116" s="18"/>
      <c r="X116" s="572"/>
      <c r="Y116" s="572"/>
      <c r="Z116" s="570"/>
      <c r="AA116" s="572"/>
      <c r="AB116" s="572"/>
      <c r="AC116" s="570"/>
    </row>
    <row r="117" spans="3:29" s="2" customFormat="1" ht="14.25">
      <c r="C117" s="7"/>
      <c r="F117" s="83"/>
      <c r="J117" s="26"/>
      <c r="K117" s="26"/>
      <c r="L117" s="26"/>
      <c r="O117" s="18"/>
      <c r="X117" s="572"/>
      <c r="Y117" s="572"/>
      <c r="Z117" s="570"/>
      <c r="AA117" s="572"/>
      <c r="AB117" s="572"/>
      <c r="AC117" s="570"/>
    </row>
    <row r="118" spans="3:29" s="2" customFormat="1" ht="14.25">
      <c r="C118" s="7"/>
      <c r="F118" s="83"/>
      <c r="J118" s="26"/>
      <c r="K118" s="26"/>
      <c r="L118" s="26"/>
      <c r="O118" s="18"/>
      <c r="X118" s="572"/>
      <c r="Y118" s="572"/>
      <c r="Z118" s="570"/>
      <c r="AA118" s="572"/>
      <c r="AB118" s="572"/>
      <c r="AC118" s="570"/>
    </row>
    <row r="119" spans="3:29" s="2" customFormat="1" ht="14.25">
      <c r="C119" s="7"/>
      <c r="F119" s="83"/>
      <c r="J119" s="26"/>
      <c r="K119" s="26"/>
      <c r="L119" s="26"/>
      <c r="O119" s="18"/>
      <c r="X119" s="572"/>
      <c r="Y119" s="572"/>
      <c r="Z119" s="570"/>
      <c r="AA119" s="572"/>
      <c r="AB119" s="572"/>
      <c r="AC119" s="570"/>
    </row>
    <row r="120" spans="3:29" s="2" customFormat="1" ht="14.25">
      <c r="C120" s="7"/>
      <c r="F120" s="83"/>
      <c r="J120" s="26"/>
      <c r="K120" s="26"/>
      <c r="L120" s="26"/>
      <c r="O120" s="18"/>
      <c r="X120" s="572"/>
      <c r="Y120" s="572"/>
      <c r="Z120" s="570"/>
      <c r="AA120" s="572"/>
      <c r="AB120" s="572"/>
      <c r="AC120" s="570"/>
    </row>
    <row r="121" spans="3:29" s="2" customFormat="1" ht="14.25">
      <c r="C121" s="7"/>
      <c r="F121" s="83"/>
      <c r="J121" s="26"/>
      <c r="K121" s="26"/>
      <c r="L121" s="26"/>
      <c r="O121" s="18"/>
      <c r="X121" s="572"/>
      <c r="Y121" s="572"/>
      <c r="Z121" s="570"/>
      <c r="AA121" s="572"/>
      <c r="AB121" s="572"/>
      <c r="AC121" s="570"/>
    </row>
    <row r="122" spans="3:29" s="2" customFormat="1" ht="14.25">
      <c r="C122" s="7"/>
      <c r="F122" s="83"/>
      <c r="J122" s="26"/>
      <c r="K122" s="26"/>
      <c r="L122" s="26"/>
      <c r="O122" s="18"/>
      <c r="X122" s="572"/>
      <c r="Y122" s="572"/>
      <c r="Z122" s="570"/>
      <c r="AA122" s="572"/>
      <c r="AB122" s="572"/>
      <c r="AC122" s="570"/>
    </row>
    <row r="123" spans="3:29" s="2" customFormat="1" ht="14.25">
      <c r="C123" s="7"/>
      <c r="F123" s="83"/>
      <c r="J123" s="26"/>
      <c r="K123" s="26"/>
      <c r="L123" s="26"/>
      <c r="O123" s="18"/>
      <c r="X123" s="572"/>
      <c r="Y123" s="572"/>
      <c r="Z123" s="570"/>
      <c r="AA123" s="572"/>
      <c r="AB123" s="572"/>
      <c r="AC123" s="570"/>
    </row>
    <row r="124" spans="3:29" s="2" customFormat="1" ht="14.25">
      <c r="C124" s="7"/>
      <c r="F124" s="83"/>
      <c r="J124" s="26"/>
      <c r="K124" s="26"/>
      <c r="L124" s="26"/>
      <c r="O124" s="18"/>
      <c r="X124" s="572"/>
      <c r="Y124" s="572"/>
      <c r="Z124" s="570"/>
      <c r="AA124" s="572"/>
      <c r="AB124" s="572"/>
      <c r="AC124" s="570"/>
    </row>
    <row r="125" spans="3:29" s="2" customFormat="1" ht="14.25">
      <c r="C125" s="7"/>
      <c r="F125" s="83"/>
      <c r="J125" s="26"/>
      <c r="K125" s="26"/>
      <c r="L125" s="26"/>
      <c r="O125" s="18"/>
      <c r="X125" s="572"/>
      <c r="Y125" s="572"/>
      <c r="Z125" s="570"/>
      <c r="AA125" s="572"/>
      <c r="AB125" s="572"/>
      <c r="AC125" s="570"/>
    </row>
    <row r="126" spans="3:29" s="2" customFormat="1" ht="14.25">
      <c r="C126" s="7"/>
      <c r="F126" s="83"/>
      <c r="J126" s="26"/>
      <c r="K126" s="26"/>
      <c r="L126" s="26"/>
      <c r="O126" s="18"/>
      <c r="X126" s="572"/>
      <c r="Y126" s="572"/>
      <c r="Z126" s="570"/>
      <c r="AA126" s="572"/>
      <c r="AB126" s="572"/>
      <c r="AC126" s="570"/>
    </row>
    <row r="127" spans="3:29" s="2" customFormat="1" ht="14.25">
      <c r="C127" s="7"/>
      <c r="F127" s="83"/>
      <c r="J127" s="26"/>
      <c r="K127" s="26"/>
      <c r="L127" s="26"/>
      <c r="O127" s="18"/>
      <c r="X127" s="572"/>
      <c r="Y127" s="572"/>
      <c r="Z127" s="570"/>
      <c r="AA127" s="572"/>
      <c r="AB127" s="572"/>
      <c r="AC127" s="570"/>
    </row>
    <row r="128" spans="3:29" s="2" customFormat="1" ht="14.25">
      <c r="C128" s="7"/>
      <c r="F128" s="83"/>
      <c r="J128" s="26"/>
      <c r="K128" s="26"/>
      <c r="L128" s="26"/>
      <c r="O128" s="18"/>
      <c r="X128" s="572"/>
      <c r="Y128" s="572"/>
      <c r="Z128" s="570"/>
      <c r="AA128" s="572"/>
      <c r="AB128" s="572"/>
      <c r="AC128" s="570"/>
    </row>
    <row r="129" spans="3:29" s="2" customFormat="1" ht="14.25">
      <c r="C129" s="7"/>
      <c r="F129" s="83"/>
      <c r="J129" s="26"/>
      <c r="K129" s="26"/>
      <c r="L129" s="26"/>
      <c r="O129" s="18"/>
      <c r="X129" s="572"/>
      <c r="Y129" s="572"/>
      <c r="Z129" s="570"/>
      <c r="AA129" s="572"/>
      <c r="AB129" s="572"/>
      <c r="AC129" s="570"/>
    </row>
    <row r="130" spans="3:29" s="2" customFormat="1" ht="14.25">
      <c r="C130" s="7"/>
      <c r="F130" s="83"/>
      <c r="J130" s="26"/>
      <c r="K130" s="26"/>
      <c r="L130" s="26"/>
      <c r="O130" s="18"/>
      <c r="X130" s="572"/>
      <c r="Y130" s="572"/>
      <c r="Z130" s="570"/>
      <c r="AA130" s="572"/>
      <c r="AB130" s="572"/>
      <c r="AC130" s="570"/>
    </row>
    <row r="131" spans="3:29" s="2" customFormat="1" ht="14.25">
      <c r="C131" s="7"/>
      <c r="F131" s="83"/>
      <c r="J131" s="26"/>
      <c r="K131" s="26"/>
      <c r="L131" s="26"/>
      <c r="O131" s="18"/>
      <c r="X131" s="572"/>
      <c r="Y131" s="572"/>
      <c r="Z131" s="570"/>
      <c r="AA131" s="572"/>
      <c r="AB131" s="572"/>
      <c r="AC131" s="570"/>
    </row>
    <row r="132" spans="3:29" s="2" customFormat="1" ht="14.25">
      <c r="C132" s="7"/>
      <c r="F132" s="83"/>
      <c r="J132" s="26"/>
      <c r="K132" s="26"/>
      <c r="L132" s="26"/>
      <c r="O132" s="18"/>
      <c r="X132" s="572"/>
      <c r="Y132" s="572"/>
      <c r="Z132" s="570"/>
      <c r="AA132" s="572"/>
      <c r="AB132" s="572"/>
      <c r="AC132" s="570"/>
    </row>
    <row r="133" spans="3:29" s="2" customFormat="1" ht="14.25">
      <c r="C133" s="7"/>
      <c r="F133" s="83"/>
      <c r="J133" s="26"/>
      <c r="K133" s="26"/>
      <c r="L133" s="26"/>
      <c r="O133" s="18"/>
      <c r="X133" s="572"/>
      <c r="Y133" s="572"/>
      <c r="Z133" s="570"/>
      <c r="AA133" s="572"/>
      <c r="AB133" s="572"/>
      <c r="AC133" s="570"/>
    </row>
    <row r="134" spans="3:29" s="2" customFormat="1" ht="14.25">
      <c r="C134" s="7"/>
      <c r="F134" s="83"/>
      <c r="J134" s="26"/>
      <c r="K134" s="26"/>
      <c r="L134" s="26"/>
      <c r="O134" s="18"/>
      <c r="X134" s="572"/>
      <c r="Y134" s="572"/>
      <c r="Z134" s="570"/>
      <c r="AA134" s="572"/>
      <c r="AB134" s="572"/>
      <c r="AC134" s="570"/>
    </row>
    <row r="135" spans="3:29" s="2" customFormat="1" ht="14.25">
      <c r="C135" s="7"/>
      <c r="F135" s="83"/>
      <c r="J135" s="26"/>
      <c r="K135" s="26"/>
      <c r="L135" s="26"/>
      <c r="O135" s="18"/>
      <c r="X135" s="572"/>
      <c r="Y135" s="572"/>
      <c r="Z135" s="570"/>
      <c r="AA135" s="572"/>
      <c r="AB135" s="572"/>
      <c r="AC135" s="570"/>
    </row>
    <row r="136" spans="3:29" s="2" customFormat="1" ht="14.25">
      <c r="C136" s="7"/>
      <c r="F136" s="83"/>
      <c r="J136" s="26"/>
      <c r="K136" s="26"/>
      <c r="L136" s="26"/>
      <c r="O136" s="18"/>
      <c r="X136" s="572"/>
      <c r="Y136" s="572"/>
      <c r="Z136" s="570"/>
      <c r="AA136" s="572"/>
      <c r="AB136" s="572"/>
      <c r="AC136" s="570"/>
    </row>
    <row r="137" spans="3:29" s="2" customFormat="1" ht="14.25">
      <c r="C137" s="7"/>
      <c r="F137" s="83"/>
      <c r="J137" s="26"/>
      <c r="K137" s="26"/>
      <c r="L137" s="26"/>
      <c r="O137" s="18"/>
      <c r="X137" s="572"/>
      <c r="Y137" s="572"/>
      <c r="Z137" s="570"/>
      <c r="AA137" s="572"/>
      <c r="AB137" s="572"/>
      <c r="AC137" s="570"/>
    </row>
    <row r="138" spans="3:29" s="2" customFormat="1" ht="14.25">
      <c r="C138" s="7"/>
      <c r="F138" s="83"/>
      <c r="J138" s="26"/>
      <c r="K138" s="26"/>
      <c r="L138" s="26"/>
      <c r="O138" s="18"/>
      <c r="X138" s="572"/>
      <c r="Y138" s="572"/>
      <c r="Z138" s="570"/>
      <c r="AA138" s="572"/>
      <c r="AB138" s="572"/>
      <c r="AC138" s="570"/>
    </row>
    <row r="139" spans="3:29" s="2" customFormat="1" ht="14.25">
      <c r="C139" s="7"/>
      <c r="F139" s="83"/>
      <c r="J139" s="26"/>
      <c r="K139" s="26"/>
      <c r="L139" s="26"/>
      <c r="O139" s="18"/>
      <c r="X139" s="572"/>
      <c r="Y139" s="572"/>
      <c r="Z139" s="570"/>
      <c r="AA139" s="572"/>
      <c r="AB139" s="572"/>
      <c r="AC139" s="570"/>
    </row>
    <row r="140" spans="3:29" s="2" customFormat="1" ht="14.25">
      <c r="C140" s="7"/>
      <c r="F140" s="83"/>
      <c r="J140" s="26"/>
      <c r="K140" s="26"/>
      <c r="L140" s="26"/>
      <c r="O140" s="18"/>
      <c r="X140" s="572"/>
      <c r="Y140" s="572"/>
      <c r="Z140" s="570"/>
      <c r="AA140" s="572"/>
      <c r="AB140" s="572"/>
      <c r="AC140" s="570"/>
    </row>
    <row r="141" spans="3:29" s="2" customFormat="1" ht="14.25">
      <c r="C141" s="7"/>
      <c r="F141" s="83"/>
      <c r="J141" s="26"/>
      <c r="K141" s="26"/>
      <c r="L141" s="26"/>
      <c r="O141" s="18"/>
      <c r="X141" s="572"/>
      <c r="Y141" s="572"/>
      <c r="Z141" s="570"/>
      <c r="AA141" s="572"/>
      <c r="AB141" s="572"/>
      <c r="AC141" s="570"/>
    </row>
    <row r="142" spans="3:29" s="2" customFormat="1" ht="14.25">
      <c r="C142" s="7"/>
      <c r="F142" s="83"/>
      <c r="J142" s="26"/>
      <c r="K142" s="26"/>
      <c r="L142" s="26"/>
      <c r="O142" s="18"/>
      <c r="X142" s="572"/>
      <c r="Y142" s="572"/>
      <c r="Z142" s="570"/>
      <c r="AA142" s="572"/>
      <c r="AB142" s="572"/>
      <c r="AC142" s="570"/>
    </row>
    <row r="143" spans="3:29" s="2" customFormat="1" ht="14.25">
      <c r="C143" s="7"/>
      <c r="F143" s="83"/>
      <c r="J143" s="26"/>
      <c r="K143" s="26"/>
      <c r="L143" s="26"/>
      <c r="O143" s="18"/>
      <c r="X143" s="572"/>
      <c r="Y143" s="572"/>
      <c r="Z143" s="570"/>
      <c r="AA143" s="572"/>
      <c r="AB143" s="572"/>
      <c r="AC143" s="570"/>
    </row>
    <row r="144" spans="3:29" s="2" customFormat="1" ht="14.25">
      <c r="C144" s="7"/>
      <c r="F144" s="83"/>
      <c r="J144" s="26"/>
      <c r="K144" s="26"/>
      <c r="L144" s="26"/>
      <c r="O144" s="18"/>
      <c r="X144" s="572"/>
      <c r="Y144" s="572"/>
      <c r="Z144" s="570"/>
      <c r="AA144" s="572"/>
      <c r="AB144" s="572"/>
      <c r="AC144" s="570"/>
    </row>
    <row r="145" spans="3:29" s="2" customFormat="1" ht="14.25">
      <c r="C145" s="7"/>
      <c r="F145" s="83"/>
      <c r="J145" s="26"/>
      <c r="K145" s="26"/>
      <c r="L145" s="26"/>
      <c r="O145" s="18"/>
      <c r="X145" s="572"/>
      <c r="Y145" s="572"/>
      <c r="Z145" s="570"/>
      <c r="AA145" s="572"/>
      <c r="AB145" s="572"/>
      <c r="AC145" s="570"/>
    </row>
    <row r="146" spans="3:29" s="2" customFormat="1" ht="14.25">
      <c r="C146" s="7"/>
      <c r="F146" s="83"/>
      <c r="J146" s="26"/>
      <c r="K146" s="26"/>
      <c r="L146" s="26"/>
      <c r="O146" s="18"/>
      <c r="X146" s="572"/>
      <c r="Y146" s="572"/>
      <c r="Z146" s="570"/>
      <c r="AA146" s="572"/>
      <c r="AB146" s="572"/>
      <c r="AC146" s="570"/>
    </row>
    <row r="147" spans="3:29" s="2" customFormat="1" ht="14.25">
      <c r="C147" s="7"/>
      <c r="F147" s="83"/>
      <c r="J147" s="26"/>
      <c r="K147" s="26"/>
      <c r="L147" s="26"/>
      <c r="O147" s="18"/>
      <c r="X147" s="572"/>
      <c r="Y147" s="572"/>
      <c r="Z147" s="570"/>
      <c r="AA147" s="572"/>
      <c r="AB147" s="572"/>
      <c r="AC147" s="570"/>
    </row>
    <row r="148" spans="3:29" s="2" customFormat="1" ht="14.25">
      <c r="C148" s="7"/>
      <c r="F148" s="83"/>
      <c r="J148" s="26"/>
      <c r="K148" s="26"/>
      <c r="L148" s="26"/>
      <c r="O148" s="18"/>
      <c r="X148" s="572"/>
      <c r="Y148" s="572"/>
      <c r="Z148" s="570"/>
      <c r="AA148" s="572"/>
      <c r="AB148" s="572"/>
      <c r="AC148" s="570"/>
    </row>
    <row r="149" spans="3:29" s="2" customFormat="1" ht="14.25">
      <c r="C149" s="7"/>
      <c r="F149" s="83"/>
      <c r="J149" s="26"/>
      <c r="K149" s="26"/>
      <c r="L149" s="26"/>
      <c r="O149" s="18"/>
      <c r="X149" s="572"/>
      <c r="Y149" s="572"/>
      <c r="Z149" s="570"/>
      <c r="AA149" s="572"/>
      <c r="AB149" s="572"/>
      <c r="AC149" s="570"/>
    </row>
    <row r="150" spans="3:29" s="2" customFormat="1" ht="14.25">
      <c r="C150" s="7"/>
      <c r="F150" s="83"/>
      <c r="J150" s="26"/>
      <c r="K150" s="26"/>
      <c r="L150" s="26"/>
      <c r="O150" s="18"/>
      <c r="X150" s="572"/>
      <c r="Y150" s="572"/>
      <c r="Z150" s="570"/>
      <c r="AA150" s="572"/>
      <c r="AB150" s="572"/>
      <c r="AC150" s="570"/>
    </row>
    <row r="151" spans="3:29" s="2" customFormat="1" ht="14.25">
      <c r="C151" s="7"/>
      <c r="F151" s="83"/>
      <c r="J151" s="26"/>
      <c r="K151" s="26"/>
      <c r="L151" s="26"/>
      <c r="O151" s="18"/>
      <c r="X151" s="572"/>
      <c r="Y151" s="572"/>
      <c r="Z151" s="570"/>
      <c r="AA151" s="572"/>
      <c r="AB151" s="572"/>
      <c r="AC151" s="570"/>
    </row>
    <row r="152" spans="3:29" s="2" customFormat="1" ht="14.25">
      <c r="C152" s="7"/>
      <c r="F152" s="83"/>
      <c r="J152" s="26"/>
      <c r="K152" s="26"/>
      <c r="L152" s="26"/>
      <c r="O152" s="18"/>
      <c r="X152" s="572"/>
      <c r="Y152" s="572"/>
      <c r="Z152" s="570"/>
      <c r="AA152" s="572"/>
      <c r="AB152" s="572"/>
      <c r="AC152" s="570"/>
    </row>
    <row r="153" spans="3:29" s="2" customFormat="1" ht="14.25">
      <c r="C153" s="7"/>
      <c r="F153" s="83"/>
      <c r="J153" s="26"/>
      <c r="K153" s="26"/>
      <c r="L153" s="26"/>
      <c r="O153" s="18"/>
      <c r="X153" s="572"/>
      <c r="Y153" s="572"/>
      <c r="Z153" s="570"/>
      <c r="AA153" s="572"/>
      <c r="AB153" s="572"/>
      <c r="AC153" s="570"/>
    </row>
    <row r="154" spans="3:29" s="2" customFormat="1" ht="14.25">
      <c r="C154" s="7"/>
      <c r="F154" s="83"/>
      <c r="J154" s="26"/>
      <c r="K154" s="26"/>
      <c r="L154" s="26"/>
      <c r="O154" s="18"/>
      <c r="X154" s="572"/>
      <c r="Y154" s="572"/>
      <c r="Z154" s="570"/>
      <c r="AA154" s="572"/>
      <c r="AB154" s="572"/>
      <c r="AC154" s="570"/>
    </row>
    <row r="155" spans="3:29" s="2" customFormat="1" ht="14.25">
      <c r="C155" s="7"/>
      <c r="F155" s="83"/>
      <c r="J155" s="26"/>
      <c r="K155" s="26"/>
      <c r="L155" s="26"/>
      <c r="O155" s="18"/>
      <c r="X155" s="572"/>
      <c r="Y155" s="572"/>
      <c r="Z155" s="570"/>
      <c r="AA155" s="572"/>
      <c r="AB155" s="572"/>
      <c r="AC155" s="570"/>
    </row>
    <row r="156" spans="3:29" s="2" customFormat="1" ht="14.25">
      <c r="C156" s="7"/>
      <c r="F156" s="83"/>
      <c r="J156" s="26"/>
      <c r="K156" s="26"/>
      <c r="L156" s="26"/>
      <c r="O156" s="18"/>
      <c r="X156" s="572"/>
      <c r="Y156" s="572"/>
      <c r="Z156" s="570"/>
      <c r="AA156" s="572"/>
      <c r="AB156" s="572"/>
      <c r="AC156" s="570"/>
    </row>
    <row r="157" spans="3:29" s="2" customFormat="1" ht="14.25">
      <c r="C157" s="7"/>
      <c r="F157" s="83"/>
      <c r="J157" s="26"/>
      <c r="K157" s="26"/>
      <c r="L157" s="26"/>
      <c r="O157" s="18"/>
      <c r="X157" s="572"/>
      <c r="Y157" s="572"/>
      <c r="Z157" s="570"/>
      <c r="AA157" s="572"/>
      <c r="AB157" s="572"/>
      <c r="AC157" s="570"/>
    </row>
    <row r="158" spans="3:29" s="2" customFormat="1" ht="14.25">
      <c r="C158" s="7"/>
      <c r="F158" s="83"/>
      <c r="J158" s="26"/>
      <c r="K158" s="26"/>
      <c r="L158" s="26"/>
      <c r="O158" s="18"/>
      <c r="X158" s="572"/>
      <c r="Y158" s="572"/>
      <c r="Z158" s="570"/>
      <c r="AA158" s="572"/>
      <c r="AB158" s="572"/>
      <c r="AC158" s="570"/>
    </row>
    <row r="159" spans="3:29" s="2" customFormat="1" ht="14.25">
      <c r="C159" s="7"/>
      <c r="F159" s="83"/>
      <c r="J159" s="26"/>
      <c r="K159" s="26"/>
      <c r="L159" s="26"/>
      <c r="O159" s="18"/>
      <c r="X159" s="572"/>
      <c r="Y159" s="572"/>
      <c r="Z159" s="570"/>
      <c r="AA159" s="572"/>
      <c r="AB159" s="572"/>
      <c r="AC159" s="570"/>
    </row>
    <row r="160" spans="3:29" s="2" customFormat="1" ht="14.25">
      <c r="C160" s="7"/>
      <c r="F160" s="83"/>
      <c r="J160" s="26"/>
      <c r="K160" s="26"/>
      <c r="L160" s="26"/>
      <c r="O160" s="18"/>
      <c r="X160" s="572"/>
      <c r="Y160" s="572"/>
      <c r="Z160" s="570"/>
      <c r="AA160" s="572"/>
      <c r="AB160" s="572"/>
      <c r="AC160" s="570"/>
    </row>
    <row r="161" spans="1:29" s="2" customFormat="1" ht="14.25">
      <c r="C161" s="7"/>
      <c r="F161" s="83"/>
      <c r="J161" s="26"/>
      <c r="K161" s="26"/>
      <c r="L161" s="26"/>
      <c r="O161" s="18"/>
      <c r="X161" s="572"/>
      <c r="Y161" s="572"/>
      <c r="Z161" s="570"/>
      <c r="AA161" s="572"/>
      <c r="AB161" s="572"/>
      <c r="AC161" s="570"/>
    </row>
    <row r="162" spans="1:29" s="2" customFormat="1" ht="14.25">
      <c r="C162" s="7"/>
      <c r="F162" s="83"/>
      <c r="J162" s="26"/>
      <c r="K162" s="26"/>
      <c r="L162" s="26"/>
      <c r="O162" s="18"/>
      <c r="X162" s="572"/>
      <c r="Y162" s="572"/>
      <c r="Z162" s="570"/>
      <c r="AA162" s="572"/>
      <c r="AB162" s="572"/>
      <c r="AC162" s="570"/>
    </row>
    <row r="163" spans="1:29" s="2" customFormat="1" ht="14.25">
      <c r="C163" s="7"/>
      <c r="F163" s="83"/>
      <c r="J163" s="26"/>
      <c r="K163" s="26"/>
      <c r="L163" s="26"/>
      <c r="O163" s="18"/>
      <c r="X163" s="572"/>
      <c r="Y163" s="572"/>
      <c r="Z163" s="570"/>
      <c r="AA163" s="572"/>
      <c r="AB163" s="572"/>
      <c r="AC163" s="570"/>
    </row>
    <row r="164" spans="1:29" s="2" customFormat="1" ht="14.25">
      <c r="C164" s="7"/>
      <c r="F164" s="83"/>
      <c r="J164" s="26"/>
      <c r="K164" s="26"/>
      <c r="L164" s="26"/>
      <c r="O164" s="18"/>
      <c r="X164" s="572"/>
      <c r="Y164" s="572"/>
      <c r="Z164" s="570"/>
      <c r="AA164" s="572"/>
      <c r="AB164" s="572"/>
      <c r="AC164" s="570"/>
    </row>
    <row r="165" spans="1:29" s="2" customFormat="1" ht="14.25">
      <c r="C165" s="7"/>
      <c r="F165" s="83"/>
      <c r="J165" s="26"/>
      <c r="K165" s="26"/>
      <c r="L165" s="26"/>
      <c r="O165" s="18"/>
      <c r="X165" s="572"/>
      <c r="Y165" s="572"/>
      <c r="Z165" s="570"/>
      <c r="AA165" s="572"/>
      <c r="AB165" s="572"/>
      <c r="AC165" s="570"/>
    </row>
    <row r="166" spans="1:29" s="2" customFormat="1" ht="14.25">
      <c r="C166" s="7"/>
      <c r="F166" s="83"/>
      <c r="J166" s="26"/>
      <c r="K166" s="26"/>
      <c r="L166" s="26"/>
      <c r="O166" s="18"/>
      <c r="X166" s="572"/>
      <c r="Y166" s="572"/>
      <c r="Z166" s="570"/>
      <c r="AA166" s="572"/>
      <c r="AB166" s="572"/>
      <c r="AC166" s="570"/>
    </row>
    <row r="167" spans="1:29" s="2" customFormat="1" ht="14.25">
      <c r="C167" s="7"/>
      <c r="F167" s="83"/>
      <c r="J167" s="26"/>
      <c r="K167" s="26"/>
      <c r="L167" s="26"/>
      <c r="O167" s="18"/>
      <c r="X167" s="572"/>
      <c r="Y167" s="572"/>
      <c r="Z167" s="570"/>
      <c r="AA167" s="572"/>
      <c r="AB167" s="572"/>
      <c r="AC167" s="570"/>
    </row>
    <row r="168" spans="1:29" s="2" customFormat="1" ht="14.25">
      <c r="C168" s="7"/>
      <c r="F168" s="83"/>
      <c r="J168" s="26"/>
      <c r="K168" s="26"/>
      <c r="L168" s="26"/>
      <c r="O168" s="18"/>
      <c r="X168" s="572"/>
      <c r="Y168" s="572"/>
      <c r="Z168" s="570"/>
      <c r="AA168" s="572"/>
      <c r="AB168" s="572"/>
      <c r="AC168" s="570"/>
    </row>
    <row r="169" spans="1:29">
      <c r="A169" s="2"/>
      <c r="B169" s="2"/>
      <c r="C169" s="7"/>
      <c r="D169" s="2"/>
      <c r="F169" s="83"/>
      <c r="J169" s="26"/>
      <c r="K169" s="26"/>
      <c r="L169" s="26"/>
    </row>
  </sheetData>
  <mergeCells count="4">
    <mergeCell ref="A4:A6"/>
    <mergeCell ref="B4:B6"/>
    <mergeCell ref="A9:A11"/>
    <mergeCell ref="B9:B11"/>
  </mergeCells>
  <phoneticPr fontId="3" type="noConversion"/>
  <conditionalFormatting sqref="L4:L18">
    <cfRule type="cellIs" dxfId="74" priority="45" stopIfTrue="1" operator="lessThanOrEqual">
      <formula>-0.3</formula>
    </cfRule>
    <cfRule type="cellIs" dxfId="73" priority="46" stopIfTrue="1" operator="greaterThanOrEqual">
      <formula>0.3</formula>
    </cfRule>
  </conditionalFormatting>
  <conditionalFormatting sqref="P4:S18">
    <cfRule type="expression" dxfId="72" priority="43">
      <formula>P4&lt;&gt;0</formula>
    </cfRule>
  </conditionalFormatting>
  <conditionalFormatting sqref="P5:S5">
    <cfRule type="expression" dxfId="71" priority="41">
      <formula>$P$5&lt;〉0</formula>
    </cfRule>
  </conditionalFormatting>
  <conditionalFormatting sqref="O5:O6 O10:O18 O8">
    <cfRule type="expression" dxfId="70" priority="39">
      <formula>O5&lt;0</formula>
    </cfRule>
  </conditionalFormatting>
  <conditionalFormatting sqref="O5:O6 O10:O18 O8">
    <cfRule type="cellIs" dxfId="69" priority="37" stopIfTrue="1" operator="lessThan">
      <formula>0</formula>
    </cfRule>
    <cfRule type="cellIs" dxfId="68" priority="38" operator="greaterThan">
      <formula>0</formula>
    </cfRule>
  </conditionalFormatting>
  <hyperlinks>
    <hyperlink ref="D30" location="权重!A1" display="权重!A1"/>
    <hyperlink ref="D31" location="目录!A1" display="目录!A1"/>
  </hyperlinks>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6"/>
  </sheetPr>
  <dimension ref="A1:Q251"/>
  <sheetViews>
    <sheetView workbookViewId="0">
      <pane xSplit="4" ySplit="3" topLeftCell="E4" activePane="bottomRight" state="frozen"/>
      <selection activeCell="A3" sqref="A3:B3"/>
      <selection pane="topRight" activeCell="A3" sqref="A3:B3"/>
      <selection pane="bottomLeft" activeCell="A3" sqref="A3:B3"/>
      <selection pane="bottomRight" activeCell="E21" sqref="E21:K28"/>
    </sheetView>
  </sheetViews>
  <sheetFormatPr defaultColWidth="8.875" defaultRowHeight="16.5" outlineLevelCol="1"/>
  <cols>
    <col min="1" max="1" width="23.375" style="1" hidden="1" customWidth="1" outlineLevel="1"/>
    <col min="2" max="2" width="20.75" style="1" hidden="1" customWidth="1" outlineLevel="1"/>
    <col min="3" max="3" width="4.5" style="1" customWidth="1" collapsed="1"/>
    <col min="4" max="4" width="46.75" style="1" bestFit="1" customWidth="1"/>
    <col min="5" max="5" width="17.5" style="2" customWidth="1"/>
    <col min="6" max="6" width="9.375" style="1" hidden="1" customWidth="1" outlineLevel="1"/>
    <col min="7" max="7" width="8.875" style="1" hidden="1" customWidth="1" outlineLevel="1"/>
    <col min="8" max="8" width="11.5" style="19" hidden="1" customWidth="1" outlineLevel="1"/>
    <col min="9" max="10" width="13.75" style="1" customWidth="1" collapsed="1"/>
    <col min="11" max="11" width="11.5" style="1" customWidth="1"/>
    <col min="12" max="13" width="12.125" style="1" customWidth="1" outlineLevel="1"/>
    <col min="14" max="14" width="8.875" style="1" customWidth="1" outlineLevel="1"/>
    <col min="15" max="16384" width="8.875" style="1"/>
  </cols>
  <sheetData>
    <row r="1" spans="1:17">
      <c r="A1" s="47"/>
      <c r="B1" s="47"/>
      <c r="C1" s="712"/>
      <c r="D1" s="47" t="s">
        <v>226</v>
      </c>
      <c r="E1" s="89"/>
      <c r="F1" s="47"/>
      <c r="G1" s="712"/>
      <c r="H1" s="771"/>
      <c r="I1" s="47"/>
      <c r="J1" s="47"/>
      <c r="K1" s="712"/>
    </row>
    <row r="2" spans="1:17">
      <c r="A2" s="86"/>
      <c r="B2" s="47"/>
      <c r="C2" s="86"/>
      <c r="D2" s="86"/>
      <c r="F2" s="86"/>
      <c r="I2" s="47"/>
      <c r="J2" s="47"/>
      <c r="K2" s="712"/>
      <c r="M2" s="308" t="s">
        <v>1945</v>
      </c>
    </row>
    <row r="3" spans="1:17">
      <c r="A3" s="90" t="s">
        <v>575</v>
      </c>
      <c r="B3" s="90" t="s">
        <v>1161</v>
      </c>
      <c r="C3" s="14" t="s">
        <v>228</v>
      </c>
      <c r="D3" s="15" t="s">
        <v>227</v>
      </c>
      <c r="E3" s="15" t="s">
        <v>1752</v>
      </c>
      <c r="F3" s="15" t="s">
        <v>469</v>
      </c>
      <c r="G3" s="15" t="s">
        <v>732</v>
      </c>
      <c r="H3" s="15" t="s">
        <v>571</v>
      </c>
      <c r="I3" s="15" t="s">
        <v>1759</v>
      </c>
      <c r="J3" s="934" t="s">
        <v>2347</v>
      </c>
      <c r="K3" s="15" t="s">
        <v>1189</v>
      </c>
      <c r="L3" s="707" t="s">
        <v>2349</v>
      </c>
      <c r="M3" s="15" t="s">
        <v>2351</v>
      </c>
      <c r="N3" s="15" t="s">
        <v>1190</v>
      </c>
      <c r="O3" s="15" t="s">
        <v>541</v>
      </c>
    </row>
    <row r="4" spans="1:17" s="2" customFormat="1" ht="14.25">
      <c r="A4" s="1990" t="s">
        <v>468</v>
      </c>
      <c r="B4" s="1990" t="s">
        <v>1731</v>
      </c>
      <c r="C4" s="22">
        <v>1</v>
      </c>
      <c r="D4" s="58" t="s">
        <v>223</v>
      </c>
      <c r="E4" s="473" t="s">
        <v>259</v>
      </c>
      <c r="F4" s="101" t="s">
        <v>484</v>
      </c>
      <c r="G4" s="1874" t="s">
        <v>284</v>
      </c>
      <c r="H4" s="1883">
        <v>70</v>
      </c>
      <c r="I4" s="45">
        <v>0</v>
      </c>
      <c r="J4" s="45">
        <v>0</v>
      </c>
      <c r="K4" s="290">
        <f t="shared" ref="K4:K19" si="0">IF((I4=J4)=TRUE,0,1)</f>
        <v>0</v>
      </c>
      <c r="L4" s="1945">
        <v>70</v>
      </c>
      <c r="M4" s="1945">
        <v>70</v>
      </c>
      <c r="N4" s="1814">
        <f>L4-M4</f>
        <v>0</v>
      </c>
      <c r="O4" s="1882">
        <f>H4-L4</f>
        <v>0</v>
      </c>
      <c r="P4" s="5" t="s">
        <v>223</v>
      </c>
      <c r="Q4" s="2" t="b">
        <f t="shared" ref="Q4:Q19" si="1">P4=D4</f>
        <v>1</v>
      </c>
    </row>
    <row r="5" spans="1:17" s="2" customFormat="1" ht="14.25">
      <c r="A5" s="1991"/>
      <c r="B5" s="1993"/>
      <c r="C5" s="22">
        <v>2</v>
      </c>
      <c r="D5" s="58" t="s">
        <v>247</v>
      </c>
      <c r="E5" s="473" t="s">
        <v>259</v>
      </c>
      <c r="F5" s="107" t="s">
        <v>484</v>
      </c>
      <c r="G5" s="1874"/>
      <c r="H5" s="1883"/>
      <c r="I5" s="45" t="s">
        <v>1960</v>
      </c>
      <c r="J5" s="45" t="s">
        <v>1960</v>
      </c>
      <c r="K5" s="290">
        <f t="shared" si="0"/>
        <v>0</v>
      </c>
      <c r="L5" s="1945"/>
      <c r="M5" s="1945"/>
      <c r="N5" s="1815"/>
      <c r="O5" s="1882"/>
      <c r="P5" s="5" t="s">
        <v>565</v>
      </c>
      <c r="Q5" s="2" t="b">
        <f t="shared" si="1"/>
        <v>1</v>
      </c>
    </row>
    <row r="6" spans="1:17" s="2" customFormat="1" ht="14.25">
      <c r="A6" s="1991"/>
      <c r="B6" s="1993"/>
      <c r="C6" s="22">
        <v>3</v>
      </c>
      <c r="D6" s="58" t="s">
        <v>248</v>
      </c>
      <c r="E6" s="473" t="s">
        <v>259</v>
      </c>
      <c r="F6" s="107" t="s">
        <v>484</v>
      </c>
      <c r="G6" s="1874"/>
      <c r="H6" s="1883"/>
      <c r="I6" s="45">
        <v>0</v>
      </c>
      <c r="J6" s="45">
        <v>0</v>
      </c>
      <c r="K6" s="290">
        <f t="shared" si="0"/>
        <v>0</v>
      </c>
      <c r="L6" s="1945"/>
      <c r="M6" s="1945"/>
      <c r="N6" s="1815"/>
      <c r="O6" s="1882"/>
      <c r="P6" s="5" t="s">
        <v>1723</v>
      </c>
      <c r="Q6" s="2" t="b">
        <f t="shared" si="1"/>
        <v>1</v>
      </c>
    </row>
    <row r="7" spans="1:17" s="2" customFormat="1" ht="14.25">
      <c r="A7" s="1991"/>
      <c r="B7" s="1993"/>
      <c r="C7" s="22">
        <v>4</v>
      </c>
      <c r="D7" s="58" t="s">
        <v>249</v>
      </c>
      <c r="E7" s="473" t="s">
        <v>259</v>
      </c>
      <c r="F7" s="107" t="s">
        <v>484</v>
      </c>
      <c r="G7" s="1874"/>
      <c r="H7" s="1883"/>
      <c r="I7" s="45" t="s">
        <v>1445</v>
      </c>
      <c r="J7" s="45" t="s">
        <v>1445</v>
      </c>
      <c r="K7" s="290">
        <f t="shared" si="0"/>
        <v>0</v>
      </c>
      <c r="L7" s="1945"/>
      <c r="M7" s="1945"/>
      <c r="N7" s="1815"/>
      <c r="O7" s="1882"/>
      <c r="P7" s="5" t="s">
        <v>566</v>
      </c>
      <c r="Q7" s="2" t="b">
        <f t="shared" si="1"/>
        <v>1</v>
      </c>
    </row>
    <row r="8" spans="1:17" s="2" customFormat="1" ht="14.25">
      <c r="A8" s="1991"/>
      <c r="B8" s="1993"/>
      <c r="C8" s="22">
        <v>5</v>
      </c>
      <c r="D8" s="58" t="s">
        <v>224</v>
      </c>
      <c r="E8" s="473" t="s">
        <v>259</v>
      </c>
      <c r="F8" s="107" t="s">
        <v>484</v>
      </c>
      <c r="G8" s="1874"/>
      <c r="H8" s="1883"/>
      <c r="I8" s="45">
        <v>0</v>
      </c>
      <c r="J8" s="45">
        <v>0</v>
      </c>
      <c r="K8" s="290">
        <f t="shared" si="0"/>
        <v>0</v>
      </c>
      <c r="L8" s="1945"/>
      <c r="M8" s="1945"/>
      <c r="N8" s="1815"/>
      <c r="O8" s="1882"/>
      <c r="P8" s="5" t="s">
        <v>224</v>
      </c>
      <c r="Q8" s="2" t="b">
        <f t="shared" si="1"/>
        <v>1</v>
      </c>
    </row>
    <row r="9" spans="1:17" s="2" customFormat="1" ht="14.25">
      <c r="A9" s="1991"/>
      <c r="B9" s="1993"/>
      <c r="C9" s="22">
        <v>6</v>
      </c>
      <c r="D9" s="58" t="s">
        <v>250</v>
      </c>
      <c r="E9" s="473" t="s">
        <v>259</v>
      </c>
      <c r="F9" s="107" t="s">
        <v>484</v>
      </c>
      <c r="G9" s="1874"/>
      <c r="H9" s="1883"/>
      <c r="I9" s="45" t="s">
        <v>1445</v>
      </c>
      <c r="J9" s="45" t="s">
        <v>1445</v>
      </c>
      <c r="K9" s="290">
        <f t="shared" si="0"/>
        <v>0</v>
      </c>
      <c r="L9" s="1945"/>
      <c r="M9" s="1945"/>
      <c r="N9" s="1816"/>
      <c r="O9" s="1882"/>
      <c r="P9" s="5" t="s">
        <v>567</v>
      </c>
      <c r="Q9" s="2" t="b">
        <f t="shared" si="1"/>
        <v>1</v>
      </c>
    </row>
    <row r="10" spans="1:17" s="2" customFormat="1" ht="14.25">
      <c r="A10" s="1991"/>
      <c r="B10" s="1993"/>
      <c r="C10" s="22">
        <v>7</v>
      </c>
      <c r="D10" s="58" t="s">
        <v>1713</v>
      </c>
      <c r="E10" s="473" t="s">
        <v>259</v>
      </c>
      <c r="F10" s="107" t="s">
        <v>484</v>
      </c>
      <c r="G10" s="1874" t="s">
        <v>284</v>
      </c>
      <c r="H10" s="1883">
        <v>20</v>
      </c>
      <c r="I10" s="45">
        <v>0</v>
      </c>
      <c r="J10" s="45">
        <v>0</v>
      </c>
      <c r="K10" s="290">
        <f t="shared" si="0"/>
        <v>0</v>
      </c>
      <c r="L10" s="1874">
        <v>20</v>
      </c>
      <c r="M10" s="1874">
        <v>20</v>
      </c>
      <c r="N10" s="1814">
        <f>L10-M10</f>
        <v>0</v>
      </c>
      <c r="O10" s="1926">
        <f>H10-L10</f>
        <v>0</v>
      </c>
      <c r="P10" s="5" t="s">
        <v>1713</v>
      </c>
      <c r="Q10" s="2" t="b">
        <f t="shared" si="1"/>
        <v>1</v>
      </c>
    </row>
    <row r="11" spans="1:17" s="2" customFormat="1" ht="14.25">
      <c r="A11" s="1991"/>
      <c r="B11" s="1993"/>
      <c r="C11" s="22">
        <v>8</v>
      </c>
      <c r="D11" s="58" t="s">
        <v>1714</v>
      </c>
      <c r="E11" s="473" t="s">
        <v>259</v>
      </c>
      <c r="F11" s="107" t="s">
        <v>484</v>
      </c>
      <c r="G11" s="1874"/>
      <c r="H11" s="1883"/>
      <c r="I11" s="45">
        <v>0</v>
      </c>
      <c r="J11" s="45">
        <v>0</v>
      </c>
      <c r="K11" s="290">
        <f t="shared" si="0"/>
        <v>0</v>
      </c>
      <c r="L11" s="1874"/>
      <c r="M11" s="1874"/>
      <c r="N11" s="1815"/>
      <c r="O11" s="1927"/>
      <c r="P11" s="5" t="s">
        <v>225</v>
      </c>
      <c r="Q11" s="2" t="b">
        <f t="shared" si="1"/>
        <v>0</v>
      </c>
    </row>
    <row r="12" spans="1:17" s="2" customFormat="1" ht="14.25">
      <c r="A12" s="1991"/>
      <c r="B12" s="1993"/>
      <c r="C12" s="22">
        <v>9</v>
      </c>
      <c r="D12" s="58" t="s">
        <v>1715</v>
      </c>
      <c r="E12" s="473" t="s">
        <v>259</v>
      </c>
      <c r="F12" s="107" t="s">
        <v>484</v>
      </c>
      <c r="G12" s="1874"/>
      <c r="H12" s="1883"/>
      <c r="I12" s="45">
        <v>0</v>
      </c>
      <c r="J12" s="45">
        <v>0</v>
      </c>
      <c r="K12" s="290">
        <f t="shared" si="0"/>
        <v>0</v>
      </c>
      <c r="L12" s="1874"/>
      <c r="M12" s="1874"/>
      <c r="N12" s="1816"/>
      <c r="O12" s="1928"/>
      <c r="P12" s="5" t="s">
        <v>1724</v>
      </c>
      <c r="Q12" s="2" t="b">
        <f t="shared" si="1"/>
        <v>1</v>
      </c>
    </row>
    <row r="13" spans="1:17" s="2" customFormat="1" ht="16.5" customHeight="1">
      <c r="A13" s="1991"/>
      <c r="B13" s="1993"/>
      <c r="C13" s="22">
        <v>10</v>
      </c>
      <c r="D13" s="58" t="s">
        <v>1716</v>
      </c>
      <c r="E13" s="473" t="s">
        <v>259</v>
      </c>
      <c r="F13" s="107" t="s">
        <v>484</v>
      </c>
      <c r="G13" s="1997" t="s">
        <v>285</v>
      </c>
      <c r="H13" s="1995" t="s">
        <v>267</v>
      </c>
      <c r="I13" s="45">
        <v>0</v>
      </c>
      <c r="J13" s="45">
        <v>0</v>
      </c>
      <c r="K13" s="290">
        <f t="shared" si="0"/>
        <v>0</v>
      </c>
      <c r="L13" s="1828" t="s">
        <v>267</v>
      </c>
      <c r="M13" s="1997" t="s">
        <v>267</v>
      </c>
      <c r="N13" s="1814">
        <v>0</v>
      </c>
      <c r="O13" s="1926">
        <f>0</f>
        <v>0</v>
      </c>
      <c r="P13" s="5" t="s">
        <v>1725</v>
      </c>
      <c r="Q13" s="2" t="b">
        <f t="shared" si="1"/>
        <v>1</v>
      </c>
    </row>
    <row r="14" spans="1:17" s="2" customFormat="1" ht="14.25">
      <c r="A14" s="1991"/>
      <c r="B14" s="1993"/>
      <c r="C14" s="22">
        <v>11</v>
      </c>
      <c r="D14" s="58" t="s">
        <v>1717</v>
      </c>
      <c r="E14" s="473" t="s">
        <v>259</v>
      </c>
      <c r="F14" s="107" t="s">
        <v>484</v>
      </c>
      <c r="G14" s="1997"/>
      <c r="H14" s="1995"/>
      <c r="I14" s="45">
        <v>0</v>
      </c>
      <c r="J14" s="45">
        <v>0</v>
      </c>
      <c r="K14" s="290">
        <f t="shared" si="0"/>
        <v>0</v>
      </c>
      <c r="L14" s="1828"/>
      <c r="M14" s="1997"/>
      <c r="N14" s="1815"/>
      <c r="O14" s="1927"/>
      <c r="P14" s="5" t="s">
        <v>1726</v>
      </c>
      <c r="Q14" s="2" t="b">
        <f t="shared" si="1"/>
        <v>1</v>
      </c>
    </row>
    <row r="15" spans="1:17" s="2" customFormat="1" ht="14.25">
      <c r="A15" s="1991"/>
      <c r="B15" s="1993"/>
      <c r="C15" s="22">
        <v>12</v>
      </c>
      <c r="D15" s="58" t="s">
        <v>1718</v>
      </c>
      <c r="E15" s="473" t="s">
        <v>259</v>
      </c>
      <c r="F15" s="107" t="s">
        <v>484</v>
      </c>
      <c r="G15" s="1997"/>
      <c r="H15" s="1995"/>
      <c r="I15" s="45">
        <v>0</v>
      </c>
      <c r="J15" s="45">
        <v>0</v>
      </c>
      <c r="K15" s="290">
        <f t="shared" si="0"/>
        <v>0</v>
      </c>
      <c r="L15" s="1828"/>
      <c r="M15" s="1997"/>
      <c r="N15" s="1815"/>
      <c r="O15" s="1927"/>
      <c r="P15" s="5" t="s">
        <v>1727</v>
      </c>
      <c r="Q15" s="2" t="b">
        <f t="shared" si="1"/>
        <v>1</v>
      </c>
    </row>
    <row r="16" spans="1:17" s="2" customFormat="1" ht="14.25">
      <c r="A16" s="1991"/>
      <c r="B16" s="1993"/>
      <c r="C16" s="22">
        <v>13</v>
      </c>
      <c r="D16" s="58" t="s">
        <v>1719</v>
      </c>
      <c r="E16" s="473" t="s">
        <v>259</v>
      </c>
      <c r="F16" s="107" t="s">
        <v>484</v>
      </c>
      <c r="G16" s="1997"/>
      <c r="H16" s="1995"/>
      <c r="I16" s="45">
        <v>0</v>
      </c>
      <c r="J16" s="45">
        <v>0</v>
      </c>
      <c r="K16" s="290">
        <f t="shared" si="0"/>
        <v>0</v>
      </c>
      <c r="L16" s="1828"/>
      <c r="M16" s="1997"/>
      <c r="N16" s="1815"/>
      <c r="O16" s="1927"/>
      <c r="P16" s="5" t="s">
        <v>1728</v>
      </c>
      <c r="Q16" s="2" t="b">
        <f t="shared" si="1"/>
        <v>1</v>
      </c>
    </row>
    <row r="17" spans="1:17" s="2" customFormat="1" ht="14.25">
      <c r="A17" s="1991"/>
      <c r="B17" s="1993"/>
      <c r="C17" s="22">
        <v>14</v>
      </c>
      <c r="D17" s="58" t="s">
        <v>1720</v>
      </c>
      <c r="E17" s="473" t="s">
        <v>259</v>
      </c>
      <c r="F17" s="107" t="s">
        <v>484</v>
      </c>
      <c r="G17" s="1997"/>
      <c r="H17" s="1995"/>
      <c r="I17" s="45">
        <v>0</v>
      </c>
      <c r="J17" s="45">
        <v>0</v>
      </c>
      <c r="K17" s="290">
        <f t="shared" si="0"/>
        <v>0</v>
      </c>
      <c r="L17" s="1828"/>
      <c r="M17" s="1997"/>
      <c r="N17" s="1815"/>
      <c r="O17" s="1927"/>
      <c r="P17" s="5" t="s">
        <v>1729</v>
      </c>
      <c r="Q17" s="2" t="b">
        <f t="shared" si="1"/>
        <v>1</v>
      </c>
    </row>
    <row r="18" spans="1:17" s="2" customFormat="1" ht="14.25">
      <c r="A18" s="1992"/>
      <c r="B18" s="1994"/>
      <c r="C18" s="22">
        <v>15</v>
      </c>
      <c r="D18" s="58" t="s">
        <v>1721</v>
      </c>
      <c r="E18" s="473" t="s">
        <v>259</v>
      </c>
      <c r="F18" s="108" t="s">
        <v>484</v>
      </c>
      <c r="G18" s="1997"/>
      <c r="H18" s="1995"/>
      <c r="I18" s="45">
        <v>0</v>
      </c>
      <c r="J18" s="45">
        <v>0</v>
      </c>
      <c r="K18" s="290">
        <f t="shared" si="0"/>
        <v>0</v>
      </c>
      <c r="L18" s="1828"/>
      <c r="M18" s="1997"/>
      <c r="N18" s="1815"/>
      <c r="O18" s="1927"/>
      <c r="P18" s="5" t="s">
        <v>1730</v>
      </c>
      <c r="Q18" s="2" t="b">
        <f t="shared" si="1"/>
        <v>1</v>
      </c>
    </row>
    <row r="19" spans="1:17" s="2" customFormat="1" ht="15" thickBot="1">
      <c r="A19" s="92" t="s">
        <v>463</v>
      </c>
      <c r="B19" s="92" t="s">
        <v>1722</v>
      </c>
      <c r="C19" s="141">
        <v>16</v>
      </c>
      <c r="D19" s="72" t="s">
        <v>251</v>
      </c>
      <c r="E19" s="474" t="s">
        <v>259</v>
      </c>
      <c r="F19" s="109" t="s">
        <v>484</v>
      </c>
      <c r="G19" s="1997"/>
      <c r="H19" s="1996"/>
      <c r="I19" s="45" t="s">
        <v>1445</v>
      </c>
      <c r="J19" s="45" t="s">
        <v>1445</v>
      </c>
      <c r="K19" s="290">
        <f t="shared" si="0"/>
        <v>0</v>
      </c>
      <c r="L19" s="1832"/>
      <c r="M19" s="1998"/>
      <c r="N19" s="1816"/>
      <c r="O19" s="1928"/>
      <c r="P19" s="140" t="s">
        <v>568</v>
      </c>
      <c r="Q19" s="2" t="b">
        <f t="shared" si="1"/>
        <v>1</v>
      </c>
    </row>
    <row r="20" spans="1:17" s="4" customFormat="1" ht="14.25">
      <c r="A20" s="13"/>
      <c r="B20" s="13"/>
      <c r="C20" s="801"/>
      <c r="D20" s="556" t="s">
        <v>277</v>
      </c>
      <c r="E20" s="802"/>
      <c r="F20" s="13"/>
      <c r="G20" s="12"/>
      <c r="H20" s="729">
        <v>90</v>
      </c>
      <c r="I20" s="70"/>
      <c r="J20" s="70"/>
      <c r="K20" s="70"/>
      <c r="L20" s="735">
        <f>SUM(L4:L19)</f>
        <v>90</v>
      </c>
      <c r="M20" s="735">
        <v>90</v>
      </c>
      <c r="N20" s="71">
        <f>SUM(N4:N19)</f>
        <v>0</v>
      </c>
      <c r="O20" s="735">
        <f>SUM(O4:O19)</f>
        <v>0</v>
      </c>
    </row>
    <row r="21" spans="1:17" s="2" customFormat="1" ht="14.25">
      <c r="D21" s="539" t="s">
        <v>1856</v>
      </c>
      <c r="H21" s="729">
        <v>90</v>
      </c>
      <c r="L21" s="737">
        <v>90</v>
      </c>
      <c r="M21" s="737">
        <v>88</v>
      </c>
    </row>
    <row r="22" spans="1:17" s="2" customFormat="1" ht="14.25">
      <c r="D22" s="539" t="s">
        <v>537</v>
      </c>
      <c r="H22" s="136"/>
      <c r="L22" s="737">
        <v>0</v>
      </c>
      <c r="M22" s="737">
        <v>0</v>
      </c>
    </row>
    <row r="23" spans="1:17" s="2" customFormat="1" ht="14.25">
      <c r="D23" s="539" t="s">
        <v>539</v>
      </c>
      <c r="H23" s="136"/>
      <c r="L23" s="737">
        <v>0</v>
      </c>
      <c r="M23" s="737">
        <v>0</v>
      </c>
    </row>
    <row r="24" spans="1:17" s="2" customFormat="1" ht="14.25">
      <c r="D24" s="539" t="s">
        <v>538</v>
      </c>
      <c r="H24" s="136"/>
      <c r="L24" s="737">
        <v>10</v>
      </c>
      <c r="M24" s="737">
        <v>10</v>
      </c>
    </row>
    <row r="25" spans="1:17" s="2" customFormat="1" ht="14.25">
      <c r="D25" s="539" t="s">
        <v>540</v>
      </c>
      <c r="H25" s="136"/>
      <c r="L25" s="737">
        <f>100-L21-L24</f>
        <v>0</v>
      </c>
      <c r="M25" s="737">
        <f>100-M21-M24</f>
        <v>2</v>
      </c>
    </row>
    <row r="30" spans="1:17" s="2" customFormat="1" ht="14.25">
      <c r="D30" s="843" t="s">
        <v>1897</v>
      </c>
      <c r="H30" s="18"/>
    </row>
    <row r="31" spans="1:17" s="2" customFormat="1" ht="14.25">
      <c r="D31" s="876" t="s">
        <v>1944</v>
      </c>
      <c r="H31" s="18"/>
    </row>
    <row r="32" spans="1:17" s="2" customFormat="1" ht="14.25">
      <c r="H32" s="18"/>
    </row>
    <row r="33" spans="8:8" s="2" customFormat="1" ht="14.25">
      <c r="H33" s="18"/>
    </row>
    <row r="34" spans="8:8" s="2" customFormat="1" ht="14.25">
      <c r="H34" s="18"/>
    </row>
    <row r="35" spans="8:8" s="2" customFormat="1" ht="14.25">
      <c r="H35" s="18"/>
    </row>
    <row r="36" spans="8:8" s="2" customFormat="1" ht="14.25">
      <c r="H36" s="18"/>
    </row>
    <row r="37" spans="8:8" s="2" customFormat="1" ht="14.25">
      <c r="H37" s="18"/>
    </row>
    <row r="38" spans="8:8" s="2" customFormat="1" ht="14.25">
      <c r="H38" s="18"/>
    </row>
    <row r="39" spans="8:8" s="2" customFormat="1" ht="14.25">
      <c r="H39" s="18"/>
    </row>
    <row r="40" spans="8:8" s="2" customFormat="1" ht="14.25">
      <c r="H40" s="18"/>
    </row>
    <row r="41" spans="8:8" s="2" customFormat="1" ht="14.25">
      <c r="H41" s="18"/>
    </row>
    <row r="42" spans="8:8" s="2" customFormat="1" ht="14.25">
      <c r="H42" s="18"/>
    </row>
    <row r="43" spans="8:8" s="2" customFormat="1" ht="14.25">
      <c r="H43" s="18"/>
    </row>
    <row r="44" spans="8:8" s="2" customFormat="1" ht="14.25">
      <c r="H44" s="18"/>
    </row>
    <row r="45" spans="8:8" s="2" customFormat="1" ht="14.25">
      <c r="H45" s="18"/>
    </row>
    <row r="46" spans="8:8" s="2" customFormat="1" ht="14.25">
      <c r="H46" s="18"/>
    </row>
    <row r="47" spans="8:8" s="2" customFormat="1" ht="14.25">
      <c r="H47" s="18"/>
    </row>
    <row r="48" spans="8:8" s="2" customFormat="1" ht="14.25">
      <c r="H48" s="18"/>
    </row>
    <row r="49" spans="8:8" s="2" customFormat="1" ht="14.25">
      <c r="H49" s="18"/>
    </row>
    <row r="50" spans="8:8" s="2" customFormat="1" ht="14.25">
      <c r="H50" s="18"/>
    </row>
    <row r="51" spans="8:8" s="2" customFormat="1" ht="14.25">
      <c r="H51" s="18"/>
    </row>
    <row r="52" spans="8:8" s="2" customFormat="1" ht="14.25">
      <c r="H52" s="18"/>
    </row>
    <row r="53" spans="8:8" s="2" customFormat="1" ht="14.25">
      <c r="H53" s="18"/>
    </row>
    <row r="54" spans="8:8" s="2" customFormat="1" ht="14.25">
      <c r="H54" s="18"/>
    </row>
    <row r="55" spans="8:8" s="2" customFormat="1" ht="14.25">
      <c r="H55" s="18"/>
    </row>
    <row r="56" spans="8:8" s="2" customFormat="1" ht="14.25">
      <c r="H56" s="18"/>
    </row>
    <row r="57" spans="8:8" s="2" customFormat="1" ht="14.25">
      <c r="H57" s="18"/>
    </row>
    <row r="58" spans="8:8" s="2" customFormat="1" ht="14.25">
      <c r="H58" s="18"/>
    </row>
    <row r="59" spans="8:8" s="2" customFormat="1" ht="14.25">
      <c r="H59" s="18"/>
    </row>
    <row r="60" spans="8:8" s="2" customFormat="1" ht="14.25">
      <c r="H60" s="18"/>
    </row>
    <row r="61" spans="8:8" s="2" customFormat="1" ht="14.25">
      <c r="H61" s="18"/>
    </row>
    <row r="62" spans="8:8" s="2" customFormat="1" ht="14.25">
      <c r="H62" s="18"/>
    </row>
    <row r="63" spans="8:8" s="2" customFormat="1" ht="14.25">
      <c r="H63" s="18"/>
    </row>
    <row r="64" spans="8:8" s="2" customFormat="1" ht="14.25">
      <c r="H64" s="18"/>
    </row>
    <row r="65" spans="8:8" s="2" customFormat="1" ht="14.25">
      <c r="H65" s="18"/>
    </row>
    <row r="66" spans="8:8" s="2" customFormat="1" ht="14.25">
      <c r="H66" s="18"/>
    </row>
    <row r="67" spans="8:8" s="2" customFormat="1" ht="14.25">
      <c r="H67" s="18"/>
    </row>
    <row r="68" spans="8:8" s="2" customFormat="1" ht="14.25">
      <c r="H68" s="18"/>
    </row>
    <row r="69" spans="8:8" s="2" customFormat="1" ht="14.25">
      <c r="H69" s="18"/>
    </row>
    <row r="70" spans="8:8" s="2" customFormat="1" ht="14.25">
      <c r="H70" s="18"/>
    </row>
    <row r="71" spans="8:8" s="2" customFormat="1" ht="14.25">
      <c r="H71" s="18"/>
    </row>
    <row r="72" spans="8:8" s="2" customFormat="1" ht="14.25">
      <c r="H72" s="18"/>
    </row>
    <row r="73" spans="8:8" s="2" customFormat="1" ht="14.25">
      <c r="H73" s="18"/>
    </row>
    <row r="74" spans="8:8" s="2" customFormat="1" ht="14.25">
      <c r="H74" s="18"/>
    </row>
    <row r="75" spans="8:8" s="2" customFormat="1" ht="14.25">
      <c r="H75" s="18"/>
    </row>
    <row r="76" spans="8:8" s="2" customFormat="1" ht="14.25">
      <c r="H76" s="18"/>
    </row>
    <row r="77" spans="8:8" s="2" customFormat="1" ht="14.25">
      <c r="H77" s="18"/>
    </row>
    <row r="78" spans="8:8" s="2" customFormat="1" ht="14.25">
      <c r="H78" s="18"/>
    </row>
    <row r="79" spans="8:8" s="2" customFormat="1" ht="14.25">
      <c r="H79" s="18"/>
    </row>
    <row r="80" spans="8:8" s="2" customFormat="1" ht="14.25">
      <c r="H80" s="18"/>
    </row>
    <row r="81" spans="8:8" s="2" customFormat="1" ht="14.25">
      <c r="H81" s="18"/>
    </row>
    <row r="82" spans="8:8" s="2" customFormat="1" ht="14.25">
      <c r="H82" s="18"/>
    </row>
    <row r="83" spans="8:8" s="2" customFormat="1" ht="14.25">
      <c r="H83" s="18"/>
    </row>
    <row r="84" spans="8:8" s="2" customFormat="1" ht="14.25">
      <c r="H84" s="18"/>
    </row>
    <row r="85" spans="8:8" s="2" customFormat="1" ht="14.25">
      <c r="H85" s="18"/>
    </row>
    <row r="86" spans="8:8" s="2" customFormat="1" ht="14.25">
      <c r="H86" s="18"/>
    </row>
    <row r="87" spans="8:8" s="2" customFormat="1" ht="14.25">
      <c r="H87" s="18"/>
    </row>
    <row r="88" spans="8:8" s="2" customFormat="1" ht="14.25">
      <c r="H88" s="18"/>
    </row>
    <row r="89" spans="8:8" s="2" customFormat="1" ht="14.25">
      <c r="H89" s="18"/>
    </row>
    <row r="90" spans="8:8" s="2" customFormat="1" ht="14.25">
      <c r="H90" s="18"/>
    </row>
    <row r="91" spans="8:8" s="2" customFormat="1" ht="14.25">
      <c r="H91" s="18"/>
    </row>
    <row r="92" spans="8:8" s="2" customFormat="1" ht="14.25">
      <c r="H92" s="18"/>
    </row>
    <row r="93" spans="8:8" s="2" customFormat="1" ht="14.25">
      <c r="H93" s="18"/>
    </row>
    <row r="94" spans="8:8" s="2" customFormat="1" ht="14.25">
      <c r="H94" s="18"/>
    </row>
    <row r="95" spans="8:8" s="2" customFormat="1" ht="14.25">
      <c r="H95" s="18"/>
    </row>
    <row r="96" spans="8:8" s="2" customFormat="1" ht="14.25">
      <c r="H96" s="18"/>
    </row>
    <row r="97" spans="8:8" s="2" customFormat="1" ht="14.25">
      <c r="H97" s="18"/>
    </row>
    <row r="98" spans="8:8" s="2" customFormat="1" ht="14.25">
      <c r="H98" s="18"/>
    </row>
    <row r="99" spans="8:8" s="2" customFormat="1" ht="14.25">
      <c r="H99" s="18"/>
    </row>
    <row r="100" spans="8:8" s="2" customFormat="1" ht="14.25">
      <c r="H100" s="18"/>
    </row>
    <row r="101" spans="8:8" s="2" customFormat="1" ht="14.25">
      <c r="H101" s="18"/>
    </row>
    <row r="102" spans="8:8" s="2" customFormat="1" ht="14.25">
      <c r="H102" s="18"/>
    </row>
    <row r="103" spans="8:8" s="2" customFormat="1" ht="14.25">
      <c r="H103" s="18"/>
    </row>
    <row r="104" spans="8:8" s="2" customFormat="1" ht="14.25">
      <c r="H104" s="18"/>
    </row>
    <row r="105" spans="8:8" s="2" customFormat="1" ht="14.25">
      <c r="H105" s="18"/>
    </row>
    <row r="106" spans="8:8" s="2" customFormat="1" ht="14.25">
      <c r="H106" s="18"/>
    </row>
    <row r="107" spans="8:8" s="2" customFormat="1" ht="14.25">
      <c r="H107" s="18"/>
    </row>
    <row r="108" spans="8:8" s="2" customFormat="1" ht="14.25">
      <c r="H108" s="18"/>
    </row>
    <row r="109" spans="8:8" s="2" customFormat="1" ht="14.25">
      <c r="H109" s="18"/>
    </row>
    <row r="110" spans="8:8" s="2" customFormat="1" ht="14.25">
      <c r="H110" s="18"/>
    </row>
    <row r="111" spans="8:8" s="2" customFormat="1" ht="14.25">
      <c r="H111" s="18"/>
    </row>
    <row r="112" spans="8:8" s="2" customFormat="1" ht="14.25">
      <c r="H112" s="18"/>
    </row>
    <row r="113" spans="8:8" s="2" customFormat="1" ht="14.25">
      <c r="H113" s="18"/>
    </row>
    <row r="114" spans="8:8" s="2" customFormat="1" ht="14.25">
      <c r="H114" s="18"/>
    </row>
    <row r="115" spans="8:8" s="2" customFormat="1" ht="14.25">
      <c r="H115" s="18"/>
    </row>
    <row r="116" spans="8:8" s="2" customFormat="1" ht="14.25">
      <c r="H116" s="18"/>
    </row>
    <row r="117" spans="8:8" s="2" customFormat="1" ht="14.25">
      <c r="H117" s="18"/>
    </row>
    <row r="118" spans="8:8" s="2" customFormat="1" ht="14.25">
      <c r="H118" s="18"/>
    </row>
    <row r="119" spans="8:8" s="2" customFormat="1" ht="14.25">
      <c r="H119" s="18"/>
    </row>
    <row r="120" spans="8:8" s="2" customFormat="1" ht="14.25">
      <c r="H120" s="18"/>
    </row>
    <row r="121" spans="8:8" s="2" customFormat="1" ht="14.25">
      <c r="H121" s="18"/>
    </row>
    <row r="122" spans="8:8" s="2" customFormat="1" ht="14.25">
      <c r="H122" s="18"/>
    </row>
    <row r="123" spans="8:8" s="2" customFormat="1" ht="14.25">
      <c r="H123" s="18"/>
    </row>
    <row r="124" spans="8:8" s="2" customFormat="1" ht="14.25">
      <c r="H124" s="18"/>
    </row>
    <row r="125" spans="8:8" s="2" customFormat="1" ht="14.25">
      <c r="H125" s="18"/>
    </row>
    <row r="126" spans="8:8" s="2" customFormat="1" ht="14.25">
      <c r="H126" s="18"/>
    </row>
    <row r="127" spans="8:8" s="2" customFormat="1" ht="14.25">
      <c r="H127" s="18"/>
    </row>
    <row r="128" spans="8:8" s="2" customFormat="1" ht="14.25">
      <c r="H128" s="18"/>
    </row>
    <row r="129" spans="8:8" s="2" customFormat="1" ht="14.25">
      <c r="H129" s="18"/>
    </row>
    <row r="130" spans="8:8" s="2" customFormat="1" ht="14.25">
      <c r="H130" s="18"/>
    </row>
    <row r="131" spans="8:8" s="2" customFormat="1" ht="14.25">
      <c r="H131" s="18"/>
    </row>
    <row r="132" spans="8:8" s="2" customFormat="1" ht="14.25">
      <c r="H132" s="18"/>
    </row>
    <row r="133" spans="8:8" s="2" customFormat="1" ht="14.25">
      <c r="H133" s="18"/>
    </row>
    <row r="134" spans="8:8" s="2" customFormat="1" ht="14.25">
      <c r="H134" s="18"/>
    </row>
    <row r="135" spans="8:8" s="2" customFormat="1" ht="14.25">
      <c r="H135" s="18"/>
    </row>
    <row r="136" spans="8:8" s="2" customFormat="1" ht="14.25">
      <c r="H136" s="18"/>
    </row>
    <row r="137" spans="8:8" s="2" customFormat="1" ht="14.25">
      <c r="H137" s="18"/>
    </row>
    <row r="138" spans="8:8" s="2" customFormat="1" ht="14.25">
      <c r="H138" s="18"/>
    </row>
    <row r="139" spans="8:8" s="2" customFormat="1" ht="14.25">
      <c r="H139" s="18"/>
    </row>
    <row r="140" spans="8:8" s="2" customFormat="1" ht="14.25">
      <c r="H140" s="18"/>
    </row>
    <row r="141" spans="8:8" s="2" customFormat="1" ht="14.25">
      <c r="H141" s="18"/>
    </row>
    <row r="142" spans="8:8" s="2" customFormat="1" ht="14.25">
      <c r="H142" s="18"/>
    </row>
    <row r="143" spans="8:8" s="2" customFormat="1" ht="14.25">
      <c r="H143" s="18"/>
    </row>
    <row r="144" spans="8:8" s="2" customFormat="1" ht="14.25">
      <c r="H144" s="18"/>
    </row>
    <row r="145" spans="8:8" s="2" customFormat="1" ht="14.25">
      <c r="H145" s="18"/>
    </row>
    <row r="146" spans="8:8" s="2" customFormat="1" ht="14.25">
      <c r="H146" s="18"/>
    </row>
    <row r="147" spans="8:8" s="2" customFormat="1" ht="14.25">
      <c r="H147" s="18"/>
    </row>
    <row r="148" spans="8:8" s="2" customFormat="1" ht="14.25">
      <c r="H148" s="18"/>
    </row>
    <row r="149" spans="8:8" s="2" customFormat="1" ht="14.25">
      <c r="H149" s="18"/>
    </row>
    <row r="150" spans="8:8" s="2" customFormat="1" ht="14.25">
      <c r="H150" s="18"/>
    </row>
    <row r="151" spans="8:8" s="2" customFormat="1" ht="14.25">
      <c r="H151" s="18"/>
    </row>
    <row r="152" spans="8:8" s="2" customFormat="1" ht="14.25">
      <c r="H152" s="18"/>
    </row>
    <row r="153" spans="8:8" s="2" customFormat="1" ht="14.25">
      <c r="H153" s="18"/>
    </row>
    <row r="154" spans="8:8" s="2" customFormat="1" ht="14.25">
      <c r="H154" s="18"/>
    </row>
    <row r="155" spans="8:8" s="2" customFormat="1" ht="14.25">
      <c r="H155" s="18"/>
    </row>
    <row r="156" spans="8:8" s="2" customFormat="1" ht="14.25">
      <c r="H156" s="18"/>
    </row>
    <row r="157" spans="8:8" s="2" customFormat="1" ht="14.25">
      <c r="H157" s="18"/>
    </row>
    <row r="158" spans="8:8" s="2" customFormat="1" ht="14.25">
      <c r="H158" s="18"/>
    </row>
    <row r="159" spans="8:8" s="2" customFormat="1" ht="14.25">
      <c r="H159" s="18"/>
    </row>
    <row r="160" spans="8:8" s="2" customFormat="1" ht="14.25">
      <c r="H160" s="18"/>
    </row>
    <row r="161" spans="8:8" s="2" customFormat="1" ht="14.25">
      <c r="H161" s="18"/>
    </row>
    <row r="162" spans="8:8" s="2" customFormat="1" ht="14.25">
      <c r="H162" s="18"/>
    </row>
    <row r="163" spans="8:8" s="2" customFormat="1" ht="14.25">
      <c r="H163" s="18"/>
    </row>
    <row r="164" spans="8:8" s="2" customFormat="1" ht="14.25">
      <c r="H164" s="18"/>
    </row>
    <row r="165" spans="8:8" s="2" customFormat="1" ht="14.25">
      <c r="H165" s="18"/>
    </row>
    <row r="166" spans="8:8" s="2" customFormat="1" ht="14.25">
      <c r="H166" s="18"/>
    </row>
    <row r="167" spans="8:8" s="2" customFormat="1" ht="14.25">
      <c r="H167" s="18"/>
    </row>
    <row r="168" spans="8:8" s="2" customFormat="1" ht="14.25">
      <c r="H168" s="18"/>
    </row>
    <row r="169" spans="8:8" s="2" customFormat="1" ht="14.25">
      <c r="H169" s="18"/>
    </row>
    <row r="170" spans="8:8" s="2" customFormat="1" ht="14.25">
      <c r="H170" s="18"/>
    </row>
    <row r="171" spans="8:8" s="2" customFormat="1" ht="14.25">
      <c r="H171" s="18"/>
    </row>
    <row r="172" spans="8:8" s="2" customFormat="1" ht="14.25">
      <c r="H172" s="18"/>
    </row>
    <row r="173" spans="8:8" s="2" customFormat="1" ht="14.25">
      <c r="H173" s="18"/>
    </row>
    <row r="174" spans="8:8" s="2" customFormat="1" ht="14.25">
      <c r="H174" s="18"/>
    </row>
    <row r="175" spans="8:8" s="2" customFormat="1" ht="14.25">
      <c r="H175" s="18"/>
    </row>
    <row r="176" spans="8:8" s="2" customFormat="1" ht="14.25">
      <c r="H176" s="18"/>
    </row>
    <row r="177" spans="8:8" s="2" customFormat="1" ht="14.25">
      <c r="H177" s="18"/>
    </row>
    <row r="178" spans="8:8" s="2" customFormat="1" ht="14.25">
      <c r="H178" s="18"/>
    </row>
    <row r="179" spans="8:8" s="2" customFormat="1" ht="14.25">
      <c r="H179" s="18"/>
    </row>
    <row r="180" spans="8:8" s="2" customFormat="1" ht="14.25">
      <c r="H180" s="18"/>
    </row>
    <row r="181" spans="8:8" s="2" customFormat="1" ht="14.25">
      <c r="H181" s="18"/>
    </row>
    <row r="182" spans="8:8" s="2" customFormat="1" ht="14.25">
      <c r="H182" s="18"/>
    </row>
    <row r="183" spans="8:8" s="2" customFormat="1" ht="14.25">
      <c r="H183" s="18"/>
    </row>
    <row r="184" spans="8:8" s="2" customFormat="1" ht="14.25">
      <c r="H184" s="18"/>
    </row>
    <row r="185" spans="8:8" s="2" customFormat="1" ht="14.25">
      <c r="H185" s="18"/>
    </row>
    <row r="186" spans="8:8" s="2" customFormat="1" ht="14.25">
      <c r="H186" s="18"/>
    </row>
    <row r="187" spans="8:8" s="2" customFormat="1" ht="14.25">
      <c r="H187" s="18"/>
    </row>
    <row r="188" spans="8:8" s="2" customFormat="1" ht="14.25">
      <c r="H188" s="18"/>
    </row>
    <row r="189" spans="8:8" s="2" customFormat="1" ht="14.25">
      <c r="H189" s="18"/>
    </row>
    <row r="190" spans="8:8" s="2" customFormat="1" ht="14.25">
      <c r="H190" s="18"/>
    </row>
    <row r="191" spans="8:8" s="2" customFormat="1" ht="14.25">
      <c r="H191" s="18"/>
    </row>
    <row r="192" spans="8:8" s="2" customFormat="1" ht="14.25">
      <c r="H192" s="18"/>
    </row>
    <row r="193" spans="8:8" s="2" customFormat="1" ht="14.25">
      <c r="H193" s="18"/>
    </row>
    <row r="194" spans="8:8" s="2" customFormat="1" ht="14.25">
      <c r="H194" s="18"/>
    </row>
    <row r="195" spans="8:8" s="2" customFormat="1" ht="14.25">
      <c r="H195" s="18"/>
    </row>
    <row r="196" spans="8:8" s="2" customFormat="1" ht="14.25">
      <c r="H196" s="18"/>
    </row>
    <row r="197" spans="8:8" s="2" customFormat="1" ht="14.25">
      <c r="H197" s="18"/>
    </row>
    <row r="198" spans="8:8" s="2" customFormat="1" ht="14.25">
      <c r="H198" s="18"/>
    </row>
    <row r="199" spans="8:8" s="2" customFormat="1" ht="14.25">
      <c r="H199" s="18"/>
    </row>
    <row r="200" spans="8:8" s="2" customFormat="1" ht="14.25">
      <c r="H200" s="18"/>
    </row>
    <row r="201" spans="8:8" s="2" customFormat="1" ht="14.25">
      <c r="H201" s="18"/>
    </row>
    <row r="202" spans="8:8" s="2" customFormat="1" ht="14.25">
      <c r="H202" s="18"/>
    </row>
    <row r="203" spans="8:8" s="2" customFormat="1" ht="14.25">
      <c r="H203" s="18"/>
    </row>
    <row r="204" spans="8:8" s="2" customFormat="1" ht="14.25">
      <c r="H204" s="18"/>
    </row>
    <row r="205" spans="8:8" s="2" customFormat="1" ht="14.25">
      <c r="H205" s="18"/>
    </row>
    <row r="206" spans="8:8" s="2" customFormat="1" ht="14.25">
      <c r="H206" s="18"/>
    </row>
    <row r="207" spans="8:8" s="2" customFormat="1" ht="14.25">
      <c r="H207" s="18"/>
    </row>
    <row r="208" spans="8:8" s="2" customFormat="1" ht="14.25">
      <c r="H208" s="18"/>
    </row>
    <row r="209" spans="8:8" s="2" customFormat="1" ht="14.25">
      <c r="H209" s="18"/>
    </row>
    <row r="210" spans="8:8" s="2" customFormat="1" ht="14.25">
      <c r="H210" s="18"/>
    </row>
    <row r="211" spans="8:8" s="2" customFormat="1" ht="14.25">
      <c r="H211" s="18"/>
    </row>
    <row r="212" spans="8:8" s="2" customFormat="1" ht="14.25">
      <c r="H212" s="18"/>
    </row>
    <row r="213" spans="8:8" s="2" customFormat="1" ht="14.25">
      <c r="H213" s="18"/>
    </row>
    <row r="214" spans="8:8" s="2" customFormat="1" ht="14.25">
      <c r="H214" s="18"/>
    </row>
    <row r="215" spans="8:8" s="2" customFormat="1" ht="14.25">
      <c r="H215" s="18"/>
    </row>
    <row r="216" spans="8:8" s="2" customFormat="1" ht="14.25">
      <c r="H216" s="18"/>
    </row>
    <row r="217" spans="8:8" s="2" customFormat="1" ht="14.25">
      <c r="H217" s="18"/>
    </row>
    <row r="218" spans="8:8" s="2" customFormat="1" ht="14.25">
      <c r="H218" s="18"/>
    </row>
    <row r="219" spans="8:8" s="2" customFormat="1" ht="14.25">
      <c r="H219" s="18"/>
    </row>
    <row r="220" spans="8:8" s="2" customFormat="1" ht="14.25">
      <c r="H220" s="18"/>
    </row>
    <row r="221" spans="8:8" s="2" customFormat="1" ht="14.25">
      <c r="H221" s="18"/>
    </row>
    <row r="222" spans="8:8" s="2" customFormat="1" ht="14.25">
      <c r="H222" s="18"/>
    </row>
    <row r="223" spans="8:8" s="2" customFormat="1" ht="14.25">
      <c r="H223" s="18"/>
    </row>
    <row r="224" spans="8:8" s="2" customFormat="1" ht="14.25">
      <c r="H224" s="18"/>
    </row>
    <row r="225" spans="8:8" s="2" customFormat="1" ht="14.25">
      <c r="H225" s="18"/>
    </row>
    <row r="226" spans="8:8" s="2" customFormat="1" ht="14.25">
      <c r="H226" s="18"/>
    </row>
    <row r="227" spans="8:8" s="2" customFormat="1" ht="14.25">
      <c r="H227" s="18"/>
    </row>
    <row r="228" spans="8:8" s="2" customFormat="1" ht="14.25">
      <c r="H228" s="18"/>
    </row>
    <row r="229" spans="8:8" s="2" customFormat="1" ht="14.25">
      <c r="H229" s="18"/>
    </row>
    <row r="230" spans="8:8" s="2" customFormat="1" ht="14.25">
      <c r="H230" s="18"/>
    </row>
    <row r="231" spans="8:8" s="2" customFormat="1" ht="14.25">
      <c r="H231" s="18"/>
    </row>
    <row r="232" spans="8:8" s="2" customFormat="1" ht="14.25">
      <c r="H232" s="18"/>
    </row>
    <row r="233" spans="8:8" s="2" customFormat="1" ht="14.25">
      <c r="H233" s="18"/>
    </row>
    <row r="234" spans="8:8" s="2" customFormat="1" ht="14.25">
      <c r="H234" s="18"/>
    </row>
    <row r="235" spans="8:8" s="2" customFormat="1" ht="14.25">
      <c r="H235" s="18"/>
    </row>
    <row r="236" spans="8:8" s="2" customFormat="1" ht="14.25">
      <c r="H236" s="18"/>
    </row>
    <row r="237" spans="8:8" s="2" customFormat="1" ht="14.25">
      <c r="H237" s="18"/>
    </row>
    <row r="238" spans="8:8" s="2" customFormat="1" ht="14.25">
      <c r="H238" s="18"/>
    </row>
    <row r="239" spans="8:8" s="2" customFormat="1" ht="14.25">
      <c r="H239" s="18"/>
    </row>
    <row r="240" spans="8:8" s="2" customFormat="1">
      <c r="H240" s="19"/>
    </row>
    <row r="241" spans="8:8" s="2" customFormat="1">
      <c r="H241" s="19"/>
    </row>
    <row r="242" spans="8:8" s="2" customFormat="1">
      <c r="H242" s="19"/>
    </row>
    <row r="243" spans="8:8" s="2" customFormat="1">
      <c r="H243" s="19"/>
    </row>
    <row r="244" spans="8:8" s="2" customFormat="1">
      <c r="H244" s="19"/>
    </row>
    <row r="245" spans="8:8" s="2" customFormat="1">
      <c r="H245" s="19"/>
    </row>
    <row r="246" spans="8:8" s="2" customFormat="1">
      <c r="H246" s="19"/>
    </row>
    <row r="247" spans="8:8" s="2" customFormat="1">
      <c r="H247" s="19"/>
    </row>
    <row r="248" spans="8:8" s="2" customFormat="1">
      <c r="H248" s="19"/>
    </row>
    <row r="249" spans="8:8" s="2" customFormat="1">
      <c r="H249" s="19"/>
    </row>
    <row r="250" spans="8:8" s="2" customFormat="1">
      <c r="H250" s="19"/>
    </row>
    <row r="251" spans="8:8" s="2" customFormat="1">
      <c r="H251" s="19"/>
    </row>
  </sheetData>
  <mergeCells count="20">
    <mergeCell ref="M4:M9"/>
    <mergeCell ref="M10:M12"/>
    <mergeCell ref="M13:M19"/>
    <mergeCell ref="L4:L9"/>
    <mergeCell ref="L10:L12"/>
    <mergeCell ref="L13:L19"/>
    <mergeCell ref="A4:A18"/>
    <mergeCell ref="B4:B18"/>
    <mergeCell ref="H13:H19"/>
    <mergeCell ref="H4:H9"/>
    <mergeCell ref="H10:H12"/>
    <mergeCell ref="G4:G9"/>
    <mergeCell ref="G10:G12"/>
    <mergeCell ref="G13:G19"/>
    <mergeCell ref="O4:O9"/>
    <mergeCell ref="O10:O12"/>
    <mergeCell ref="O13:O19"/>
    <mergeCell ref="N4:N9"/>
    <mergeCell ref="N10:N12"/>
    <mergeCell ref="N13:N19"/>
  </mergeCells>
  <phoneticPr fontId="3" type="noConversion"/>
  <conditionalFormatting sqref="K4:K19">
    <cfRule type="cellIs" dxfId="67" priority="39" stopIfTrue="1" operator="lessThanOrEqual">
      <formula>-0.3</formula>
    </cfRule>
    <cfRule type="cellIs" dxfId="66" priority="40" stopIfTrue="1" operator="greaterThanOrEqual">
      <formula>0.3</formula>
    </cfRule>
  </conditionalFormatting>
  <conditionalFormatting sqref="O4:O9">
    <cfRule type="expression" dxfId="65" priority="14">
      <formula>O4&lt;&gt;0</formula>
    </cfRule>
  </conditionalFormatting>
  <conditionalFormatting sqref="N4:N19">
    <cfRule type="expression" dxfId="64" priority="13">
      <formula>N4&lt;0</formula>
    </cfRule>
  </conditionalFormatting>
  <conditionalFormatting sqref="N4:N19">
    <cfRule type="cellIs" dxfId="63" priority="11" stopIfTrue="1" operator="lessThan">
      <formula>0</formula>
    </cfRule>
    <cfRule type="cellIs" dxfId="62" priority="12" operator="greaterThan">
      <formula>0</formula>
    </cfRule>
  </conditionalFormatting>
  <hyperlinks>
    <hyperlink ref="D30" location="权重!A1" display="权重!A1"/>
    <hyperlink ref="D31" location="目录!A1" display="目录!A1"/>
  </hyperlink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P146"/>
  <sheetViews>
    <sheetView workbookViewId="0">
      <pane xSplit="2" ySplit="2" topLeftCell="D3" activePane="bottomRight" state="frozen"/>
      <selection activeCell="A3" sqref="A3:B3"/>
      <selection pane="topRight" activeCell="A3" sqref="A3:B3"/>
      <selection pane="bottomLeft" activeCell="A3" sqref="A3:B3"/>
      <selection pane="bottomRight" activeCell="A146" sqref="A146"/>
    </sheetView>
  </sheetViews>
  <sheetFormatPr defaultColWidth="8.875" defaultRowHeight="12"/>
  <cols>
    <col min="1" max="1" width="12.625" style="169" customWidth="1"/>
    <col min="2" max="2" width="13.5" style="184" customWidth="1"/>
    <col min="3" max="3" width="18.875" style="185" customWidth="1"/>
    <col min="4" max="4" width="39" style="186" customWidth="1"/>
    <col min="5" max="5" width="5.75" style="169" bestFit="1" customWidth="1"/>
    <col min="6" max="6" width="6.25" style="169" bestFit="1" customWidth="1"/>
    <col min="7" max="7" width="7.875" style="169" customWidth="1"/>
    <col min="8" max="8" width="6.5" style="169" customWidth="1"/>
    <col min="9" max="10" width="6.125" style="169" customWidth="1"/>
    <col min="11" max="11" width="6.75" style="169" customWidth="1"/>
    <col min="12" max="13" width="8.5" style="237" bestFit="1" customWidth="1"/>
    <col min="14" max="14" width="8.125" style="169" customWidth="1"/>
    <col min="15" max="15" width="5.25" style="169" bestFit="1" customWidth="1"/>
    <col min="16" max="17" width="12.375" style="169" customWidth="1"/>
    <col min="18" max="16384" width="8.875" style="169"/>
  </cols>
  <sheetData>
    <row r="1" spans="1:16" ht="24.75" customHeight="1">
      <c r="A1" s="967" t="s">
        <v>729</v>
      </c>
      <c r="B1" s="968"/>
      <c r="C1" s="968"/>
      <c r="D1" s="968"/>
      <c r="E1" s="968"/>
      <c r="F1" s="968"/>
      <c r="G1" s="414"/>
    </row>
    <row r="2" spans="1:16" s="170" customFormat="1" ht="27">
      <c r="A2" s="233" t="s">
        <v>488</v>
      </c>
      <c r="B2" s="234" t="s">
        <v>730</v>
      </c>
      <c r="C2" s="235" t="s">
        <v>731</v>
      </c>
      <c r="D2" s="233" t="s">
        <v>732</v>
      </c>
      <c r="E2" s="235" t="s">
        <v>571</v>
      </c>
      <c r="F2" s="233" t="s">
        <v>1760</v>
      </c>
      <c r="G2" s="234" t="s">
        <v>1957</v>
      </c>
      <c r="H2" s="233"/>
      <c r="I2" s="1327" t="s">
        <v>2364</v>
      </c>
      <c r="J2" s="234" t="s">
        <v>2352</v>
      </c>
      <c r="K2" s="233"/>
      <c r="L2" s="233" t="s">
        <v>1958</v>
      </c>
      <c r="M2" s="233" t="s">
        <v>1959</v>
      </c>
      <c r="N2" s="233" t="s">
        <v>1614</v>
      </c>
      <c r="O2" s="233" t="s">
        <v>1613</v>
      </c>
    </row>
    <row r="3" spans="1:16" s="170" customFormat="1" ht="16.5" customHeight="1">
      <c r="A3" s="1999" t="s">
        <v>733</v>
      </c>
      <c r="B3" s="2000" t="s">
        <v>734</v>
      </c>
      <c r="C3" s="171" t="s">
        <v>735</v>
      </c>
      <c r="D3" s="173" t="s">
        <v>736</v>
      </c>
      <c r="E3" s="172">
        <v>5</v>
      </c>
      <c r="F3" s="172">
        <v>5</v>
      </c>
      <c r="G3" s="172">
        <f t="shared" ref="G3:G25" si="0">F3*0.15</f>
        <v>0.75</v>
      </c>
      <c r="H3" s="172"/>
      <c r="I3" s="172">
        <v>5</v>
      </c>
      <c r="J3" s="172">
        <f t="shared" ref="J3:J25" si="1">I3*0.15</f>
        <v>0.75</v>
      </c>
      <c r="K3" s="172"/>
      <c r="L3" s="502">
        <f t="shared" ref="L3:L34" si="2">I3-F3</f>
        <v>0</v>
      </c>
      <c r="M3" s="502">
        <f t="shared" ref="M3:M34" si="3">E3-I3</f>
        <v>0</v>
      </c>
      <c r="N3" s="172">
        <v>0.75</v>
      </c>
      <c r="O3" s="408">
        <v>1</v>
      </c>
      <c r="P3" s="969"/>
    </row>
    <row r="4" spans="1:16" s="170" customFormat="1" ht="14.25">
      <c r="A4" s="1999"/>
      <c r="B4" s="2000"/>
      <c r="C4" s="171" t="s">
        <v>737</v>
      </c>
      <c r="D4" s="174" t="s">
        <v>738</v>
      </c>
      <c r="E4" s="172">
        <v>5</v>
      </c>
      <c r="F4" s="172">
        <v>5</v>
      </c>
      <c r="G4" s="172">
        <f t="shared" si="0"/>
        <v>0.75</v>
      </c>
      <c r="H4" s="172"/>
      <c r="I4" s="172">
        <v>5</v>
      </c>
      <c r="J4" s="172">
        <f t="shared" si="1"/>
        <v>0.75</v>
      </c>
      <c r="K4" s="172"/>
      <c r="L4" s="502">
        <f t="shared" si="2"/>
        <v>0</v>
      </c>
      <c r="M4" s="502">
        <f t="shared" si="3"/>
        <v>0</v>
      </c>
      <c r="N4" s="172">
        <v>0.75</v>
      </c>
      <c r="O4" s="408">
        <v>1</v>
      </c>
      <c r="P4" s="969"/>
    </row>
    <row r="5" spans="1:16" s="170" customFormat="1" ht="27">
      <c r="A5" s="1999"/>
      <c r="B5" s="2000" t="s">
        <v>739</v>
      </c>
      <c r="C5" s="966" t="s">
        <v>740</v>
      </c>
      <c r="D5" s="173" t="s">
        <v>741</v>
      </c>
      <c r="E5" s="172">
        <v>8</v>
      </c>
      <c r="F5" s="172">
        <v>8</v>
      </c>
      <c r="G5" s="172">
        <f t="shared" si="0"/>
        <v>1.2</v>
      </c>
      <c r="H5" s="172"/>
      <c r="I5" s="172">
        <v>8</v>
      </c>
      <c r="J5" s="172">
        <f t="shared" si="1"/>
        <v>1.2</v>
      </c>
      <c r="K5" s="172"/>
      <c r="L5" s="502">
        <f t="shared" si="2"/>
        <v>0</v>
      </c>
      <c r="M5" s="502">
        <f t="shared" si="3"/>
        <v>0</v>
      </c>
      <c r="N5" s="172">
        <v>1.2</v>
      </c>
      <c r="O5" s="408">
        <v>1</v>
      </c>
      <c r="P5" s="969"/>
    </row>
    <row r="6" spans="1:16" s="170" customFormat="1" ht="27">
      <c r="A6" s="1999"/>
      <c r="B6" s="2000"/>
      <c r="C6" s="966" t="s">
        <v>742</v>
      </c>
      <c r="D6" s="173" t="s">
        <v>743</v>
      </c>
      <c r="E6" s="172">
        <v>8</v>
      </c>
      <c r="F6" s="172">
        <v>8</v>
      </c>
      <c r="G6" s="172">
        <f t="shared" si="0"/>
        <v>1.2</v>
      </c>
      <c r="H6" s="172"/>
      <c r="I6" s="172">
        <v>8</v>
      </c>
      <c r="J6" s="172">
        <f t="shared" si="1"/>
        <v>1.2</v>
      </c>
      <c r="K6" s="172"/>
      <c r="L6" s="502">
        <f t="shared" si="2"/>
        <v>0</v>
      </c>
      <c r="M6" s="502">
        <f t="shared" si="3"/>
        <v>0</v>
      </c>
      <c r="N6" s="172">
        <v>1.2</v>
      </c>
      <c r="O6" s="408">
        <v>1</v>
      </c>
      <c r="P6" s="969"/>
    </row>
    <row r="7" spans="1:16" s="170" customFormat="1" ht="14.25">
      <c r="A7" s="1999"/>
      <c r="B7" s="2000"/>
      <c r="C7" s="966" t="s">
        <v>744</v>
      </c>
      <c r="D7" s="437" t="s">
        <v>745</v>
      </c>
      <c r="E7" s="172">
        <v>8</v>
      </c>
      <c r="F7" s="441">
        <v>0</v>
      </c>
      <c r="G7" s="172">
        <f t="shared" si="0"/>
        <v>0</v>
      </c>
      <c r="H7" s="172"/>
      <c r="I7" s="441">
        <v>0</v>
      </c>
      <c r="J7" s="172">
        <f t="shared" si="1"/>
        <v>0</v>
      </c>
      <c r="K7" s="172"/>
      <c r="L7" s="502">
        <f t="shared" si="2"/>
        <v>0</v>
      </c>
      <c r="M7" s="502">
        <f t="shared" si="3"/>
        <v>8</v>
      </c>
      <c r="N7" s="172">
        <v>1.2</v>
      </c>
      <c r="O7" s="409">
        <v>0</v>
      </c>
      <c r="P7" s="969"/>
    </row>
    <row r="8" spans="1:16" s="170" customFormat="1" ht="27">
      <c r="A8" s="1999"/>
      <c r="B8" s="2000"/>
      <c r="C8" s="966" t="s">
        <v>746</v>
      </c>
      <c r="D8" s="173" t="s">
        <v>747</v>
      </c>
      <c r="E8" s="172">
        <v>8</v>
      </c>
      <c r="F8" s="172">
        <v>8</v>
      </c>
      <c r="G8" s="172">
        <f t="shared" si="0"/>
        <v>1.2</v>
      </c>
      <c r="H8" s="172"/>
      <c r="I8" s="172">
        <v>8</v>
      </c>
      <c r="J8" s="172">
        <f t="shared" si="1"/>
        <v>1.2</v>
      </c>
      <c r="K8" s="172"/>
      <c r="L8" s="502">
        <f t="shared" si="2"/>
        <v>0</v>
      </c>
      <c r="M8" s="502">
        <f t="shared" si="3"/>
        <v>0</v>
      </c>
      <c r="N8" s="172">
        <v>1.2</v>
      </c>
      <c r="O8" s="408">
        <v>1</v>
      </c>
      <c r="P8" s="969"/>
    </row>
    <row r="9" spans="1:16" s="170" customFormat="1" ht="14.25">
      <c r="A9" s="1999"/>
      <c r="B9" s="2000"/>
      <c r="C9" s="966" t="s">
        <v>748</v>
      </c>
      <c r="D9" s="174" t="s">
        <v>749</v>
      </c>
      <c r="E9" s="172">
        <v>8</v>
      </c>
      <c r="F9" s="172">
        <v>8</v>
      </c>
      <c r="G9" s="172">
        <f t="shared" si="0"/>
        <v>1.2</v>
      </c>
      <c r="H9" s="172"/>
      <c r="I9" s="172">
        <v>8</v>
      </c>
      <c r="J9" s="172">
        <f t="shared" si="1"/>
        <v>1.2</v>
      </c>
      <c r="K9" s="172"/>
      <c r="L9" s="502">
        <f t="shared" si="2"/>
        <v>0</v>
      </c>
      <c r="M9" s="502">
        <f t="shared" si="3"/>
        <v>0</v>
      </c>
      <c r="N9" s="172">
        <v>1.2</v>
      </c>
      <c r="O9" s="408">
        <v>1</v>
      </c>
      <c r="P9" s="969"/>
    </row>
    <row r="10" spans="1:16" s="170" customFormat="1" ht="27">
      <c r="A10" s="1999"/>
      <c r="B10" s="2000" t="s">
        <v>750</v>
      </c>
      <c r="C10" s="966" t="s">
        <v>751</v>
      </c>
      <c r="D10" s="173" t="s">
        <v>752</v>
      </c>
      <c r="E10" s="172">
        <v>10</v>
      </c>
      <c r="F10" s="172">
        <v>10</v>
      </c>
      <c r="G10" s="172">
        <f t="shared" si="0"/>
        <v>1.5</v>
      </c>
      <c r="H10" s="172"/>
      <c r="I10" s="172">
        <v>10</v>
      </c>
      <c r="J10" s="172">
        <f t="shared" si="1"/>
        <v>1.5</v>
      </c>
      <c r="K10" s="172"/>
      <c r="L10" s="502">
        <f t="shared" si="2"/>
        <v>0</v>
      </c>
      <c r="M10" s="502">
        <f t="shared" si="3"/>
        <v>0</v>
      </c>
      <c r="N10" s="172">
        <v>1.5</v>
      </c>
      <c r="O10" s="408">
        <v>1</v>
      </c>
      <c r="P10" s="969"/>
    </row>
    <row r="11" spans="1:16" s="170" customFormat="1" ht="14.25">
      <c r="A11" s="1999"/>
      <c r="B11" s="2000"/>
      <c r="C11" s="966" t="s">
        <v>753</v>
      </c>
      <c r="D11" s="173" t="s">
        <v>754</v>
      </c>
      <c r="E11" s="172">
        <v>10</v>
      </c>
      <c r="F11" s="172">
        <v>10</v>
      </c>
      <c r="G11" s="172">
        <f t="shared" si="0"/>
        <v>1.5</v>
      </c>
      <c r="H11" s="172"/>
      <c r="I11" s="172">
        <v>10</v>
      </c>
      <c r="J11" s="172">
        <f t="shared" si="1"/>
        <v>1.5</v>
      </c>
      <c r="K11" s="172"/>
      <c r="L11" s="502">
        <f t="shared" si="2"/>
        <v>0</v>
      </c>
      <c r="M11" s="502">
        <f t="shared" si="3"/>
        <v>0</v>
      </c>
      <c r="N11" s="172">
        <v>1.5</v>
      </c>
      <c r="O11" s="408">
        <v>1</v>
      </c>
      <c r="P11" s="969"/>
    </row>
    <row r="12" spans="1:16" s="170" customFormat="1" ht="27">
      <c r="A12" s="1999"/>
      <c r="B12" s="2000"/>
      <c r="C12" s="966" t="s">
        <v>755</v>
      </c>
      <c r="D12" s="173" t="s">
        <v>756</v>
      </c>
      <c r="E12" s="172">
        <v>10</v>
      </c>
      <c r="F12" s="172">
        <v>10</v>
      </c>
      <c r="G12" s="172">
        <f t="shared" si="0"/>
        <v>1.5</v>
      </c>
      <c r="H12" s="172"/>
      <c r="I12" s="172">
        <v>10</v>
      </c>
      <c r="J12" s="172">
        <f t="shared" si="1"/>
        <v>1.5</v>
      </c>
      <c r="K12" s="172"/>
      <c r="L12" s="502">
        <f t="shared" si="2"/>
        <v>0</v>
      </c>
      <c r="M12" s="502">
        <f t="shared" si="3"/>
        <v>0</v>
      </c>
      <c r="N12" s="172">
        <v>1.5</v>
      </c>
      <c r="O12" s="408">
        <v>1</v>
      </c>
      <c r="P12" s="969"/>
    </row>
    <row r="13" spans="1:16" s="170" customFormat="1" ht="54">
      <c r="A13" s="1999"/>
      <c r="B13" s="2000"/>
      <c r="C13" s="966" t="s">
        <v>757</v>
      </c>
      <c r="D13" s="437" t="s">
        <v>758</v>
      </c>
      <c r="E13" s="172">
        <v>10</v>
      </c>
      <c r="F13" s="441">
        <v>0</v>
      </c>
      <c r="G13" s="172">
        <f t="shared" si="0"/>
        <v>0</v>
      </c>
      <c r="H13" s="172"/>
      <c r="I13" s="441">
        <v>0</v>
      </c>
      <c r="J13" s="172">
        <f t="shared" si="1"/>
        <v>0</v>
      </c>
      <c r="K13" s="172"/>
      <c r="L13" s="502">
        <f t="shared" si="2"/>
        <v>0</v>
      </c>
      <c r="M13" s="432">
        <f t="shared" si="3"/>
        <v>10</v>
      </c>
      <c r="N13" s="172">
        <v>1.5</v>
      </c>
      <c r="O13" s="409">
        <v>0.5</v>
      </c>
      <c r="P13" s="969"/>
    </row>
    <row r="14" spans="1:16" s="170" customFormat="1" ht="14.25">
      <c r="A14" s="1999"/>
      <c r="B14" s="2000"/>
      <c r="C14" s="175" t="s">
        <v>759</v>
      </c>
      <c r="D14" s="174" t="s">
        <v>760</v>
      </c>
      <c r="E14" s="176">
        <v>10</v>
      </c>
      <c r="F14" s="176">
        <v>10</v>
      </c>
      <c r="G14" s="176">
        <f t="shared" si="0"/>
        <v>1.5</v>
      </c>
      <c r="H14" s="176">
        <f>SUM(F3:F14)*0.15</f>
        <v>12.299999999999999</v>
      </c>
      <c r="I14" s="176">
        <v>10</v>
      </c>
      <c r="J14" s="176">
        <f t="shared" si="1"/>
        <v>1.5</v>
      </c>
      <c r="K14" s="176">
        <f>SUM(I3:I14)*0.15</f>
        <v>12.299999999999999</v>
      </c>
      <c r="L14" s="502">
        <f t="shared" si="2"/>
        <v>0</v>
      </c>
      <c r="M14" s="502">
        <f t="shared" si="3"/>
        <v>0</v>
      </c>
      <c r="N14" s="172">
        <v>1.5</v>
      </c>
      <c r="O14" s="408">
        <v>1</v>
      </c>
      <c r="P14" s="969"/>
    </row>
    <row r="15" spans="1:16" s="170" customFormat="1" ht="13.5" customHeight="1">
      <c r="A15" s="1999" t="s">
        <v>761</v>
      </c>
      <c r="B15" s="177" t="s">
        <v>762</v>
      </c>
      <c r="C15" s="178" t="s">
        <v>763</v>
      </c>
      <c r="D15" s="180" t="s">
        <v>764</v>
      </c>
      <c r="E15" s="179">
        <v>20</v>
      </c>
      <c r="F15" s="179">
        <v>20</v>
      </c>
      <c r="G15" s="179">
        <f t="shared" si="0"/>
        <v>3</v>
      </c>
      <c r="H15" s="179"/>
      <c r="I15" s="179">
        <v>20</v>
      </c>
      <c r="J15" s="179">
        <f t="shared" si="1"/>
        <v>3</v>
      </c>
      <c r="K15" s="179"/>
      <c r="L15" s="502">
        <f t="shared" si="2"/>
        <v>0</v>
      </c>
      <c r="M15" s="502">
        <f t="shared" si="3"/>
        <v>0</v>
      </c>
      <c r="N15" s="172">
        <v>3</v>
      </c>
      <c r="O15" s="408">
        <v>1</v>
      </c>
      <c r="P15" s="969"/>
    </row>
    <row r="16" spans="1:16" s="170" customFormat="1" ht="27">
      <c r="A16" s="1999"/>
      <c r="B16" s="2000" t="s">
        <v>765</v>
      </c>
      <c r="C16" s="966" t="s">
        <v>766</v>
      </c>
      <c r="D16" s="173" t="s">
        <v>1664</v>
      </c>
      <c r="E16" s="172">
        <v>8</v>
      </c>
      <c r="F16" s="172">
        <v>4</v>
      </c>
      <c r="G16" s="172">
        <f t="shared" si="0"/>
        <v>0.6</v>
      </c>
      <c r="H16" s="172"/>
      <c r="I16" s="172">
        <v>4</v>
      </c>
      <c r="J16" s="172">
        <f t="shared" si="1"/>
        <v>0.6</v>
      </c>
      <c r="K16" s="172"/>
      <c r="L16" s="502">
        <f t="shared" si="2"/>
        <v>0</v>
      </c>
      <c r="M16" s="502">
        <f t="shared" si="3"/>
        <v>4</v>
      </c>
      <c r="N16" s="172">
        <v>1.2</v>
      </c>
      <c r="O16" s="409">
        <v>1</v>
      </c>
      <c r="P16" s="969"/>
    </row>
    <row r="17" spans="1:16" s="170" customFormat="1" ht="14.25">
      <c r="A17" s="1999"/>
      <c r="B17" s="2000"/>
      <c r="C17" s="966" t="s">
        <v>767</v>
      </c>
      <c r="D17" s="173" t="s">
        <v>768</v>
      </c>
      <c r="E17" s="172">
        <v>8</v>
      </c>
      <c r="F17" s="172">
        <v>8</v>
      </c>
      <c r="G17" s="172">
        <f t="shared" si="0"/>
        <v>1.2</v>
      </c>
      <c r="H17" s="172"/>
      <c r="I17" s="172">
        <v>8</v>
      </c>
      <c r="J17" s="172">
        <f t="shared" si="1"/>
        <v>1.2</v>
      </c>
      <c r="K17" s="172"/>
      <c r="L17" s="502">
        <f t="shared" si="2"/>
        <v>0</v>
      </c>
      <c r="M17" s="502">
        <f t="shared" si="3"/>
        <v>0</v>
      </c>
      <c r="N17" s="172">
        <v>1.2</v>
      </c>
      <c r="O17" s="408">
        <v>1</v>
      </c>
      <c r="P17" s="969"/>
    </row>
    <row r="18" spans="1:16" s="170" customFormat="1" ht="27">
      <c r="A18" s="1999"/>
      <c r="B18" s="2000"/>
      <c r="C18" s="966" t="s">
        <v>769</v>
      </c>
      <c r="D18" s="173" t="s">
        <v>770</v>
      </c>
      <c r="E18" s="172">
        <v>8</v>
      </c>
      <c r="F18" s="172">
        <v>8</v>
      </c>
      <c r="G18" s="172">
        <f t="shared" si="0"/>
        <v>1.2</v>
      </c>
      <c r="H18" s="172"/>
      <c r="I18" s="172">
        <v>8</v>
      </c>
      <c r="J18" s="172">
        <f t="shared" si="1"/>
        <v>1.2</v>
      </c>
      <c r="K18" s="172"/>
      <c r="L18" s="502">
        <f t="shared" si="2"/>
        <v>0</v>
      </c>
      <c r="M18" s="502">
        <f t="shared" si="3"/>
        <v>0</v>
      </c>
      <c r="N18" s="172">
        <v>1.2</v>
      </c>
      <c r="O18" s="408">
        <v>1</v>
      </c>
      <c r="P18" s="969"/>
    </row>
    <row r="19" spans="1:16" s="170" customFormat="1" ht="27">
      <c r="A19" s="1999"/>
      <c r="B19" s="2000"/>
      <c r="C19" s="966" t="s">
        <v>771</v>
      </c>
      <c r="D19" s="173" t="s">
        <v>772</v>
      </c>
      <c r="E19" s="172">
        <v>8</v>
      </c>
      <c r="F19" s="172">
        <v>8</v>
      </c>
      <c r="G19" s="172">
        <f t="shared" si="0"/>
        <v>1.2</v>
      </c>
      <c r="H19" s="172"/>
      <c r="I19" s="172">
        <v>8</v>
      </c>
      <c r="J19" s="172">
        <f t="shared" si="1"/>
        <v>1.2</v>
      </c>
      <c r="K19" s="172"/>
      <c r="L19" s="502">
        <f t="shared" si="2"/>
        <v>0</v>
      </c>
      <c r="M19" s="502">
        <f t="shared" si="3"/>
        <v>0</v>
      </c>
      <c r="N19" s="172">
        <v>1.2</v>
      </c>
      <c r="O19" s="408">
        <v>1</v>
      </c>
      <c r="P19" s="969"/>
    </row>
    <row r="20" spans="1:16" s="170" customFormat="1" ht="40.5">
      <c r="A20" s="1999"/>
      <c r="B20" s="2000"/>
      <c r="C20" s="966" t="s">
        <v>773</v>
      </c>
      <c r="D20" s="173" t="s">
        <v>774</v>
      </c>
      <c r="E20" s="172">
        <v>8</v>
      </c>
      <c r="F20" s="172">
        <v>8</v>
      </c>
      <c r="G20" s="172">
        <f t="shared" si="0"/>
        <v>1.2</v>
      </c>
      <c r="H20" s="172"/>
      <c r="I20" s="172">
        <v>8</v>
      </c>
      <c r="J20" s="172">
        <f t="shared" si="1"/>
        <v>1.2</v>
      </c>
      <c r="K20" s="172"/>
      <c r="L20" s="502">
        <f t="shared" si="2"/>
        <v>0</v>
      </c>
      <c r="M20" s="502">
        <f t="shared" si="3"/>
        <v>0</v>
      </c>
      <c r="N20" s="172">
        <v>1.2</v>
      </c>
      <c r="O20" s="408">
        <v>1</v>
      </c>
      <c r="P20" s="969"/>
    </row>
    <row r="21" spans="1:16" s="170" customFormat="1" ht="27">
      <c r="A21" s="1999"/>
      <c r="B21" s="2000" t="s">
        <v>775</v>
      </c>
      <c r="C21" s="966" t="s">
        <v>776</v>
      </c>
      <c r="D21" s="173" t="s">
        <v>777</v>
      </c>
      <c r="E21" s="172">
        <v>8</v>
      </c>
      <c r="F21" s="172">
        <v>8</v>
      </c>
      <c r="G21" s="172">
        <f t="shared" si="0"/>
        <v>1.2</v>
      </c>
      <c r="H21" s="172"/>
      <c r="I21" s="172">
        <v>8</v>
      </c>
      <c r="J21" s="172">
        <f t="shared" si="1"/>
        <v>1.2</v>
      </c>
      <c r="K21" s="172"/>
      <c r="L21" s="502">
        <f t="shared" si="2"/>
        <v>0</v>
      </c>
      <c r="M21" s="502">
        <f t="shared" si="3"/>
        <v>0</v>
      </c>
      <c r="N21" s="172">
        <v>1.2</v>
      </c>
      <c r="O21" s="408">
        <v>1</v>
      </c>
      <c r="P21" s="969"/>
    </row>
    <row r="22" spans="1:16" s="170" customFormat="1" ht="27">
      <c r="A22" s="1999"/>
      <c r="B22" s="2000"/>
      <c r="C22" s="171" t="s">
        <v>778</v>
      </c>
      <c r="D22" s="173" t="s">
        <v>779</v>
      </c>
      <c r="E22" s="172">
        <v>8</v>
      </c>
      <c r="F22" s="172">
        <v>8</v>
      </c>
      <c r="G22" s="172">
        <f t="shared" si="0"/>
        <v>1.2</v>
      </c>
      <c r="H22" s="172"/>
      <c r="I22" s="172">
        <v>8</v>
      </c>
      <c r="J22" s="172">
        <f t="shared" si="1"/>
        <v>1.2</v>
      </c>
      <c r="K22" s="172"/>
      <c r="L22" s="502">
        <f t="shared" si="2"/>
        <v>0</v>
      </c>
      <c r="M22" s="502">
        <f t="shared" si="3"/>
        <v>0</v>
      </c>
      <c r="N22" s="172">
        <v>1.2</v>
      </c>
      <c r="O22" s="408">
        <v>1</v>
      </c>
      <c r="P22" s="969"/>
    </row>
    <row r="23" spans="1:16" s="170" customFormat="1" ht="27">
      <c r="A23" s="1999"/>
      <c r="B23" s="2000"/>
      <c r="C23" s="181" t="s">
        <v>780</v>
      </c>
      <c r="D23" s="180" t="s">
        <v>781</v>
      </c>
      <c r="E23" s="172">
        <v>8</v>
      </c>
      <c r="F23" s="172">
        <v>8</v>
      </c>
      <c r="G23" s="172">
        <f t="shared" si="0"/>
        <v>1.2</v>
      </c>
      <c r="H23" s="172"/>
      <c r="I23" s="172">
        <v>8</v>
      </c>
      <c r="J23" s="172">
        <f t="shared" si="1"/>
        <v>1.2</v>
      </c>
      <c r="K23" s="172"/>
      <c r="L23" s="502">
        <f t="shared" si="2"/>
        <v>0</v>
      </c>
      <c r="M23" s="502">
        <f t="shared" si="3"/>
        <v>0</v>
      </c>
      <c r="N23" s="172">
        <v>1.2</v>
      </c>
      <c r="O23" s="408">
        <v>1</v>
      </c>
      <c r="P23" s="969"/>
    </row>
    <row r="24" spans="1:16" s="170" customFormat="1" ht="27">
      <c r="A24" s="1999"/>
      <c r="B24" s="2000"/>
      <c r="C24" s="171" t="s">
        <v>782</v>
      </c>
      <c r="D24" s="173" t="s">
        <v>783</v>
      </c>
      <c r="E24" s="172">
        <v>8</v>
      </c>
      <c r="F24" s="172">
        <v>8</v>
      </c>
      <c r="G24" s="172">
        <f t="shared" si="0"/>
        <v>1.2</v>
      </c>
      <c r="H24" s="172"/>
      <c r="I24" s="172">
        <v>8</v>
      </c>
      <c r="J24" s="172">
        <f t="shared" si="1"/>
        <v>1.2</v>
      </c>
      <c r="K24" s="172"/>
      <c r="L24" s="502">
        <f t="shared" si="2"/>
        <v>0</v>
      </c>
      <c r="M24" s="502">
        <f t="shared" si="3"/>
        <v>0</v>
      </c>
      <c r="N24" s="172">
        <v>1.2</v>
      </c>
      <c r="O24" s="408">
        <v>1</v>
      </c>
      <c r="P24" s="969"/>
    </row>
    <row r="25" spans="1:16" s="170" customFormat="1" ht="27">
      <c r="A25" s="1999"/>
      <c r="B25" s="2000"/>
      <c r="C25" s="171" t="s">
        <v>784</v>
      </c>
      <c r="D25" s="437" t="s">
        <v>785</v>
      </c>
      <c r="E25" s="172">
        <v>8</v>
      </c>
      <c r="F25" s="441">
        <v>0</v>
      </c>
      <c r="G25" s="172">
        <f t="shared" si="0"/>
        <v>0</v>
      </c>
      <c r="H25" s="172">
        <f>SUM(F15:F25)*0.15</f>
        <v>13.2</v>
      </c>
      <c r="I25" s="441">
        <v>0</v>
      </c>
      <c r="J25" s="172">
        <f t="shared" si="1"/>
        <v>0</v>
      </c>
      <c r="K25" s="172">
        <f>SUM(I15:I25)*0.15</f>
        <v>13.2</v>
      </c>
      <c r="L25" s="502">
        <f t="shared" si="2"/>
        <v>0</v>
      </c>
      <c r="M25" s="502">
        <f t="shared" si="3"/>
        <v>8</v>
      </c>
      <c r="N25" s="172">
        <v>1.2</v>
      </c>
      <c r="O25" s="408">
        <v>1</v>
      </c>
      <c r="P25" s="969"/>
    </row>
    <row r="26" spans="1:16" s="170" customFormat="1" ht="14.25">
      <c r="A26" s="1999" t="s">
        <v>786</v>
      </c>
      <c r="B26" s="2000" t="s">
        <v>787</v>
      </c>
      <c r="C26" s="171" t="s">
        <v>788</v>
      </c>
      <c r="D26" s="173" t="s">
        <v>789</v>
      </c>
      <c r="E26" s="172">
        <v>5</v>
      </c>
      <c r="F26" s="172">
        <v>5</v>
      </c>
      <c r="G26" s="172">
        <f t="shared" ref="G26:G43" si="4">F26*0.2</f>
        <v>1</v>
      </c>
      <c r="H26" s="172"/>
      <c r="I26" s="172">
        <v>5</v>
      </c>
      <c r="J26" s="172">
        <f t="shared" ref="J26:J43" si="5">I26*0.2</f>
        <v>1</v>
      </c>
      <c r="K26" s="172"/>
      <c r="L26" s="502">
        <f t="shared" si="2"/>
        <v>0</v>
      </c>
      <c r="M26" s="502">
        <f t="shared" si="3"/>
        <v>0</v>
      </c>
      <c r="N26" s="172">
        <v>1</v>
      </c>
      <c r="O26" s="408">
        <v>1</v>
      </c>
      <c r="P26" s="969"/>
    </row>
    <row r="27" spans="1:16" s="170" customFormat="1" ht="14.25">
      <c r="A27" s="1999"/>
      <c r="B27" s="2000"/>
      <c r="C27" s="171" t="s">
        <v>790</v>
      </c>
      <c r="D27" s="173" t="s">
        <v>791</v>
      </c>
      <c r="E27" s="172">
        <v>5</v>
      </c>
      <c r="F27" s="172">
        <v>5</v>
      </c>
      <c r="G27" s="172">
        <f t="shared" si="4"/>
        <v>1</v>
      </c>
      <c r="H27" s="172"/>
      <c r="I27" s="172">
        <v>5</v>
      </c>
      <c r="J27" s="172">
        <f t="shared" si="5"/>
        <v>1</v>
      </c>
      <c r="K27" s="172"/>
      <c r="L27" s="502">
        <f t="shared" si="2"/>
        <v>0</v>
      </c>
      <c r="M27" s="502">
        <f t="shared" si="3"/>
        <v>0</v>
      </c>
      <c r="N27" s="172">
        <v>1</v>
      </c>
      <c r="O27" s="408">
        <v>1</v>
      </c>
      <c r="P27" s="969"/>
    </row>
    <row r="28" spans="1:16" s="170" customFormat="1" ht="40.5">
      <c r="A28" s="1999"/>
      <c r="B28" s="2000" t="s">
        <v>792</v>
      </c>
      <c r="C28" s="171" t="s">
        <v>793</v>
      </c>
      <c r="D28" s="173" t="s">
        <v>794</v>
      </c>
      <c r="E28" s="172">
        <v>5</v>
      </c>
      <c r="F28" s="172">
        <v>5</v>
      </c>
      <c r="G28" s="172">
        <f t="shared" si="4"/>
        <v>1</v>
      </c>
      <c r="H28" s="172"/>
      <c r="I28" s="172">
        <v>5</v>
      </c>
      <c r="J28" s="172">
        <f t="shared" si="5"/>
        <v>1</v>
      </c>
      <c r="K28" s="172"/>
      <c r="L28" s="502">
        <f t="shared" si="2"/>
        <v>0</v>
      </c>
      <c r="M28" s="502">
        <f t="shared" si="3"/>
        <v>0</v>
      </c>
      <c r="N28" s="172">
        <v>1</v>
      </c>
      <c r="O28" s="408">
        <v>1</v>
      </c>
      <c r="P28" s="969"/>
    </row>
    <row r="29" spans="1:16" s="170" customFormat="1" ht="27">
      <c r="A29" s="1999"/>
      <c r="B29" s="2000"/>
      <c r="C29" s="171" t="s">
        <v>795</v>
      </c>
      <c r="D29" s="173" t="s">
        <v>796</v>
      </c>
      <c r="E29" s="172">
        <v>5</v>
      </c>
      <c r="F29" s="172">
        <v>5</v>
      </c>
      <c r="G29" s="172">
        <f t="shared" si="4"/>
        <v>1</v>
      </c>
      <c r="H29" s="172"/>
      <c r="I29" s="172">
        <v>5</v>
      </c>
      <c r="J29" s="172">
        <f t="shared" si="5"/>
        <v>1</v>
      </c>
      <c r="K29" s="172"/>
      <c r="L29" s="502">
        <f t="shared" si="2"/>
        <v>0</v>
      </c>
      <c r="M29" s="502">
        <f t="shared" si="3"/>
        <v>0</v>
      </c>
      <c r="N29" s="172">
        <v>1</v>
      </c>
      <c r="O29" s="408">
        <v>1</v>
      </c>
      <c r="P29" s="969"/>
    </row>
    <row r="30" spans="1:16" s="170" customFormat="1" ht="27">
      <c r="A30" s="1999"/>
      <c r="B30" s="2000" t="s">
        <v>797</v>
      </c>
      <c r="C30" s="171" t="s">
        <v>798</v>
      </c>
      <c r="D30" s="173" t="s">
        <v>799</v>
      </c>
      <c r="E30" s="172">
        <v>5</v>
      </c>
      <c r="F30" s="172">
        <v>5</v>
      </c>
      <c r="G30" s="172">
        <f t="shared" si="4"/>
        <v>1</v>
      </c>
      <c r="H30" s="172"/>
      <c r="I30" s="172">
        <v>5</v>
      </c>
      <c r="J30" s="172">
        <f t="shared" si="5"/>
        <v>1</v>
      </c>
      <c r="K30" s="172"/>
      <c r="L30" s="502">
        <f t="shared" si="2"/>
        <v>0</v>
      </c>
      <c r="M30" s="502">
        <f t="shared" si="3"/>
        <v>0</v>
      </c>
      <c r="N30" s="172">
        <v>1</v>
      </c>
      <c r="O30" s="408">
        <v>1</v>
      </c>
      <c r="P30" s="969"/>
    </row>
    <row r="31" spans="1:16" s="170" customFormat="1" ht="27">
      <c r="A31" s="1999"/>
      <c r="B31" s="2000"/>
      <c r="C31" s="171" t="s">
        <v>800</v>
      </c>
      <c r="D31" s="173" t="s">
        <v>801</v>
      </c>
      <c r="E31" s="172">
        <v>5</v>
      </c>
      <c r="F31" s="441">
        <v>2</v>
      </c>
      <c r="G31" s="172">
        <f t="shared" si="4"/>
        <v>0.4</v>
      </c>
      <c r="H31" s="172"/>
      <c r="I31" s="441">
        <v>2</v>
      </c>
      <c r="J31" s="172">
        <f t="shared" si="5"/>
        <v>0.4</v>
      </c>
      <c r="K31" s="172"/>
      <c r="L31" s="502">
        <f t="shared" si="2"/>
        <v>0</v>
      </c>
      <c r="M31" s="502">
        <f t="shared" si="3"/>
        <v>3</v>
      </c>
      <c r="N31" s="172">
        <v>1</v>
      </c>
      <c r="O31" s="410">
        <v>1</v>
      </c>
      <c r="P31" s="969"/>
    </row>
    <row r="32" spans="1:16" s="170" customFormat="1" ht="14.25">
      <c r="A32" s="1999"/>
      <c r="B32" s="2000"/>
      <c r="C32" s="171" t="s">
        <v>802</v>
      </c>
      <c r="D32" s="437" t="s">
        <v>803</v>
      </c>
      <c r="E32" s="172">
        <v>5</v>
      </c>
      <c r="F32" s="172">
        <v>2</v>
      </c>
      <c r="G32" s="172">
        <f t="shared" si="4"/>
        <v>0.4</v>
      </c>
      <c r="H32" s="172"/>
      <c r="I32" s="172">
        <v>2</v>
      </c>
      <c r="J32" s="172">
        <f t="shared" si="5"/>
        <v>0.4</v>
      </c>
      <c r="K32" s="172"/>
      <c r="L32" s="502">
        <f t="shared" si="2"/>
        <v>0</v>
      </c>
      <c r="M32" s="502">
        <f t="shared" si="3"/>
        <v>3</v>
      </c>
      <c r="N32" s="172">
        <v>1</v>
      </c>
      <c r="O32" s="411">
        <v>1</v>
      </c>
      <c r="P32" s="969"/>
    </row>
    <row r="33" spans="1:16" s="170" customFormat="1" ht="40.5">
      <c r="A33" s="1999"/>
      <c r="B33" s="2000" t="s">
        <v>804</v>
      </c>
      <c r="C33" s="171" t="s">
        <v>805</v>
      </c>
      <c r="D33" s="173" t="s">
        <v>806</v>
      </c>
      <c r="E33" s="172">
        <v>10</v>
      </c>
      <c r="F33" s="172">
        <v>10</v>
      </c>
      <c r="G33" s="172">
        <f t="shared" si="4"/>
        <v>2</v>
      </c>
      <c r="H33" s="172"/>
      <c r="I33" s="172">
        <v>10</v>
      </c>
      <c r="J33" s="172">
        <f t="shared" si="5"/>
        <v>2</v>
      </c>
      <c r="K33" s="172"/>
      <c r="L33" s="502">
        <f t="shared" si="2"/>
        <v>0</v>
      </c>
      <c r="M33" s="502">
        <f t="shared" si="3"/>
        <v>0</v>
      </c>
      <c r="N33" s="172">
        <v>2</v>
      </c>
      <c r="O33" s="412">
        <v>1</v>
      </c>
      <c r="P33" s="969"/>
    </row>
    <row r="34" spans="1:16" s="170" customFormat="1" ht="14.25">
      <c r="A34" s="1999"/>
      <c r="B34" s="2000"/>
      <c r="C34" s="171" t="s">
        <v>807</v>
      </c>
      <c r="D34" s="173" t="s">
        <v>808</v>
      </c>
      <c r="E34" s="172">
        <v>5</v>
      </c>
      <c r="F34" s="172">
        <v>5</v>
      </c>
      <c r="G34" s="172">
        <f t="shared" si="4"/>
        <v>1</v>
      </c>
      <c r="H34" s="172"/>
      <c r="I34" s="172">
        <v>5</v>
      </c>
      <c r="J34" s="172">
        <f t="shared" si="5"/>
        <v>1</v>
      </c>
      <c r="K34" s="172"/>
      <c r="L34" s="502">
        <f t="shared" si="2"/>
        <v>0</v>
      </c>
      <c r="M34" s="502">
        <f t="shared" si="3"/>
        <v>0</v>
      </c>
      <c r="N34" s="172">
        <v>1</v>
      </c>
      <c r="O34" s="412">
        <v>1</v>
      </c>
      <c r="P34" s="969"/>
    </row>
    <row r="35" spans="1:16" s="170" customFormat="1" ht="14.25">
      <c r="A35" s="1999"/>
      <c r="B35" s="2000" t="s">
        <v>809</v>
      </c>
      <c r="C35" s="171" t="s">
        <v>810</v>
      </c>
      <c r="D35" s="173" t="s">
        <v>811</v>
      </c>
      <c r="E35" s="172">
        <v>5</v>
      </c>
      <c r="F35" s="172">
        <v>5</v>
      </c>
      <c r="G35" s="172">
        <f t="shared" si="4"/>
        <v>1</v>
      </c>
      <c r="H35" s="172"/>
      <c r="I35" s="172">
        <v>5</v>
      </c>
      <c r="J35" s="172">
        <f t="shared" si="5"/>
        <v>1</v>
      </c>
      <c r="K35" s="172"/>
      <c r="L35" s="502">
        <f t="shared" ref="L35:L66" si="6">I35-F35</f>
        <v>0</v>
      </c>
      <c r="M35" s="502">
        <f t="shared" ref="M35:M66" si="7">E35-I35</f>
        <v>0</v>
      </c>
      <c r="N35" s="172">
        <v>1</v>
      </c>
      <c r="O35" s="412">
        <v>1</v>
      </c>
      <c r="P35" s="969"/>
    </row>
    <row r="36" spans="1:16" s="170" customFormat="1" ht="14.25">
      <c r="A36" s="1999"/>
      <c r="B36" s="2000"/>
      <c r="C36" s="171" t="s">
        <v>812</v>
      </c>
      <c r="D36" s="173" t="s">
        <v>1666</v>
      </c>
      <c r="E36" s="172">
        <v>5</v>
      </c>
      <c r="F36" s="441">
        <v>2</v>
      </c>
      <c r="G36" s="172">
        <f t="shared" si="4"/>
        <v>0.4</v>
      </c>
      <c r="H36" s="172"/>
      <c r="I36" s="441">
        <v>2</v>
      </c>
      <c r="J36" s="172">
        <f t="shared" si="5"/>
        <v>0.4</v>
      </c>
      <c r="K36" s="172"/>
      <c r="L36" s="502">
        <f t="shared" si="6"/>
        <v>0</v>
      </c>
      <c r="M36" s="502">
        <f t="shared" si="7"/>
        <v>3</v>
      </c>
      <c r="N36" s="172">
        <v>1</v>
      </c>
      <c r="O36" s="413">
        <v>1</v>
      </c>
      <c r="P36" s="969"/>
    </row>
    <row r="37" spans="1:16" s="170" customFormat="1" ht="54">
      <c r="A37" s="1999"/>
      <c r="B37" s="2000" t="s">
        <v>813</v>
      </c>
      <c r="C37" s="171" t="s">
        <v>814</v>
      </c>
      <c r="D37" s="173" t="s">
        <v>1667</v>
      </c>
      <c r="E37" s="172">
        <v>10</v>
      </c>
      <c r="F37" s="441">
        <v>7</v>
      </c>
      <c r="G37" s="172">
        <f t="shared" si="4"/>
        <v>1.4000000000000001</v>
      </c>
      <c r="H37" s="172"/>
      <c r="I37" s="441">
        <v>7</v>
      </c>
      <c r="J37" s="172">
        <f t="shared" si="5"/>
        <v>1.4000000000000001</v>
      </c>
      <c r="K37" s="172"/>
      <c r="L37" s="502">
        <f t="shared" si="6"/>
        <v>0</v>
      </c>
      <c r="M37" s="502">
        <f t="shared" si="7"/>
        <v>3</v>
      </c>
      <c r="N37" s="172">
        <v>2</v>
      </c>
      <c r="O37" s="412">
        <v>1</v>
      </c>
      <c r="P37" s="969"/>
    </row>
    <row r="38" spans="1:16" s="170" customFormat="1" ht="14.25">
      <c r="A38" s="1999"/>
      <c r="B38" s="2000"/>
      <c r="C38" s="171" t="s">
        <v>815</v>
      </c>
      <c r="D38" s="173" t="s">
        <v>816</v>
      </c>
      <c r="E38" s="172">
        <v>3</v>
      </c>
      <c r="F38" s="172">
        <v>3</v>
      </c>
      <c r="G38" s="172">
        <f t="shared" si="4"/>
        <v>0.60000000000000009</v>
      </c>
      <c r="H38" s="172"/>
      <c r="I38" s="172">
        <v>3</v>
      </c>
      <c r="J38" s="172">
        <f t="shared" si="5"/>
        <v>0.60000000000000009</v>
      </c>
      <c r="K38" s="172"/>
      <c r="L38" s="502">
        <f t="shared" si="6"/>
        <v>0</v>
      </c>
      <c r="M38" s="502">
        <f t="shared" si="7"/>
        <v>0</v>
      </c>
      <c r="N38" s="172">
        <v>0.60000000000000009</v>
      </c>
      <c r="O38" s="412">
        <v>1</v>
      </c>
      <c r="P38" s="969"/>
    </row>
    <row r="39" spans="1:16" s="170" customFormat="1" ht="27">
      <c r="A39" s="1999"/>
      <c r="B39" s="2000"/>
      <c r="C39" s="171" t="s">
        <v>817</v>
      </c>
      <c r="D39" s="437" t="s">
        <v>818</v>
      </c>
      <c r="E39" s="172">
        <v>2</v>
      </c>
      <c r="F39" s="441">
        <v>0</v>
      </c>
      <c r="G39" s="172">
        <f t="shared" si="4"/>
        <v>0</v>
      </c>
      <c r="H39" s="172"/>
      <c r="I39" s="441">
        <v>0</v>
      </c>
      <c r="J39" s="172">
        <f t="shared" si="5"/>
        <v>0</v>
      </c>
      <c r="K39" s="172"/>
      <c r="L39" s="502">
        <f t="shared" si="6"/>
        <v>0</v>
      </c>
      <c r="M39" s="502">
        <f t="shared" si="7"/>
        <v>2</v>
      </c>
      <c r="N39" s="172">
        <v>0.4</v>
      </c>
      <c r="O39" s="413">
        <v>1</v>
      </c>
      <c r="P39" s="969"/>
    </row>
    <row r="40" spans="1:16" s="170" customFormat="1" ht="40.5">
      <c r="A40" s="1999"/>
      <c r="B40" s="182" t="s">
        <v>819</v>
      </c>
      <c r="C40" s="171" t="s">
        <v>820</v>
      </c>
      <c r="D40" s="173" t="s">
        <v>821</v>
      </c>
      <c r="E40" s="172">
        <v>10</v>
      </c>
      <c r="F40" s="172">
        <v>10</v>
      </c>
      <c r="G40" s="172">
        <f t="shared" si="4"/>
        <v>2</v>
      </c>
      <c r="H40" s="172"/>
      <c r="I40" s="172">
        <v>10</v>
      </c>
      <c r="J40" s="172">
        <f t="shared" si="5"/>
        <v>2</v>
      </c>
      <c r="K40" s="172"/>
      <c r="L40" s="502">
        <f t="shared" si="6"/>
        <v>0</v>
      </c>
      <c r="M40" s="502">
        <f t="shared" si="7"/>
        <v>0</v>
      </c>
      <c r="N40" s="172">
        <v>2</v>
      </c>
      <c r="O40" s="412">
        <v>1</v>
      </c>
      <c r="P40" s="969"/>
    </row>
    <row r="41" spans="1:16" s="170" customFormat="1" ht="27">
      <c r="A41" s="1999"/>
      <c r="B41" s="2000" t="s">
        <v>822</v>
      </c>
      <c r="C41" s="171" t="s">
        <v>823</v>
      </c>
      <c r="D41" s="173" t="s">
        <v>824</v>
      </c>
      <c r="E41" s="172">
        <v>4</v>
      </c>
      <c r="F41" s="172">
        <v>4</v>
      </c>
      <c r="G41" s="172">
        <f t="shared" si="4"/>
        <v>0.8</v>
      </c>
      <c r="H41" s="172"/>
      <c r="I41" s="172">
        <v>4</v>
      </c>
      <c r="J41" s="172">
        <f t="shared" si="5"/>
        <v>0.8</v>
      </c>
      <c r="K41" s="172"/>
      <c r="L41" s="502">
        <f t="shared" si="6"/>
        <v>0</v>
      </c>
      <c r="M41" s="502">
        <f t="shared" si="7"/>
        <v>0</v>
      </c>
      <c r="N41" s="172">
        <v>0.8</v>
      </c>
      <c r="O41" s="412">
        <v>1</v>
      </c>
      <c r="P41" s="969"/>
    </row>
    <row r="42" spans="1:16" s="170" customFormat="1" ht="27">
      <c r="A42" s="1999"/>
      <c r="B42" s="2000"/>
      <c r="C42" s="171" t="s">
        <v>825</v>
      </c>
      <c r="D42" s="173" t="s">
        <v>826</v>
      </c>
      <c r="E42" s="172">
        <v>6</v>
      </c>
      <c r="F42" s="172">
        <v>6</v>
      </c>
      <c r="G42" s="172">
        <f t="shared" si="4"/>
        <v>1.2000000000000002</v>
      </c>
      <c r="H42" s="172"/>
      <c r="I42" s="172">
        <v>6</v>
      </c>
      <c r="J42" s="172">
        <f t="shared" si="5"/>
        <v>1.2000000000000002</v>
      </c>
      <c r="K42" s="172"/>
      <c r="L42" s="502">
        <f t="shared" si="6"/>
        <v>0</v>
      </c>
      <c r="M42" s="502">
        <f t="shared" si="7"/>
        <v>0</v>
      </c>
      <c r="N42" s="172">
        <v>1.2000000000000002</v>
      </c>
      <c r="O42" s="412">
        <v>1</v>
      </c>
      <c r="P42" s="969"/>
    </row>
    <row r="43" spans="1:16" s="170" customFormat="1" ht="27">
      <c r="A43" s="1999"/>
      <c r="B43" s="182" t="s">
        <v>827</v>
      </c>
      <c r="C43" s="171" t="s">
        <v>828</v>
      </c>
      <c r="D43" s="173" t="s">
        <v>829</v>
      </c>
      <c r="E43" s="172">
        <v>5</v>
      </c>
      <c r="F43" s="172">
        <v>5</v>
      </c>
      <c r="G43" s="172">
        <f t="shared" si="4"/>
        <v>1</v>
      </c>
      <c r="H43" s="172">
        <f>SUM(F26:F43)*0.2</f>
        <v>17.2</v>
      </c>
      <c r="I43" s="172">
        <v>5</v>
      </c>
      <c r="J43" s="172">
        <f t="shared" si="5"/>
        <v>1</v>
      </c>
      <c r="K43" s="172">
        <f>SUM(I26:I43)*0.2</f>
        <v>17.2</v>
      </c>
      <c r="L43" s="502">
        <f t="shared" si="6"/>
        <v>0</v>
      </c>
      <c r="M43" s="502">
        <f t="shared" si="7"/>
        <v>0</v>
      </c>
      <c r="N43" s="172">
        <v>1</v>
      </c>
      <c r="O43" s="413">
        <v>1</v>
      </c>
      <c r="P43" s="969"/>
    </row>
    <row r="44" spans="1:16" s="170" customFormat="1" ht="14.25">
      <c r="A44" s="1999" t="s">
        <v>830</v>
      </c>
      <c r="B44" s="2000" t="s">
        <v>831</v>
      </c>
      <c r="C44" s="171" t="s">
        <v>832</v>
      </c>
      <c r="D44" s="173" t="s">
        <v>833</v>
      </c>
      <c r="E44" s="172">
        <v>10</v>
      </c>
      <c r="F44" s="172">
        <v>10</v>
      </c>
      <c r="G44" s="172">
        <f t="shared" ref="G44:G60" si="8">F44*0.1</f>
        <v>1</v>
      </c>
      <c r="H44" s="172"/>
      <c r="I44" s="172">
        <v>10</v>
      </c>
      <c r="J44" s="172">
        <f t="shared" ref="J44:J60" si="9">I44*0.1</f>
        <v>1</v>
      </c>
      <c r="K44" s="172"/>
      <c r="L44" s="502">
        <f t="shared" si="6"/>
        <v>0</v>
      </c>
      <c r="M44" s="502">
        <f t="shared" si="7"/>
        <v>0</v>
      </c>
      <c r="N44" s="172">
        <v>1</v>
      </c>
      <c r="O44" s="412">
        <v>1</v>
      </c>
      <c r="P44" s="969"/>
    </row>
    <row r="45" spans="1:16" s="170" customFormat="1" ht="67.5">
      <c r="A45" s="1999"/>
      <c r="B45" s="2000"/>
      <c r="C45" s="171" t="s">
        <v>834</v>
      </c>
      <c r="D45" s="173" t="s">
        <v>1678</v>
      </c>
      <c r="E45" s="172">
        <v>20</v>
      </c>
      <c r="F45" s="172">
        <v>20</v>
      </c>
      <c r="G45" s="172">
        <f t="shared" si="8"/>
        <v>2</v>
      </c>
      <c r="H45" s="172"/>
      <c r="I45" s="172">
        <v>20</v>
      </c>
      <c r="J45" s="172">
        <f t="shared" si="9"/>
        <v>2</v>
      </c>
      <c r="K45" s="172"/>
      <c r="L45" s="502">
        <f t="shared" si="6"/>
        <v>0</v>
      </c>
      <c r="M45" s="502">
        <f t="shared" si="7"/>
        <v>0</v>
      </c>
      <c r="N45" s="172">
        <v>2</v>
      </c>
      <c r="O45" s="413">
        <v>1</v>
      </c>
      <c r="P45" s="969"/>
    </row>
    <row r="46" spans="1:16" s="170" customFormat="1" ht="27">
      <c r="A46" s="1999"/>
      <c r="B46" s="2000"/>
      <c r="C46" s="171" t="s">
        <v>835</v>
      </c>
      <c r="D46" s="173" t="s">
        <v>1677</v>
      </c>
      <c r="E46" s="172">
        <v>15</v>
      </c>
      <c r="F46" s="172">
        <v>15</v>
      </c>
      <c r="G46" s="172">
        <f t="shared" si="8"/>
        <v>1.5</v>
      </c>
      <c r="H46" s="172"/>
      <c r="I46" s="172">
        <v>15</v>
      </c>
      <c r="J46" s="172">
        <f t="shared" si="9"/>
        <v>1.5</v>
      </c>
      <c r="K46" s="172"/>
      <c r="L46" s="502">
        <f t="shared" si="6"/>
        <v>0</v>
      </c>
      <c r="M46" s="502">
        <f t="shared" si="7"/>
        <v>0</v>
      </c>
      <c r="N46" s="172">
        <v>1.5</v>
      </c>
      <c r="O46" s="411">
        <v>1</v>
      </c>
      <c r="P46" s="969"/>
    </row>
    <row r="47" spans="1:16" s="170" customFormat="1" ht="40.5">
      <c r="A47" s="1999"/>
      <c r="B47" s="2000"/>
      <c r="C47" s="171" t="s">
        <v>836</v>
      </c>
      <c r="D47" s="173" t="s">
        <v>837</v>
      </c>
      <c r="E47" s="172">
        <v>5</v>
      </c>
      <c r="F47" s="172">
        <v>5</v>
      </c>
      <c r="G47" s="172">
        <f t="shared" si="8"/>
        <v>0.5</v>
      </c>
      <c r="H47" s="172"/>
      <c r="I47" s="172">
        <v>5</v>
      </c>
      <c r="J47" s="172">
        <f t="shared" si="9"/>
        <v>0.5</v>
      </c>
      <c r="K47" s="172"/>
      <c r="L47" s="502">
        <f t="shared" si="6"/>
        <v>0</v>
      </c>
      <c r="M47" s="502">
        <f t="shared" si="7"/>
        <v>0</v>
      </c>
      <c r="N47" s="172">
        <v>0.5</v>
      </c>
      <c r="O47" s="411">
        <v>1</v>
      </c>
      <c r="P47" s="969"/>
    </row>
    <row r="48" spans="1:16" s="170" customFormat="1" ht="27">
      <c r="A48" s="1999"/>
      <c r="B48" s="2000" t="s">
        <v>838</v>
      </c>
      <c r="C48" s="171" t="s">
        <v>839</v>
      </c>
      <c r="D48" s="173" t="s">
        <v>840</v>
      </c>
      <c r="E48" s="172">
        <v>4</v>
      </c>
      <c r="F48" s="172">
        <v>4</v>
      </c>
      <c r="G48" s="172">
        <f t="shared" si="8"/>
        <v>0.4</v>
      </c>
      <c r="H48" s="172"/>
      <c r="I48" s="172">
        <v>4</v>
      </c>
      <c r="J48" s="172">
        <f t="shared" si="9"/>
        <v>0.4</v>
      </c>
      <c r="K48" s="172"/>
      <c r="L48" s="502">
        <f t="shared" si="6"/>
        <v>0</v>
      </c>
      <c r="M48" s="502">
        <f t="shared" si="7"/>
        <v>0</v>
      </c>
      <c r="N48" s="172">
        <v>0.4</v>
      </c>
      <c r="O48" s="412">
        <v>1</v>
      </c>
      <c r="P48" s="969"/>
    </row>
    <row r="49" spans="1:16" s="170" customFormat="1" ht="14.25">
      <c r="A49" s="1999"/>
      <c r="B49" s="2000"/>
      <c r="C49" s="171" t="s">
        <v>841</v>
      </c>
      <c r="D49" s="437" t="s">
        <v>1668</v>
      </c>
      <c r="E49" s="172">
        <v>3</v>
      </c>
      <c r="F49" s="441">
        <v>0</v>
      </c>
      <c r="G49" s="172">
        <f t="shared" si="8"/>
        <v>0</v>
      </c>
      <c r="H49" s="172"/>
      <c r="I49" s="441">
        <v>0</v>
      </c>
      <c r="J49" s="172">
        <f t="shared" si="9"/>
        <v>0</v>
      </c>
      <c r="K49" s="172"/>
      <c r="L49" s="502">
        <f t="shared" si="6"/>
        <v>0</v>
      </c>
      <c r="M49" s="502">
        <f t="shared" si="7"/>
        <v>3</v>
      </c>
      <c r="N49" s="172">
        <v>0.30000000000000004</v>
      </c>
      <c r="O49" s="413">
        <v>1</v>
      </c>
      <c r="P49" s="969"/>
    </row>
    <row r="50" spans="1:16" s="170" customFormat="1" ht="27">
      <c r="A50" s="1999"/>
      <c r="B50" s="2000"/>
      <c r="C50" s="171" t="s">
        <v>842</v>
      </c>
      <c r="D50" s="173" t="s">
        <v>1669</v>
      </c>
      <c r="E50" s="172">
        <v>5</v>
      </c>
      <c r="F50" s="441">
        <v>3</v>
      </c>
      <c r="G50" s="172">
        <f t="shared" si="8"/>
        <v>0.30000000000000004</v>
      </c>
      <c r="H50" s="172"/>
      <c r="I50" s="441">
        <v>3</v>
      </c>
      <c r="J50" s="172">
        <f t="shared" si="9"/>
        <v>0.30000000000000004</v>
      </c>
      <c r="K50" s="172"/>
      <c r="L50" s="502">
        <f t="shared" si="6"/>
        <v>0</v>
      </c>
      <c r="M50" s="502">
        <f t="shared" si="7"/>
        <v>2</v>
      </c>
      <c r="N50" s="172">
        <v>0.5</v>
      </c>
      <c r="O50" s="411">
        <v>1</v>
      </c>
      <c r="P50" s="969"/>
    </row>
    <row r="51" spans="1:16" s="170" customFormat="1" ht="40.5">
      <c r="A51" s="1999"/>
      <c r="B51" s="2000"/>
      <c r="C51" s="171" t="s">
        <v>843</v>
      </c>
      <c r="D51" s="173" t="s">
        <v>844</v>
      </c>
      <c r="E51" s="172">
        <v>8</v>
      </c>
      <c r="F51" s="172">
        <v>8</v>
      </c>
      <c r="G51" s="172">
        <f t="shared" si="8"/>
        <v>0.8</v>
      </c>
      <c r="H51" s="172"/>
      <c r="I51" s="172">
        <v>8</v>
      </c>
      <c r="J51" s="172">
        <f t="shared" si="9"/>
        <v>0.8</v>
      </c>
      <c r="K51" s="172"/>
      <c r="L51" s="502">
        <f t="shared" si="6"/>
        <v>0</v>
      </c>
      <c r="M51" s="502">
        <f t="shared" si="7"/>
        <v>0</v>
      </c>
      <c r="N51" s="172">
        <v>0.8</v>
      </c>
      <c r="O51" s="411">
        <v>1</v>
      </c>
      <c r="P51" s="969"/>
    </row>
    <row r="52" spans="1:16" s="170" customFormat="1" ht="27">
      <c r="A52" s="1999"/>
      <c r="B52" s="2000" t="s">
        <v>845</v>
      </c>
      <c r="C52" s="171" t="s">
        <v>846</v>
      </c>
      <c r="D52" s="173" t="s">
        <v>847</v>
      </c>
      <c r="E52" s="172">
        <v>4</v>
      </c>
      <c r="F52" s="172">
        <v>4</v>
      </c>
      <c r="G52" s="172">
        <f t="shared" si="8"/>
        <v>0.4</v>
      </c>
      <c r="H52" s="172"/>
      <c r="I52" s="172">
        <v>4</v>
      </c>
      <c r="J52" s="172">
        <f t="shared" si="9"/>
        <v>0.4</v>
      </c>
      <c r="K52" s="172"/>
      <c r="L52" s="502">
        <f t="shared" si="6"/>
        <v>0</v>
      </c>
      <c r="M52" s="502">
        <f t="shared" si="7"/>
        <v>0</v>
      </c>
      <c r="N52" s="172">
        <v>0.4</v>
      </c>
      <c r="O52" s="412">
        <v>1</v>
      </c>
      <c r="P52" s="969"/>
    </row>
    <row r="53" spans="1:16" s="170" customFormat="1" ht="40.5">
      <c r="A53" s="1999"/>
      <c r="B53" s="2000"/>
      <c r="C53" s="171" t="s">
        <v>848</v>
      </c>
      <c r="D53" s="173" t="s">
        <v>849</v>
      </c>
      <c r="E53" s="172">
        <v>4</v>
      </c>
      <c r="F53" s="172">
        <v>4</v>
      </c>
      <c r="G53" s="172">
        <f t="shared" si="8"/>
        <v>0.4</v>
      </c>
      <c r="H53" s="172"/>
      <c r="I53" s="172">
        <v>4</v>
      </c>
      <c r="J53" s="172">
        <f t="shared" si="9"/>
        <v>0.4</v>
      </c>
      <c r="K53" s="172"/>
      <c r="L53" s="502">
        <f t="shared" si="6"/>
        <v>0</v>
      </c>
      <c r="M53" s="502">
        <f t="shared" si="7"/>
        <v>0</v>
      </c>
      <c r="N53" s="172">
        <v>0.4</v>
      </c>
      <c r="O53" s="412">
        <v>1</v>
      </c>
      <c r="P53" s="969"/>
    </row>
    <row r="54" spans="1:16" s="170" customFormat="1" ht="40.5">
      <c r="A54" s="1999"/>
      <c r="B54" s="2000"/>
      <c r="C54" s="171" t="s">
        <v>850</v>
      </c>
      <c r="D54" s="437" t="s">
        <v>1670</v>
      </c>
      <c r="E54" s="172">
        <v>4</v>
      </c>
      <c r="F54" s="441">
        <v>2</v>
      </c>
      <c r="G54" s="172">
        <f t="shared" si="8"/>
        <v>0.2</v>
      </c>
      <c r="H54" s="172"/>
      <c r="I54" s="441">
        <v>2</v>
      </c>
      <c r="J54" s="172">
        <f t="shared" si="9"/>
        <v>0.2</v>
      </c>
      <c r="K54" s="172"/>
      <c r="L54" s="502">
        <f t="shared" si="6"/>
        <v>0</v>
      </c>
      <c r="M54" s="502">
        <f t="shared" si="7"/>
        <v>2</v>
      </c>
      <c r="N54" s="172">
        <v>0.4</v>
      </c>
      <c r="O54" s="413">
        <v>1</v>
      </c>
      <c r="P54" s="969"/>
    </row>
    <row r="55" spans="1:16" s="170" customFormat="1" ht="54">
      <c r="A55" s="1999"/>
      <c r="B55" s="2000"/>
      <c r="C55" s="171" t="s">
        <v>851</v>
      </c>
      <c r="D55" s="173" t="s">
        <v>852</v>
      </c>
      <c r="E55" s="172">
        <v>4</v>
      </c>
      <c r="F55" s="172">
        <v>4</v>
      </c>
      <c r="G55" s="172">
        <f t="shared" si="8"/>
        <v>0.4</v>
      </c>
      <c r="H55" s="172"/>
      <c r="I55" s="172">
        <v>4</v>
      </c>
      <c r="J55" s="172">
        <f t="shared" si="9"/>
        <v>0.4</v>
      </c>
      <c r="K55" s="172"/>
      <c r="L55" s="502">
        <f t="shared" si="6"/>
        <v>0</v>
      </c>
      <c r="M55" s="502">
        <f t="shared" si="7"/>
        <v>0</v>
      </c>
      <c r="N55" s="172">
        <v>0.4</v>
      </c>
      <c r="O55" s="411">
        <v>1</v>
      </c>
      <c r="P55" s="969"/>
    </row>
    <row r="56" spans="1:16" s="170" customFormat="1" ht="14.25">
      <c r="A56" s="1999"/>
      <c r="B56" s="2000"/>
      <c r="C56" s="171" t="s">
        <v>853</v>
      </c>
      <c r="D56" s="437" t="s">
        <v>854</v>
      </c>
      <c r="E56" s="172">
        <v>4</v>
      </c>
      <c r="F56" s="441">
        <v>0</v>
      </c>
      <c r="G56" s="172">
        <f t="shared" si="8"/>
        <v>0</v>
      </c>
      <c r="H56" s="172"/>
      <c r="I56" s="441">
        <v>0</v>
      </c>
      <c r="J56" s="172">
        <f t="shared" si="9"/>
        <v>0</v>
      </c>
      <c r="K56" s="172"/>
      <c r="L56" s="502">
        <f t="shared" si="6"/>
        <v>0</v>
      </c>
      <c r="M56" s="502">
        <f t="shared" si="7"/>
        <v>4</v>
      </c>
      <c r="N56" s="172">
        <v>0.4</v>
      </c>
      <c r="O56" s="412">
        <v>1</v>
      </c>
      <c r="P56" s="969"/>
    </row>
    <row r="57" spans="1:16" s="170" customFormat="1" ht="27">
      <c r="A57" s="1999"/>
      <c r="B57" s="2000" t="s">
        <v>855</v>
      </c>
      <c r="C57" s="171" t="s">
        <v>856</v>
      </c>
      <c r="D57" s="173" t="s">
        <v>857</v>
      </c>
      <c r="E57" s="172">
        <v>2</v>
      </c>
      <c r="F57" s="172">
        <v>2</v>
      </c>
      <c r="G57" s="172">
        <f t="shared" si="8"/>
        <v>0.2</v>
      </c>
      <c r="H57" s="172"/>
      <c r="I57" s="172">
        <v>2</v>
      </c>
      <c r="J57" s="172">
        <f t="shared" si="9"/>
        <v>0.2</v>
      </c>
      <c r="K57" s="172"/>
      <c r="L57" s="502">
        <f t="shared" si="6"/>
        <v>0</v>
      </c>
      <c r="M57" s="502">
        <f t="shared" si="7"/>
        <v>0</v>
      </c>
      <c r="N57" s="172">
        <v>0.2</v>
      </c>
      <c r="O57" s="412">
        <v>1</v>
      </c>
      <c r="P57" s="969"/>
    </row>
    <row r="58" spans="1:16" s="170" customFormat="1" ht="40.5">
      <c r="A58" s="1999"/>
      <c r="B58" s="2000"/>
      <c r="C58" s="171" t="s">
        <v>858</v>
      </c>
      <c r="D58" s="173" t="s">
        <v>859</v>
      </c>
      <c r="E58" s="172">
        <v>2</v>
      </c>
      <c r="F58" s="172">
        <v>2</v>
      </c>
      <c r="G58" s="172">
        <f t="shared" si="8"/>
        <v>0.2</v>
      </c>
      <c r="H58" s="172"/>
      <c r="I58" s="172">
        <v>2</v>
      </c>
      <c r="J58" s="172">
        <f t="shared" si="9"/>
        <v>0.2</v>
      </c>
      <c r="K58" s="172"/>
      <c r="L58" s="502">
        <f t="shared" si="6"/>
        <v>0</v>
      </c>
      <c r="M58" s="502">
        <f t="shared" si="7"/>
        <v>0</v>
      </c>
      <c r="N58" s="172">
        <v>0.2</v>
      </c>
      <c r="O58" s="412">
        <v>1</v>
      </c>
      <c r="P58" s="969"/>
    </row>
    <row r="59" spans="1:16" s="170" customFormat="1" ht="14.25">
      <c r="A59" s="1999"/>
      <c r="B59" s="2000"/>
      <c r="C59" s="171" t="s">
        <v>860</v>
      </c>
      <c r="D59" s="437" t="s">
        <v>1671</v>
      </c>
      <c r="E59" s="172">
        <v>3</v>
      </c>
      <c r="F59" s="441">
        <v>2</v>
      </c>
      <c r="G59" s="172">
        <f t="shared" si="8"/>
        <v>0.2</v>
      </c>
      <c r="H59" s="172"/>
      <c r="I59" s="441">
        <v>2</v>
      </c>
      <c r="J59" s="172">
        <f t="shared" si="9"/>
        <v>0.2</v>
      </c>
      <c r="K59" s="172"/>
      <c r="L59" s="502">
        <f t="shared" si="6"/>
        <v>0</v>
      </c>
      <c r="M59" s="502">
        <f t="shared" si="7"/>
        <v>1</v>
      </c>
      <c r="N59" s="172">
        <v>0.30000000000000004</v>
      </c>
      <c r="O59" s="413">
        <v>1</v>
      </c>
      <c r="P59" s="969"/>
    </row>
    <row r="60" spans="1:16" s="170" customFormat="1" ht="40.5">
      <c r="A60" s="1999"/>
      <c r="B60" s="2000"/>
      <c r="C60" s="171" t="s">
        <v>861</v>
      </c>
      <c r="D60" s="173" t="s">
        <v>862</v>
      </c>
      <c r="E60" s="172">
        <v>3</v>
      </c>
      <c r="F60" s="172">
        <v>3</v>
      </c>
      <c r="G60" s="172">
        <f t="shared" si="8"/>
        <v>0.30000000000000004</v>
      </c>
      <c r="H60" s="172">
        <f>SUM(F44:F60)*0.1</f>
        <v>8.8000000000000007</v>
      </c>
      <c r="I60" s="172">
        <v>3</v>
      </c>
      <c r="J60" s="172">
        <f t="shared" si="9"/>
        <v>0.30000000000000004</v>
      </c>
      <c r="K60" s="172">
        <f>SUM(I44:I60)*0.1</f>
        <v>8.8000000000000007</v>
      </c>
      <c r="L60" s="502">
        <f t="shared" si="6"/>
        <v>0</v>
      </c>
      <c r="M60" s="502">
        <f t="shared" si="7"/>
        <v>0</v>
      </c>
      <c r="N60" s="172">
        <v>0.30000000000000004</v>
      </c>
      <c r="O60" s="412">
        <v>1</v>
      </c>
      <c r="P60" s="969"/>
    </row>
    <row r="61" spans="1:16" s="170" customFormat="1" ht="40.5">
      <c r="A61" s="1999" t="s">
        <v>863</v>
      </c>
      <c r="B61" s="2000" t="s">
        <v>864</v>
      </c>
      <c r="C61" s="171" t="s">
        <v>865</v>
      </c>
      <c r="D61" s="173" t="s">
        <v>1676</v>
      </c>
      <c r="E61" s="172">
        <v>5</v>
      </c>
      <c r="F61" s="172">
        <v>5</v>
      </c>
      <c r="G61" s="172">
        <f t="shared" ref="G61:G75" si="10">F61*0.18</f>
        <v>0.89999999999999991</v>
      </c>
      <c r="H61" s="172"/>
      <c r="I61" s="172">
        <v>5</v>
      </c>
      <c r="J61" s="172">
        <f t="shared" ref="J61:J75" si="11">I61*0.18</f>
        <v>0.89999999999999991</v>
      </c>
      <c r="K61" s="172"/>
      <c r="L61" s="502">
        <f t="shared" si="6"/>
        <v>0</v>
      </c>
      <c r="M61" s="502">
        <f t="shared" si="7"/>
        <v>0</v>
      </c>
      <c r="N61" s="172">
        <v>0.89999999999999991</v>
      </c>
      <c r="O61" s="413">
        <v>1</v>
      </c>
      <c r="P61" s="969"/>
    </row>
    <row r="62" spans="1:16" s="170" customFormat="1" ht="54">
      <c r="A62" s="1999"/>
      <c r="B62" s="2000"/>
      <c r="C62" s="171" t="s">
        <v>866</v>
      </c>
      <c r="D62" s="173" t="s">
        <v>867</v>
      </c>
      <c r="E62" s="172">
        <v>5</v>
      </c>
      <c r="F62" s="172">
        <v>5</v>
      </c>
      <c r="G62" s="172">
        <f t="shared" si="10"/>
        <v>0.89999999999999991</v>
      </c>
      <c r="H62" s="172"/>
      <c r="I62" s="172">
        <v>5</v>
      </c>
      <c r="J62" s="172">
        <f t="shared" si="11"/>
        <v>0.89999999999999991</v>
      </c>
      <c r="K62" s="172"/>
      <c r="L62" s="502">
        <f t="shared" si="6"/>
        <v>0</v>
      </c>
      <c r="M62" s="502">
        <f t="shared" si="7"/>
        <v>0</v>
      </c>
      <c r="N62" s="172">
        <v>0.89999999999999991</v>
      </c>
      <c r="O62" s="412">
        <v>1</v>
      </c>
      <c r="P62" s="969"/>
    </row>
    <row r="63" spans="1:16" s="170" customFormat="1" ht="14.25">
      <c r="A63" s="1999"/>
      <c r="B63" s="2000"/>
      <c r="C63" s="171" t="s">
        <v>868</v>
      </c>
      <c r="D63" s="173" t="s">
        <v>869</v>
      </c>
      <c r="E63" s="172">
        <v>5</v>
      </c>
      <c r="F63" s="172">
        <v>5</v>
      </c>
      <c r="G63" s="172">
        <f t="shared" si="10"/>
        <v>0.89999999999999991</v>
      </c>
      <c r="H63" s="172"/>
      <c r="I63" s="172">
        <v>5</v>
      </c>
      <c r="J63" s="172">
        <f t="shared" si="11"/>
        <v>0.89999999999999991</v>
      </c>
      <c r="K63" s="172"/>
      <c r="L63" s="502">
        <f t="shared" si="6"/>
        <v>0</v>
      </c>
      <c r="M63" s="502">
        <f t="shared" si="7"/>
        <v>0</v>
      </c>
      <c r="N63" s="172">
        <v>0.89999999999999991</v>
      </c>
      <c r="O63" s="413">
        <v>1</v>
      </c>
      <c r="P63" s="969"/>
    </row>
    <row r="64" spans="1:16" s="170" customFormat="1" ht="27">
      <c r="A64" s="1999"/>
      <c r="B64" s="2000"/>
      <c r="C64" s="181" t="s">
        <v>870</v>
      </c>
      <c r="D64" s="180" t="s">
        <v>871</v>
      </c>
      <c r="E64" s="172">
        <v>5</v>
      </c>
      <c r="F64" s="172">
        <v>5</v>
      </c>
      <c r="G64" s="172">
        <f t="shared" si="10"/>
        <v>0.89999999999999991</v>
      </c>
      <c r="H64" s="172"/>
      <c r="I64" s="172">
        <v>5</v>
      </c>
      <c r="J64" s="172">
        <f t="shared" si="11"/>
        <v>0.89999999999999991</v>
      </c>
      <c r="K64" s="172"/>
      <c r="L64" s="502">
        <f t="shared" si="6"/>
        <v>0</v>
      </c>
      <c r="M64" s="502">
        <f t="shared" si="7"/>
        <v>0</v>
      </c>
      <c r="N64" s="172">
        <v>0.89999999999999991</v>
      </c>
      <c r="O64" s="411">
        <v>1</v>
      </c>
      <c r="P64" s="969"/>
    </row>
    <row r="65" spans="1:16" s="170" customFormat="1" ht="27">
      <c r="A65" s="1999"/>
      <c r="B65" s="2000" t="s">
        <v>872</v>
      </c>
      <c r="C65" s="171" t="s">
        <v>873</v>
      </c>
      <c r="D65" s="173" t="s">
        <v>1675</v>
      </c>
      <c r="E65" s="172">
        <v>10</v>
      </c>
      <c r="F65" s="172">
        <v>10</v>
      </c>
      <c r="G65" s="172">
        <f t="shared" si="10"/>
        <v>1.7999999999999998</v>
      </c>
      <c r="H65" s="172"/>
      <c r="I65" s="172">
        <v>10</v>
      </c>
      <c r="J65" s="172">
        <f t="shared" si="11"/>
        <v>1.7999999999999998</v>
      </c>
      <c r="K65" s="172"/>
      <c r="L65" s="502">
        <f t="shared" si="6"/>
        <v>0</v>
      </c>
      <c r="M65" s="502">
        <f t="shared" si="7"/>
        <v>0</v>
      </c>
      <c r="N65" s="172">
        <v>1.7999999999999998</v>
      </c>
      <c r="O65" s="411">
        <v>1</v>
      </c>
      <c r="P65" s="969"/>
    </row>
    <row r="66" spans="1:16" s="170" customFormat="1" ht="27">
      <c r="A66" s="1999"/>
      <c r="B66" s="2000"/>
      <c r="C66" s="171" t="s">
        <v>874</v>
      </c>
      <c r="D66" s="173" t="s">
        <v>875</v>
      </c>
      <c r="E66" s="172">
        <v>10</v>
      </c>
      <c r="F66" s="172">
        <v>10</v>
      </c>
      <c r="G66" s="172">
        <f t="shared" si="10"/>
        <v>1.7999999999999998</v>
      </c>
      <c r="H66" s="172"/>
      <c r="I66" s="172">
        <v>10</v>
      </c>
      <c r="J66" s="172">
        <f t="shared" si="11"/>
        <v>1.7999999999999998</v>
      </c>
      <c r="K66" s="172"/>
      <c r="L66" s="502">
        <f t="shared" si="6"/>
        <v>0</v>
      </c>
      <c r="M66" s="502">
        <f t="shared" si="7"/>
        <v>0</v>
      </c>
      <c r="N66" s="172">
        <v>1.7999999999999998</v>
      </c>
      <c r="O66" s="412">
        <v>1</v>
      </c>
      <c r="P66" s="969"/>
    </row>
    <row r="67" spans="1:16" s="170" customFormat="1" ht="27">
      <c r="A67" s="1999"/>
      <c r="B67" s="2000" t="s">
        <v>876</v>
      </c>
      <c r="C67" s="171" t="s">
        <v>877</v>
      </c>
      <c r="D67" s="173" t="s">
        <v>878</v>
      </c>
      <c r="E67" s="172">
        <v>5</v>
      </c>
      <c r="F67" s="172">
        <v>5</v>
      </c>
      <c r="G67" s="172">
        <f t="shared" si="10"/>
        <v>0.89999999999999991</v>
      </c>
      <c r="H67" s="172"/>
      <c r="I67" s="172">
        <v>5</v>
      </c>
      <c r="J67" s="172">
        <f t="shared" si="11"/>
        <v>0.89999999999999991</v>
      </c>
      <c r="K67" s="172"/>
      <c r="L67" s="502">
        <f t="shared" ref="L67:L98" si="12">I67-F67</f>
        <v>0</v>
      </c>
      <c r="M67" s="502">
        <f t="shared" ref="M67:M98" si="13">E67-I67</f>
        <v>0</v>
      </c>
      <c r="N67" s="172">
        <v>0.89999999999999991</v>
      </c>
      <c r="O67" s="412">
        <v>1</v>
      </c>
      <c r="P67" s="969"/>
    </row>
    <row r="68" spans="1:16" s="170" customFormat="1" ht="27">
      <c r="A68" s="1999"/>
      <c r="B68" s="2000"/>
      <c r="C68" s="171" t="s">
        <v>879</v>
      </c>
      <c r="D68" s="173" t="s">
        <v>880</v>
      </c>
      <c r="E68" s="172">
        <v>10</v>
      </c>
      <c r="F68" s="172">
        <v>10</v>
      </c>
      <c r="G68" s="172">
        <f t="shared" si="10"/>
        <v>1.7999999999999998</v>
      </c>
      <c r="H68" s="172"/>
      <c r="I68" s="172">
        <v>10</v>
      </c>
      <c r="J68" s="172">
        <f t="shared" si="11"/>
        <v>1.7999999999999998</v>
      </c>
      <c r="K68" s="172"/>
      <c r="L68" s="502">
        <f t="shared" si="12"/>
        <v>0</v>
      </c>
      <c r="M68" s="502">
        <f t="shared" si="13"/>
        <v>0</v>
      </c>
      <c r="N68" s="172">
        <v>1.7999999999999998</v>
      </c>
      <c r="O68" s="413">
        <v>1</v>
      </c>
      <c r="P68" s="969"/>
    </row>
    <row r="69" spans="1:16" s="170" customFormat="1" ht="14.25">
      <c r="A69" s="1999"/>
      <c r="B69" s="2000" t="s">
        <v>881</v>
      </c>
      <c r="C69" s="171" t="s">
        <v>882</v>
      </c>
      <c r="D69" s="173" t="s">
        <v>883</v>
      </c>
      <c r="E69" s="172">
        <v>5</v>
      </c>
      <c r="F69" s="172">
        <v>5</v>
      </c>
      <c r="G69" s="172">
        <f t="shared" si="10"/>
        <v>0.89999999999999991</v>
      </c>
      <c r="H69" s="172"/>
      <c r="I69" s="172">
        <v>5</v>
      </c>
      <c r="J69" s="172">
        <f t="shared" si="11"/>
        <v>0.89999999999999991</v>
      </c>
      <c r="K69" s="172"/>
      <c r="L69" s="502">
        <f t="shared" si="12"/>
        <v>0</v>
      </c>
      <c r="M69" s="502">
        <f t="shared" si="13"/>
        <v>0</v>
      </c>
      <c r="N69" s="172">
        <v>0.89999999999999991</v>
      </c>
      <c r="O69" s="412">
        <v>1</v>
      </c>
      <c r="P69" s="969"/>
    </row>
    <row r="70" spans="1:16" s="170" customFormat="1" ht="27">
      <c r="A70" s="1999"/>
      <c r="B70" s="2000"/>
      <c r="C70" s="171" t="s">
        <v>884</v>
      </c>
      <c r="D70" s="173" t="s">
        <v>885</v>
      </c>
      <c r="E70" s="172">
        <v>5</v>
      </c>
      <c r="F70" s="172">
        <v>5</v>
      </c>
      <c r="G70" s="172">
        <f t="shared" si="10"/>
        <v>0.89999999999999991</v>
      </c>
      <c r="H70" s="172"/>
      <c r="I70" s="172">
        <v>5</v>
      </c>
      <c r="J70" s="172">
        <f t="shared" si="11"/>
        <v>0.89999999999999991</v>
      </c>
      <c r="K70" s="172"/>
      <c r="L70" s="502">
        <f t="shared" si="12"/>
        <v>0</v>
      </c>
      <c r="M70" s="502">
        <f t="shared" si="13"/>
        <v>0</v>
      </c>
      <c r="N70" s="172">
        <v>0.89999999999999991</v>
      </c>
      <c r="O70" s="412">
        <v>1</v>
      </c>
      <c r="P70" s="969"/>
    </row>
    <row r="71" spans="1:16" s="170" customFormat="1" ht="27">
      <c r="A71" s="1999"/>
      <c r="B71" s="2000"/>
      <c r="C71" s="171" t="s">
        <v>886</v>
      </c>
      <c r="D71" s="437" t="s">
        <v>1672</v>
      </c>
      <c r="E71" s="172">
        <v>5</v>
      </c>
      <c r="F71" s="441">
        <v>0</v>
      </c>
      <c r="G71" s="172">
        <f t="shared" si="10"/>
        <v>0</v>
      </c>
      <c r="H71" s="172"/>
      <c r="I71" s="441">
        <v>0</v>
      </c>
      <c r="J71" s="172">
        <f t="shared" si="11"/>
        <v>0</v>
      </c>
      <c r="K71" s="172"/>
      <c r="L71" s="502">
        <f t="shared" si="12"/>
        <v>0</v>
      </c>
      <c r="M71" s="502">
        <f t="shared" si="13"/>
        <v>5</v>
      </c>
      <c r="N71" s="172">
        <v>0.89999999999999991</v>
      </c>
      <c r="O71" s="413">
        <v>1</v>
      </c>
      <c r="P71" s="969"/>
    </row>
    <row r="72" spans="1:16" s="170" customFormat="1" ht="14.25">
      <c r="A72" s="1999"/>
      <c r="B72" s="2000" t="s">
        <v>887</v>
      </c>
      <c r="C72" s="171" t="s">
        <v>888</v>
      </c>
      <c r="D72" s="173" t="s">
        <v>889</v>
      </c>
      <c r="E72" s="172">
        <v>5</v>
      </c>
      <c r="F72" s="172">
        <v>5</v>
      </c>
      <c r="G72" s="172">
        <f t="shared" si="10"/>
        <v>0.89999999999999991</v>
      </c>
      <c r="H72" s="172"/>
      <c r="I72" s="172">
        <v>5</v>
      </c>
      <c r="J72" s="172">
        <f t="shared" si="11"/>
        <v>0.89999999999999991</v>
      </c>
      <c r="K72" s="172"/>
      <c r="L72" s="502">
        <f t="shared" si="12"/>
        <v>0</v>
      </c>
      <c r="M72" s="502">
        <f t="shared" si="13"/>
        <v>0</v>
      </c>
      <c r="N72" s="172">
        <v>0.89999999999999991</v>
      </c>
      <c r="O72" s="412">
        <v>1</v>
      </c>
      <c r="P72" s="969"/>
    </row>
    <row r="73" spans="1:16" s="170" customFormat="1" ht="27">
      <c r="A73" s="1999"/>
      <c r="B73" s="2000"/>
      <c r="C73" s="171" t="s">
        <v>890</v>
      </c>
      <c r="D73" s="173" t="s">
        <v>891</v>
      </c>
      <c r="E73" s="172">
        <v>5</v>
      </c>
      <c r="F73" s="172">
        <v>5</v>
      </c>
      <c r="G73" s="172">
        <f t="shared" si="10"/>
        <v>0.89999999999999991</v>
      </c>
      <c r="H73" s="172"/>
      <c r="I73" s="172">
        <v>5</v>
      </c>
      <c r="J73" s="172">
        <f t="shared" si="11"/>
        <v>0.89999999999999991</v>
      </c>
      <c r="K73" s="172"/>
      <c r="L73" s="502">
        <f t="shared" si="12"/>
        <v>0</v>
      </c>
      <c r="M73" s="502">
        <f t="shared" si="13"/>
        <v>0</v>
      </c>
      <c r="N73" s="172">
        <v>0.89999999999999991</v>
      </c>
      <c r="O73" s="412">
        <v>1</v>
      </c>
      <c r="P73" s="969"/>
    </row>
    <row r="74" spans="1:16" s="170" customFormat="1" ht="14.25">
      <c r="A74" s="1999"/>
      <c r="B74" s="2000"/>
      <c r="C74" s="171" t="s">
        <v>892</v>
      </c>
      <c r="D74" s="173" t="s">
        <v>1674</v>
      </c>
      <c r="E74" s="172">
        <v>5</v>
      </c>
      <c r="F74" s="172">
        <v>5</v>
      </c>
      <c r="G74" s="172">
        <f t="shared" si="10"/>
        <v>0.89999999999999991</v>
      </c>
      <c r="H74" s="172"/>
      <c r="I74" s="172">
        <v>5</v>
      </c>
      <c r="J74" s="172">
        <f t="shared" si="11"/>
        <v>0.89999999999999991</v>
      </c>
      <c r="K74" s="172"/>
      <c r="L74" s="502">
        <f t="shared" si="12"/>
        <v>0</v>
      </c>
      <c r="M74" s="502">
        <f t="shared" si="13"/>
        <v>0</v>
      </c>
      <c r="N74" s="172">
        <v>0.89999999999999991</v>
      </c>
      <c r="O74" s="413">
        <v>1</v>
      </c>
      <c r="P74" s="969"/>
    </row>
    <row r="75" spans="1:16" s="170" customFormat="1" ht="13.5" customHeight="1">
      <c r="A75" s="1999"/>
      <c r="B75" s="177" t="s">
        <v>893</v>
      </c>
      <c r="C75" s="181" t="s">
        <v>894</v>
      </c>
      <c r="D75" s="180" t="s">
        <v>895</v>
      </c>
      <c r="E75" s="172">
        <v>15</v>
      </c>
      <c r="F75" s="172">
        <v>15</v>
      </c>
      <c r="G75" s="172">
        <f t="shared" si="10"/>
        <v>2.6999999999999997</v>
      </c>
      <c r="H75" s="172">
        <f>SUM(F61:F75)*0.18</f>
        <v>17.099999999999998</v>
      </c>
      <c r="I75" s="172">
        <v>15</v>
      </c>
      <c r="J75" s="172">
        <f t="shared" si="11"/>
        <v>2.6999999999999997</v>
      </c>
      <c r="K75" s="172">
        <f>SUM(I61:I75)*0.18</f>
        <v>17.099999999999998</v>
      </c>
      <c r="L75" s="502">
        <f t="shared" si="12"/>
        <v>0</v>
      </c>
      <c r="M75" s="502">
        <f t="shared" si="13"/>
        <v>0</v>
      </c>
      <c r="N75" s="172">
        <v>2.6999999999999997</v>
      </c>
      <c r="O75" s="412">
        <v>1</v>
      </c>
      <c r="P75" s="969"/>
    </row>
    <row r="76" spans="1:16" s="170" customFormat="1" ht="27">
      <c r="A76" s="1999" t="s">
        <v>896</v>
      </c>
      <c r="B76" s="2000" t="s">
        <v>897</v>
      </c>
      <c r="C76" s="171" t="s">
        <v>898</v>
      </c>
      <c r="D76" s="173" t="s">
        <v>899</v>
      </c>
      <c r="E76" s="172">
        <v>5</v>
      </c>
      <c r="F76" s="172">
        <v>5</v>
      </c>
      <c r="G76" s="172">
        <f t="shared" ref="G76:G95" si="14">F76*0.07</f>
        <v>0.35000000000000003</v>
      </c>
      <c r="H76" s="172"/>
      <c r="I76" s="172">
        <v>5</v>
      </c>
      <c r="J76" s="172">
        <f t="shared" ref="J76:J95" si="15">I76*0.07</f>
        <v>0.35000000000000003</v>
      </c>
      <c r="K76" s="172"/>
      <c r="L76" s="502">
        <f t="shared" si="12"/>
        <v>0</v>
      </c>
      <c r="M76" s="502">
        <f t="shared" si="13"/>
        <v>0</v>
      </c>
      <c r="N76" s="172">
        <v>0.35000000000000003</v>
      </c>
      <c r="O76" s="412">
        <v>1</v>
      </c>
      <c r="P76" s="969"/>
    </row>
    <row r="77" spans="1:16" s="170" customFormat="1" ht="14.25">
      <c r="A77" s="1999"/>
      <c r="B77" s="2000"/>
      <c r="C77" s="171" t="s">
        <v>900</v>
      </c>
      <c r="D77" s="173" t="s">
        <v>901</v>
      </c>
      <c r="E77" s="172">
        <v>5</v>
      </c>
      <c r="F77" s="172">
        <v>5</v>
      </c>
      <c r="G77" s="172">
        <f t="shared" si="14"/>
        <v>0.35000000000000003</v>
      </c>
      <c r="H77" s="172"/>
      <c r="I77" s="172">
        <v>5</v>
      </c>
      <c r="J77" s="172">
        <f t="shared" si="15"/>
        <v>0.35000000000000003</v>
      </c>
      <c r="K77" s="172"/>
      <c r="L77" s="502">
        <f t="shared" si="12"/>
        <v>0</v>
      </c>
      <c r="M77" s="502">
        <f t="shared" si="13"/>
        <v>0</v>
      </c>
      <c r="N77" s="172">
        <v>0.35000000000000003</v>
      </c>
      <c r="O77" s="412">
        <v>1</v>
      </c>
      <c r="P77" s="969"/>
    </row>
    <row r="78" spans="1:16" s="170" customFormat="1" ht="27">
      <c r="A78" s="1999"/>
      <c r="B78" s="2000"/>
      <c r="C78" s="171" t="s">
        <v>902</v>
      </c>
      <c r="D78" s="173" t="s">
        <v>903</v>
      </c>
      <c r="E78" s="172">
        <v>5</v>
      </c>
      <c r="F78" s="172">
        <v>5</v>
      </c>
      <c r="G78" s="172">
        <f t="shared" si="14"/>
        <v>0.35000000000000003</v>
      </c>
      <c r="H78" s="172"/>
      <c r="I78" s="172">
        <v>5</v>
      </c>
      <c r="J78" s="172">
        <f t="shared" si="15"/>
        <v>0.35000000000000003</v>
      </c>
      <c r="K78" s="172"/>
      <c r="L78" s="502">
        <f t="shared" si="12"/>
        <v>0</v>
      </c>
      <c r="M78" s="502">
        <f t="shared" si="13"/>
        <v>0</v>
      </c>
      <c r="N78" s="172">
        <v>0.35000000000000003</v>
      </c>
      <c r="O78" s="412">
        <v>1</v>
      </c>
      <c r="P78" s="969"/>
    </row>
    <row r="79" spans="1:16" s="170" customFormat="1" ht="27">
      <c r="A79" s="1999"/>
      <c r="B79" s="2000"/>
      <c r="C79" s="171" t="s">
        <v>904</v>
      </c>
      <c r="D79" s="173" t="s">
        <v>905</v>
      </c>
      <c r="E79" s="172">
        <v>5</v>
      </c>
      <c r="F79" s="172">
        <v>5</v>
      </c>
      <c r="G79" s="172">
        <f t="shared" si="14"/>
        <v>0.35000000000000003</v>
      </c>
      <c r="H79" s="172"/>
      <c r="I79" s="172">
        <v>5</v>
      </c>
      <c r="J79" s="172">
        <f t="shared" si="15"/>
        <v>0.35000000000000003</v>
      </c>
      <c r="K79" s="172"/>
      <c r="L79" s="502">
        <f t="shared" si="12"/>
        <v>0</v>
      </c>
      <c r="M79" s="502">
        <f t="shared" si="13"/>
        <v>0</v>
      </c>
      <c r="N79" s="172">
        <v>0.35000000000000003</v>
      </c>
      <c r="O79" s="412">
        <v>1</v>
      </c>
      <c r="P79" s="969"/>
    </row>
    <row r="80" spans="1:16" s="170" customFormat="1" ht="40.5">
      <c r="A80" s="1999"/>
      <c r="B80" s="2000" t="s">
        <v>906</v>
      </c>
      <c r="C80" s="181" t="s">
        <v>907</v>
      </c>
      <c r="D80" s="173" t="s">
        <v>908</v>
      </c>
      <c r="E80" s="172">
        <v>5</v>
      </c>
      <c r="F80" s="172">
        <v>5</v>
      </c>
      <c r="G80" s="172">
        <f t="shared" si="14"/>
        <v>0.35000000000000003</v>
      </c>
      <c r="H80" s="172"/>
      <c r="I80" s="172">
        <v>5</v>
      </c>
      <c r="J80" s="172">
        <f t="shared" si="15"/>
        <v>0.35000000000000003</v>
      </c>
      <c r="K80" s="172"/>
      <c r="L80" s="502">
        <f t="shared" si="12"/>
        <v>0</v>
      </c>
      <c r="M80" s="502">
        <f t="shared" si="13"/>
        <v>0</v>
      </c>
      <c r="N80" s="172">
        <v>0.35000000000000003</v>
      </c>
      <c r="O80" s="412">
        <v>1</v>
      </c>
      <c r="P80" s="969"/>
    </row>
    <row r="81" spans="1:16" s="170" customFormat="1" ht="14.25">
      <c r="A81" s="1999"/>
      <c r="B81" s="2000"/>
      <c r="C81" s="171" t="s">
        <v>909</v>
      </c>
      <c r="D81" s="173" t="s">
        <v>910</v>
      </c>
      <c r="E81" s="172">
        <v>5</v>
      </c>
      <c r="F81" s="172">
        <v>5</v>
      </c>
      <c r="G81" s="172">
        <f t="shared" si="14"/>
        <v>0.35000000000000003</v>
      </c>
      <c r="H81" s="172"/>
      <c r="I81" s="172">
        <v>5</v>
      </c>
      <c r="J81" s="172">
        <f t="shared" si="15"/>
        <v>0.35000000000000003</v>
      </c>
      <c r="K81" s="172"/>
      <c r="L81" s="502">
        <f t="shared" si="12"/>
        <v>0</v>
      </c>
      <c r="M81" s="502">
        <f t="shared" si="13"/>
        <v>0</v>
      </c>
      <c r="N81" s="172">
        <v>0.35000000000000003</v>
      </c>
      <c r="O81" s="412">
        <v>1</v>
      </c>
      <c r="P81" s="969"/>
    </row>
    <row r="82" spans="1:16" s="170" customFormat="1" ht="14.25">
      <c r="A82" s="1999"/>
      <c r="B82" s="2000" t="s">
        <v>911</v>
      </c>
      <c r="C82" s="171" t="s">
        <v>912</v>
      </c>
      <c r="D82" s="173" t="s">
        <v>913</v>
      </c>
      <c r="E82" s="172">
        <v>5</v>
      </c>
      <c r="F82" s="172">
        <v>5</v>
      </c>
      <c r="G82" s="172">
        <f t="shared" si="14"/>
        <v>0.35000000000000003</v>
      </c>
      <c r="H82" s="172"/>
      <c r="I82" s="172">
        <v>5</v>
      </c>
      <c r="J82" s="172">
        <f t="shared" si="15"/>
        <v>0.35000000000000003</v>
      </c>
      <c r="K82" s="172"/>
      <c r="L82" s="502">
        <f t="shared" si="12"/>
        <v>0</v>
      </c>
      <c r="M82" s="502">
        <f t="shared" si="13"/>
        <v>0</v>
      </c>
      <c r="N82" s="172">
        <v>0.35000000000000003</v>
      </c>
      <c r="O82" s="412">
        <v>1</v>
      </c>
      <c r="P82" s="969"/>
    </row>
    <row r="83" spans="1:16" s="170" customFormat="1" ht="14.25">
      <c r="A83" s="1999"/>
      <c r="B83" s="2000"/>
      <c r="C83" s="171" t="s">
        <v>914</v>
      </c>
      <c r="D83" s="173" t="s">
        <v>915</v>
      </c>
      <c r="E83" s="172">
        <v>5</v>
      </c>
      <c r="F83" s="172">
        <v>5</v>
      </c>
      <c r="G83" s="172">
        <f t="shared" si="14"/>
        <v>0.35000000000000003</v>
      </c>
      <c r="H83" s="172"/>
      <c r="I83" s="172">
        <v>5</v>
      </c>
      <c r="J83" s="172">
        <f t="shared" si="15"/>
        <v>0.35000000000000003</v>
      </c>
      <c r="K83" s="172"/>
      <c r="L83" s="502">
        <f t="shared" si="12"/>
        <v>0</v>
      </c>
      <c r="M83" s="502">
        <f t="shared" si="13"/>
        <v>0</v>
      </c>
      <c r="N83" s="172">
        <v>0.35000000000000003</v>
      </c>
      <c r="O83" s="412">
        <v>1</v>
      </c>
      <c r="P83" s="969"/>
    </row>
    <row r="84" spans="1:16" s="170" customFormat="1" ht="27">
      <c r="A84" s="1999"/>
      <c r="B84" s="2000"/>
      <c r="C84" s="171" t="s">
        <v>916</v>
      </c>
      <c r="D84" s="173" t="s">
        <v>917</v>
      </c>
      <c r="E84" s="172">
        <v>10</v>
      </c>
      <c r="F84" s="172">
        <v>10</v>
      </c>
      <c r="G84" s="172">
        <f t="shared" si="14"/>
        <v>0.70000000000000007</v>
      </c>
      <c r="H84" s="172"/>
      <c r="I84" s="172">
        <v>10</v>
      </c>
      <c r="J84" s="172">
        <f t="shared" si="15"/>
        <v>0.70000000000000007</v>
      </c>
      <c r="K84" s="172"/>
      <c r="L84" s="502">
        <f t="shared" si="12"/>
        <v>0</v>
      </c>
      <c r="M84" s="502">
        <f t="shared" si="13"/>
        <v>0</v>
      </c>
      <c r="N84" s="172">
        <v>0.70000000000000007</v>
      </c>
      <c r="O84" s="413">
        <v>1</v>
      </c>
      <c r="P84" s="969"/>
    </row>
    <row r="85" spans="1:16" s="170" customFormat="1" ht="14.25">
      <c r="A85" s="1999"/>
      <c r="B85" s="2000" t="s">
        <v>918</v>
      </c>
      <c r="C85" s="171" t="s">
        <v>919</v>
      </c>
      <c r="D85" s="173" t="s">
        <v>920</v>
      </c>
      <c r="E85" s="172">
        <v>5</v>
      </c>
      <c r="F85" s="172">
        <v>5</v>
      </c>
      <c r="G85" s="172">
        <f t="shared" si="14"/>
        <v>0.35000000000000003</v>
      </c>
      <c r="H85" s="172"/>
      <c r="I85" s="172">
        <v>5</v>
      </c>
      <c r="J85" s="172">
        <f t="shared" si="15"/>
        <v>0.35000000000000003</v>
      </c>
      <c r="K85" s="172"/>
      <c r="L85" s="502">
        <f t="shared" si="12"/>
        <v>0</v>
      </c>
      <c r="M85" s="502">
        <f t="shared" si="13"/>
        <v>0</v>
      </c>
      <c r="N85" s="172">
        <v>0.35000000000000003</v>
      </c>
      <c r="O85" s="412">
        <v>1</v>
      </c>
      <c r="P85" s="969"/>
    </row>
    <row r="86" spans="1:16" s="170" customFormat="1" ht="14.25">
      <c r="A86" s="1999"/>
      <c r="B86" s="2000"/>
      <c r="C86" s="171" t="s">
        <v>921</v>
      </c>
      <c r="D86" s="173" t="s">
        <v>922</v>
      </c>
      <c r="E86" s="172">
        <v>5</v>
      </c>
      <c r="F86" s="172">
        <v>5</v>
      </c>
      <c r="G86" s="172">
        <f t="shared" si="14"/>
        <v>0.35000000000000003</v>
      </c>
      <c r="H86" s="172"/>
      <c r="I86" s="172">
        <v>5</v>
      </c>
      <c r="J86" s="172">
        <f t="shared" si="15"/>
        <v>0.35000000000000003</v>
      </c>
      <c r="K86" s="172"/>
      <c r="L86" s="502">
        <f t="shared" si="12"/>
        <v>0</v>
      </c>
      <c r="M86" s="502">
        <f t="shared" si="13"/>
        <v>0</v>
      </c>
      <c r="N86" s="172">
        <v>0.35000000000000003</v>
      </c>
      <c r="O86" s="412">
        <v>1</v>
      </c>
      <c r="P86" s="969"/>
    </row>
    <row r="87" spans="1:16" s="170" customFormat="1" ht="14.25">
      <c r="A87" s="1999"/>
      <c r="B87" s="2000"/>
      <c r="C87" s="171" t="s">
        <v>923</v>
      </c>
      <c r="D87" s="173" t="s">
        <v>924</v>
      </c>
      <c r="E87" s="172">
        <v>5</v>
      </c>
      <c r="F87" s="172">
        <v>5</v>
      </c>
      <c r="G87" s="172">
        <f t="shared" si="14"/>
        <v>0.35000000000000003</v>
      </c>
      <c r="H87" s="172"/>
      <c r="I87" s="172">
        <v>5</v>
      </c>
      <c r="J87" s="172">
        <f t="shared" si="15"/>
        <v>0.35000000000000003</v>
      </c>
      <c r="K87" s="172"/>
      <c r="L87" s="502">
        <f t="shared" si="12"/>
        <v>0</v>
      </c>
      <c r="M87" s="502">
        <f t="shared" si="13"/>
        <v>0</v>
      </c>
      <c r="N87" s="172">
        <v>0.35000000000000003</v>
      </c>
      <c r="O87" s="412">
        <v>1</v>
      </c>
      <c r="P87" s="969"/>
    </row>
    <row r="88" spans="1:16" s="170" customFormat="1" ht="14.25">
      <c r="A88" s="1999"/>
      <c r="B88" s="2000"/>
      <c r="C88" s="171" t="s">
        <v>925</v>
      </c>
      <c r="D88" s="173" t="s">
        <v>926</v>
      </c>
      <c r="E88" s="172">
        <v>5</v>
      </c>
      <c r="F88" s="172">
        <v>5</v>
      </c>
      <c r="G88" s="172">
        <f t="shared" si="14"/>
        <v>0.35000000000000003</v>
      </c>
      <c r="H88" s="172"/>
      <c r="I88" s="172">
        <v>5</v>
      </c>
      <c r="J88" s="172">
        <f t="shared" si="15"/>
        <v>0.35000000000000003</v>
      </c>
      <c r="K88" s="172"/>
      <c r="L88" s="502">
        <f t="shared" si="12"/>
        <v>0</v>
      </c>
      <c r="M88" s="502">
        <f t="shared" si="13"/>
        <v>0</v>
      </c>
      <c r="N88" s="172">
        <v>0.35000000000000003</v>
      </c>
      <c r="O88" s="412">
        <v>1</v>
      </c>
      <c r="P88" s="969"/>
    </row>
    <row r="89" spans="1:16" s="170" customFormat="1" ht="27">
      <c r="A89" s="1999"/>
      <c r="B89" s="2000" t="s">
        <v>927</v>
      </c>
      <c r="C89" s="171" t="s">
        <v>928</v>
      </c>
      <c r="D89" s="173" t="s">
        <v>929</v>
      </c>
      <c r="E89" s="172">
        <v>6</v>
      </c>
      <c r="F89" s="172">
        <v>6</v>
      </c>
      <c r="G89" s="172">
        <f t="shared" si="14"/>
        <v>0.42000000000000004</v>
      </c>
      <c r="H89" s="172"/>
      <c r="I89" s="172">
        <v>6</v>
      </c>
      <c r="J89" s="172">
        <f t="shared" si="15"/>
        <v>0.42000000000000004</v>
      </c>
      <c r="K89" s="172"/>
      <c r="L89" s="502">
        <f t="shared" si="12"/>
        <v>0</v>
      </c>
      <c r="M89" s="502">
        <f t="shared" si="13"/>
        <v>0</v>
      </c>
      <c r="N89" s="172">
        <v>0.42000000000000004</v>
      </c>
      <c r="O89" s="412">
        <v>1</v>
      </c>
      <c r="P89" s="969"/>
    </row>
    <row r="90" spans="1:16" s="170" customFormat="1" ht="27">
      <c r="A90" s="1999"/>
      <c r="B90" s="2000"/>
      <c r="C90" s="171" t="s">
        <v>930</v>
      </c>
      <c r="D90" s="173" t="s">
        <v>931</v>
      </c>
      <c r="E90" s="172">
        <v>10</v>
      </c>
      <c r="F90" s="441">
        <v>5</v>
      </c>
      <c r="G90" s="172">
        <f t="shared" si="14"/>
        <v>0.35000000000000003</v>
      </c>
      <c r="H90" s="172"/>
      <c r="I90" s="441">
        <v>5</v>
      </c>
      <c r="J90" s="172">
        <f t="shared" si="15"/>
        <v>0.35000000000000003</v>
      </c>
      <c r="K90" s="172"/>
      <c r="L90" s="502">
        <f t="shared" si="12"/>
        <v>0</v>
      </c>
      <c r="M90" s="502">
        <f t="shared" si="13"/>
        <v>5</v>
      </c>
      <c r="N90" s="172">
        <v>0.70000000000000007</v>
      </c>
      <c r="O90" s="412">
        <v>1</v>
      </c>
      <c r="P90" s="969"/>
    </row>
    <row r="91" spans="1:16" s="170" customFormat="1" ht="27">
      <c r="A91" s="1999"/>
      <c r="B91" s="2000"/>
      <c r="C91" s="171" t="s">
        <v>932</v>
      </c>
      <c r="D91" s="173" t="s">
        <v>933</v>
      </c>
      <c r="E91" s="172">
        <v>4</v>
      </c>
      <c r="F91" s="441">
        <v>3</v>
      </c>
      <c r="G91" s="172">
        <f t="shared" si="14"/>
        <v>0.21000000000000002</v>
      </c>
      <c r="H91" s="172"/>
      <c r="I91" s="441">
        <v>3</v>
      </c>
      <c r="J91" s="172">
        <f t="shared" si="15"/>
        <v>0.21000000000000002</v>
      </c>
      <c r="K91" s="172"/>
      <c r="L91" s="502">
        <f t="shared" si="12"/>
        <v>0</v>
      </c>
      <c r="M91" s="502">
        <f t="shared" si="13"/>
        <v>1</v>
      </c>
      <c r="N91" s="172">
        <v>0.28000000000000003</v>
      </c>
      <c r="O91" s="413">
        <v>1</v>
      </c>
      <c r="P91" s="969"/>
    </row>
    <row r="92" spans="1:16" s="170" customFormat="1" ht="14.25">
      <c r="A92" s="1999"/>
      <c r="B92" s="2000" t="s">
        <v>934</v>
      </c>
      <c r="C92" s="171" t="s">
        <v>935</v>
      </c>
      <c r="D92" s="173" t="s">
        <v>936</v>
      </c>
      <c r="E92" s="172">
        <v>4</v>
      </c>
      <c r="F92" s="172">
        <v>4</v>
      </c>
      <c r="G92" s="172">
        <f t="shared" si="14"/>
        <v>0.28000000000000003</v>
      </c>
      <c r="H92" s="172"/>
      <c r="I92" s="172">
        <v>4</v>
      </c>
      <c r="J92" s="172">
        <f t="shared" si="15"/>
        <v>0.28000000000000003</v>
      </c>
      <c r="K92" s="172"/>
      <c r="L92" s="502">
        <f t="shared" si="12"/>
        <v>0</v>
      </c>
      <c r="M92" s="502">
        <f t="shared" si="13"/>
        <v>0</v>
      </c>
      <c r="N92" s="172">
        <v>0.28000000000000003</v>
      </c>
      <c r="O92" s="412">
        <v>1</v>
      </c>
      <c r="P92" s="969"/>
    </row>
    <row r="93" spans="1:16" s="170" customFormat="1" ht="14.25">
      <c r="A93" s="1999"/>
      <c r="B93" s="2000"/>
      <c r="C93" s="171" t="s">
        <v>937</v>
      </c>
      <c r="D93" s="173" t="s">
        <v>938</v>
      </c>
      <c r="E93" s="172">
        <v>2</v>
      </c>
      <c r="F93" s="172">
        <v>2</v>
      </c>
      <c r="G93" s="172">
        <f t="shared" si="14"/>
        <v>0.14000000000000001</v>
      </c>
      <c r="H93" s="172"/>
      <c r="I93" s="172">
        <v>2</v>
      </c>
      <c r="J93" s="172">
        <f t="shared" si="15"/>
        <v>0.14000000000000001</v>
      </c>
      <c r="K93" s="172"/>
      <c r="L93" s="502">
        <f t="shared" si="12"/>
        <v>0</v>
      </c>
      <c r="M93" s="502">
        <f t="shared" si="13"/>
        <v>0</v>
      </c>
      <c r="N93" s="172">
        <v>0.14000000000000001</v>
      </c>
      <c r="O93" s="412">
        <v>1</v>
      </c>
      <c r="P93" s="969"/>
    </row>
    <row r="94" spans="1:16" s="170" customFormat="1" ht="14.25">
      <c r="A94" s="1999"/>
      <c r="B94" s="2000"/>
      <c r="C94" s="171" t="s">
        <v>939</v>
      </c>
      <c r="D94" s="173" t="s">
        <v>940</v>
      </c>
      <c r="E94" s="172">
        <v>2</v>
      </c>
      <c r="F94" s="172">
        <v>2</v>
      </c>
      <c r="G94" s="172">
        <f t="shared" si="14"/>
        <v>0.14000000000000001</v>
      </c>
      <c r="H94" s="172"/>
      <c r="I94" s="172">
        <v>2</v>
      </c>
      <c r="J94" s="172">
        <f t="shared" si="15"/>
        <v>0.14000000000000001</v>
      </c>
      <c r="K94" s="172"/>
      <c r="L94" s="502">
        <f t="shared" si="12"/>
        <v>0</v>
      </c>
      <c r="M94" s="502">
        <f t="shared" si="13"/>
        <v>0</v>
      </c>
      <c r="N94" s="172">
        <v>0.14000000000000001</v>
      </c>
      <c r="O94" s="412">
        <v>1</v>
      </c>
      <c r="P94" s="969"/>
    </row>
    <row r="95" spans="1:16" s="170" customFormat="1" ht="14.25">
      <c r="A95" s="1999"/>
      <c r="B95" s="2000"/>
      <c r="C95" s="171" t="s">
        <v>941</v>
      </c>
      <c r="D95" s="173" t="s">
        <v>942</v>
      </c>
      <c r="E95" s="172">
        <v>2</v>
      </c>
      <c r="F95" s="172">
        <v>2</v>
      </c>
      <c r="G95" s="172">
        <f t="shared" si="14"/>
        <v>0.14000000000000001</v>
      </c>
      <c r="H95" s="172">
        <f>SUM(F76:F95)*0.07</f>
        <v>6.580000000000001</v>
      </c>
      <c r="I95" s="172">
        <v>2</v>
      </c>
      <c r="J95" s="172">
        <f t="shared" si="15"/>
        <v>0.14000000000000001</v>
      </c>
      <c r="K95" s="172">
        <f>SUM(I76:I95)*0.07</f>
        <v>6.580000000000001</v>
      </c>
      <c r="L95" s="502">
        <f t="shared" si="12"/>
        <v>0</v>
      </c>
      <c r="M95" s="502">
        <f t="shared" si="13"/>
        <v>0</v>
      </c>
      <c r="N95" s="172">
        <v>0.14000000000000001</v>
      </c>
      <c r="O95" s="412">
        <v>1</v>
      </c>
      <c r="P95" s="969"/>
    </row>
    <row r="96" spans="1:16" s="170" customFormat="1" ht="54">
      <c r="A96" s="1999" t="s">
        <v>943</v>
      </c>
      <c r="B96" s="2000" t="s">
        <v>944</v>
      </c>
      <c r="C96" s="171" t="s">
        <v>945</v>
      </c>
      <c r="D96" s="173" t="s">
        <v>946</v>
      </c>
      <c r="E96" s="172">
        <v>10</v>
      </c>
      <c r="F96" s="172">
        <v>10</v>
      </c>
      <c r="G96" s="172">
        <f t="shared" ref="G96:G131" si="16">F96*0.05</f>
        <v>0.5</v>
      </c>
      <c r="H96" s="172"/>
      <c r="I96" s="172">
        <v>10</v>
      </c>
      <c r="J96" s="172">
        <f t="shared" ref="J96:J131" si="17">I96*0.05</f>
        <v>0.5</v>
      </c>
      <c r="K96" s="172"/>
      <c r="L96" s="502">
        <f t="shared" si="12"/>
        <v>0</v>
      </c>
      <c r="M96" s="502">
        <f t="shared" si="13"/>
        <v>0</v>
      </c>
      <c r="N96" s="172">
        <v>0.5</v>
      </c>
      <c r="O96" s="412">
        <v>1</v>
      </c>
      <c r="P96" s="969"/>
    </row>
    <row r="97" spans="1:16" s="170" customFormat="1" ht="27.75" customHeight="1">
      <c r="A97" s="1999"/>
      <c r="B97" s="2000"/>
      <c r="C97" s="171" t="s">
        <v>947</v>
      </c>
      <c r="D97" s="173" t="s">
        <v>948</v>
      </c>
      <c r="E97" s="172">
        <v>10</v>
      </c>
      <c r="F97" s="172">
        <v>10</v>
      </c>
      <c r="G97" s="172">
        <f t="shared" si="16"/>
        <v>0.5</v>
      </c>
      <c r="H97" s="172"/>
      <c r="I97" s="172">
        <v>10</v>
      </c>
      <c r="J97" s="172">
        <f t="shared" si="17"/>
        <v>0.5</v>
      </c>
      <c r="K97" s="172"/>
      <c r="L97" s="502">
        <f t="shared" si="12"/>
        <v>0</v>
      </c>
      <c r="M97" s="502">
        <f t="shared" si="13"/>
        <v>0</v>
      </c>
      <c r="N97" s="172">
        <v>0.5</v>
      </c>
      <c r="O97" s="412">
        <v>1</v>
      </c>
      <c r="P97" s="969"/>
    </row>
    <row r="98" spans="1:16" s="170" customFormat="1" ht="27">
      <c r="A98" s="1999"/>
      <c r="B98" s="2000" t="s">
        <v>949</v>
      </c>
      <c r="C98" s="171" t="s">
        <v>950</v>
      </c>
      <c r="D98" s="173" t="s">
        <v>951</v>
      </c>
      <c r="E98" s="172">
        <v>20</v>
      </c>
      <c r="F98" s="172">
        <v>20</v>
      </c>
      <c r="G98" s="172">
        <f t="shared" si="16"/>
        <v>1</v>
      </c>
      <c r="H98" s="172"/>
      <c r="I98" s="172">
        <v>20</v>
      </c>
      <c r="J98" s="172">
        <f t="shared" si="17"/>
        <v>1</v>
      </c>
      <c r="K98" s="172"/>
      <c r="L98" s="502">
        <f t="shared" si="12"/>
        <v>0</v>
      </c>
      <c r="M98" s="502">
        <f t="shared" si="13"/>
        <v>0</v>
      </c>
      <c r="N98" s="172">
        <v>1</v>
      </c>
      <c r="O98" s="412">
        <v>1</v>
      </c>
      <c r="P98" s="969"/>
    </row>
    <row r="99" spans="1:16" s="170" customFormat="1" ht="14.25">
      <c r="A99" s="1999"/>
      <c r="B99" s="2000"/>
      <c r="C99" s="171" t="s">
        <v>952</v>
      </c>
      <c r="D99" s="173" t="s">
        <v>953</v>
      </c>
      <c r="E99" s="172">
        <v>10</v>
      </c>
      <c r="F99" s="172">
        <v>10</v>
      </c>
      <c r="G99" s="172">
        <f t="shared" si="16"/>
        <v>0.5</v>
      </c>
      <c r="H99" s="172"/>
      <c r="I99" s="172">
        <v>10</v>
      </c>
      <c r="J99" s="172">
        <f t="shared" si="17"/>
        <v>0.5</v>
      </c>
      <c r="K99" s="172"/>
      <c r="L99" s="502">
        <f t="shared" ref="L99:L130" si="18">I99-F99</f>
        <v>0</v>
      </c>
      <c r="M99" s="502">
        <f t="shared" ref="M99:M114" si="19">E99-I99</f>
        <v>0</v>
      </c>
      <c r="N99" s="172">
        <v>0.5</v>
      </c>
      <c r="O99" s="412">
        <v>1</v>
      </c>
      <c r="P99" s="969"/>
    </row>
    <row r="100" spans="1:16" s="170" customFormat="1" ht="40.5">
      <c r="A100" s="1999"/>
      <c r="B100" s="2000"/>
      <c r="C100" s="171" t="s">
        <v>954</v>
      </c>
      <c r="D100" s="173" t="s">
        <v>955</v>
      </c>
      <c r="E100" s="172">
        <v>10</v>
      </c>
      <c r="F100" s="172">
        <v>10</v>
      </c>
      <c r="G100" s="172">
        <f t="shared" si="16"/>
        <v>0.5</v>
      </c>
      <c r="H100" s="172"/>
      <c r="I100" s="172">
        <v>10</v>
      </c>
      <c r="J100" s="172">
        <f t="shared" si="17"/>
        <v>0.5</v>
      </c>
      <c r="K100" s="172"/>
      <c r="L100" s="502">
        <f t="shared" si="18"/>
        <v>0</v>
      </c>
      <c r="M100" s="502">
        <f t="shared" si="19"/>
        <v>0</v>
      </c>
      <c r="N100" s="172">
        <v>0.5</v>
      </c>
      <c r="O100" s="413">
        <v>1</v>
      </c>
      <c r="P100" s="969"/>
    </row>
    <row r="101" spans="1:16" s="170" customFormat="1" ht="27">
      <c r="A101" s="1999"/>
      <c r="B101" s="2000"/>
      <c r="C101" s="171" t="s">
        <v>956</v>
      </c>
      <c r="D101" s="173" t="s">
        <v>957</v>
      </c>
      <c r="E101" s="172">
        <v>10</v>
      </c>
      <c r="F101" s="172">
        <v>10</v>
      </c>
      <c r="G101" s="172">
        <f t="shared" si="16"/>
        <v>0.5</v>
      </c>
      <c r="H101" s="172"/>
      <c r="I101" s="172">
        <v>10</v>
      </c>
      <c r="J101" s="172">
        <f t="shared" si="17"/>
        <v>0.5</v>
      </c>
      <c r="K101" s="172"/>
      <c r="L101" s="502">
        <f t="shared" si="18"/>
        <v>0</v>
      </c>
      <c r="M101" s="502">
        <f t="shared" si="19"/>
        <v>0</v>
      </c>
      <c r="N101" s="172">
        <v>0.5</v>
      </c>
      <c r="O101" s="412">
        <v>1</v>
      </c>
      <c r="P101" s="969"/>
    </row>
    <row r="102" spans="1:16" s="170" customFormat="1" ht="14.25">
      <c r="A102" s="1999"/>
      <c r="B102" s="2000" t="s">
        <v>958</v>
      </c>
      <c r="C102" s="181" t="s">
        <v>959</v>
      </c>
      <c r="D102" s="180" t="s">
        <v>960</v>
      </c>
      <c r="E102" s="172">
        <v>10</v>
      </c>
      <c r="F102" s="172">
        <v>10</v>
      </c>
      <c r="G102" s="172">
        <f t="shared" si="16"/>
        <v>0.5</v>
      </c>
      <c r="H102" s="172"/>
      <c r="I102" s="172">
        <v>10</v>
      </c>
      <c r="J102" s="172">
        <f t="shared" si="17"/>
        <v>0.5</v>
      </c>
      <c r="K102" s="172"/>
      <c r="L102" s="502">
        <f t="shared" si="18"/>
        <v>0</v>
      </c>
      <c r="M102" s="502">
        <f t="shared" si="19"/>
        <v>0</v>
      </c>
      <c r="N102" s="172">
        <v>0.5</v>
      </c>
      <c r="O102" s="412">
        <v>1</v>
      </c>
      <c r="P102" s="969"/>
    </row>
    <row r="103" spans="1:16" s="170" customFormat="1" ht="14.25">
      <c r="A103" s="1999"/>
      <c r="B103" s="2000"/>
      <c r="C103" s="171" t="s">
        <v>961</v>
      </c>
      <c r="D103" s="437" t="s">
        <v>962</v>
      </c>
      <c r="E103" s="172">
        <v>10</v>
      </c>
      <c r="F103" s="441">
        <v>5</v>
      </c>
      <c r="G103" s="172">
        <f t="shared" si="16"/>
        <v>0.25</v>
      </c>
      <c r="H103" s="172"/>
      <c r="I103" s="441">
        <v>5</v>
      </c>
      <c r="J103" s="172">
        <f t="shared" si="17"/>
        <v>0.25</v>
      </c>
      <c r="K103" s="172"/>
      <c r="L103" s="502">
        <f t="shared" si="18"/>
        <v>0</v>
      </c>
      <c r="M103" s="502">
        <f t="shared" si="19"/>
        <v>5</v>
      </c>
      <c r="N103" s="172">
        <v>0.5</v>
      </c>
      <c r="O103" s="413">
        <v>1</v>
      </c>
      <c r="P103" s="969"/>
    </row>
    <row r="104" spans="1:16" s="170" customFormat="1" ht="27">
      <c r="A104" s="1999"/>
      <c r="B104" s="2000"/>
      <c r="C104" s="171" t="s">
        <v>963</v>
      </c>
      <c r="D104" s="173" t="s">
        <v>964</v>
      </c>
      <c r="E104" s="172">
        <v>10</v>
      </c>
      <c r="F104" s="172">
        <v>10</v>
      </c>
      <c r="G104" s="172">
        <f t="shared" si="16"/>
        <v>0.5</v>
      </c>
      <c r="H104" s="172">
        <f>SUM(F96:F104)*0.05</f>
        <v>4.75</v>
      </c>
      <c r="I104" s="172">
        <v>10</v>
      </c>
      <c r="J104" s="172">
        <f t="shared" si="17"/>
        <v>0.5</v>
      </c>
      <c r="K104" s="172">
        <f>SUM(I96:I104)*0.05</f>
        <v>4.75</v>
      </c>
      <c r="L104" s="502">
        <f t="shared" si="18"/>
        <v>0</v>
      </c>
      <c r="M104" s="502">
        <f t="shared" si="19"/>
        <v>0</v>
      </c>
      <c r="N104" s="172">
        <v>0.5</v>
      </c>
      <c r="O104" s="412">
        <v>1</v>
      </c>
      <c r="P104" s="969"/>
    </row>
    <row r="105" spans="1:16" s="170" customFormat="1" ht="27">
      <c r="A105" s="1999" t="s">
        <v>965</v>
      </c>
      <c r="B105" s="2000" t="s">
        <v>966</v>
      </c>
      <c r="C105" s="171" t="s">
        <v>967</v>
      </c>
      <c r="D105" s="173" t="s">
        <v>968</v>
      </c>
      <c r="E105" s="172">
        <v>10</v>
      </c>
      <c r="F105" s="172">
        <v>10</v>
      </c>
      <c r="G105" s="172">
        <f t="shared" si="16"/>
        <v>0.5</v>
      </c>
      <c r="H105" s="172"/>
      <c r="I105" s="172">
        <v>10</v>
      </c>
      <c r="J105" s="172">
        <f t="shared" si="17"/>
        <v>0.5</v>
      </c>
      <c r="K105" s="172"/>
      <c r="L105" s="502">
        <f t="shared" si="18"/>
        <v>0</v>
      </c>
      <c r="M105" s="502">
        <f t="shared" si="19"/>
        <v>0</v>
      </c>
      <c r="N105" s="172">
        <v>0.5</v>
      </c>
      <c r="O105" s="412">
        <v>1</v>
      </c>
      <c r="P105" s="969"/>
    </row>
    <row r="106" spans="1:16" s="170" customFormat="1" ht="40.5">
      <c r="A106" s="1999"/>
      <c r="B106" s="2000"/>
      <c r="C106" s="171" t="s">
        <v>969</v>
      </c>
      <c r="D106" s="173" t="s">
        <v>970</v>
      </c>
      <c r="E106" s="172">
        <v>5</v>
      </c>
      <c r="F106" s="172">
        <v>5</v>
      </c>
      <c r="G106" s="172">
        <f t="shared" si="16"/>
        <v>0.25</v>
      </c>
      <c r="H106" s="172"/>
      <c r="I106" s="172">
        <v>5</v>
      </c>
      <c r="J106" s="172">
        <f t="shared" si="17"/>
        <v>0.25</v>
      </c>
      <c r="K106" s="172"/>
      <c r="L106" s="502">
        <f t="shared" si="18"/>
        <v>0</v>
      </c>
      <c r="M106" s="502">
        <f t="shared" si="19"/>
        <v>0</v>
      </c>
      <c r="N106" s="172">
        <v>0.25</v>
      </c>
      <c r="O106" s="412">
        <v>1</v>
      </c>
      <c r="P106" s="969"/>
    </row>
    <row r="107" spans="1:16" s="170" customFormat="1" ht="27">
      <c r="A107" s="1999"/>
      <c r="B107" s="2000"/>
      <c r="C107" s="171" t="s">
        <v>971</v>
      </c>
      <c r="D107" s="173" t="s">
        <v>972</v>
      </c>
      <c r="E107" s="172">
        <v>5</v>
      </c>
      <c r="F107" s="172">
        <v>5</v>
      </c>
      <c r="G107" s="172">
        <f t="shared" si="16"/>
        <v>0.25</v>
      </c>
      <c r="H107" s="172"/>
      <c r="I107" s="172">
        <v>5</v>
      </c>
      <c r="J107" s="172">
        <f t="shared" si="17"/>
        <v>0.25</v>
      </c>
      <c r="K107" s="172"/>
      <c r="L107" s="502">
        <f t="shared" si="18"/>
        <v>0</v>
      </c>
      <c r="M107" s="502">
        <f t="shared" si="19"/>
        <v>0</v>
      </c>
      <c r="N107" s="172">
        <v>0.25</v>
      </c>
      <c r="O107" s="412">
        <v>1</v>
      </c>
      <c r="P107" s="969"/>
    </row>
    <row r="108" spans="1:16" s="170" customFormat="1" ht="27">
      <c r="A108" s="1999"/>
      <c r="B108" s="2000" t="s">
        <v>973</v>
      </c>
      <c r="C108" s="171" t="s">
        <v>974</v>
      </c>
      <c r="D108" s="173" t="s">
        <v>975</v>
      </c>
      <c r="E108" s="172">
        <v>5</v>
      </c>
      <c r="F108" s="172"/>
      <c r="G108" s="172">
        <f t="shared" si="16"/>
        <v>0</v>
      </c>
      <c r="H108" s="172"/>
      <c r="I108" s="172"/>
      <c r="J108" s="172">
        <f t="shared" si="17"/>
        <v>0</v>
      </c>
      <c r="K108" s="172"/>
      <c r="L108" s="502">
        <f t="shared" si="18"/>
        <v>0</v>
      </c>
      <c r="M108" s="502">
        <f t="shared" si="19"/>
        <v>5</v>
      </c>
      <c r="N108" s="172">
        <v>0</v>
      </c>
      <c r="O108" s="412">
        <v>1</v>
      </c>
      <c r="P108" s="969"/>
    </row>
    <row r="109" spans="1:16" s="170" customFormat="1" ht="27">
      <c r="A109" s="1999"/>
      <c r="B109" s="2000"/>
      <c r="C109" s="171" t="s">
        <v>976</v>
      </c>
      <c r="D109" s="173" t="s">
        <v>977</v>
      </c>
      <c r="E109" s="172">
        <v>10</v>
      </c>
      <c r="F109" s="172"/>
      <c r="G109" s="172">
        <f t="shared" si="16"/>
        <v>0</v>
      </c>
      <c r="H109" s="172"/>
      <c r="I109" s="172"/>
      <c r="J109" s="172">
        <f t="shared" si="17"/>
        <v>0</v>
      </c>
      <c r="K109" s="172"/>
      <c r="L109" s="502">
        <f t="shared" si="18"/>
        <v>0</v>
      </c>
      <c r="M109" s="502">
        <f t="shared" si="19"/>
        <v>10</v>
      </c>
      <c r="N109" s="172">
        <v>0</v>
      </c>
      <c r="O109" s="412">
        <v>1</v>
      </c>
      <c r="P109" s="969"/>
    </row>
    <row r="110" spans="1:16" s="170" customFormat="1" ht="27">
      <c r="A110" s="1999"/>
      <c r="B110" s="2000"/>
      <c r="C110" s="171" t="s">
        <v>978</v>
      </c>
      <c r="D110" s="173" t="s">
        <v>979</v>
      </c>
      <c r="E110" s="172">
        <v>10</v>
      </c>
      <c r="F110" s="172"/>
      <c r="G110" s="172">
        <f t="shared" si="16"/>
        <v>0</v>
      </c>
      <c r="H110" s="172"/>
      <c r="I110" s="172"/>
      <c r="J110" s="172">
        <f t="shared" si="17"/>
        <v>0</v>
      </c>
      <c r="K110" s="172"/>
      <c r="L110" s="502">
        <f t="shared" si="18"/>
        <v>0</v>
      </c>
      <c r="M110" s="502">
        <f t="shared" si="19"/>
        <v>10</v>
      </c>
      <c r="N110" s="172">
        <v>0</v>
      </c>
      <c r="O110" s="412">
        <v>1</v>
      </c>
      <c r="P110" s="969"/>
    </row>
    <row r="111" spans="1:16" s="170" customFormat="1" ht="14.25">
      <c r="A111" s="1999"/>
      <c r="B111" s="2000"/>
      <c r="C111" s="171" t="s">
        <v>980</v>
      </c>
      <c r="D111" s="173" t="s">
        <v>981</v>
      </c>
      <c r="E111" s="172">
        <v>10</v>
      </c>
      <c r="F111" s="172"/>
      <c r="G111" s="172">
        <f t="shared" si="16"/>
        <v>0</v>
      </c>
      <c r="H111" s="172"/>
      <c r="I111" s="172"/>
      <c r="J111" s="172">
        <f t="shared" si="17"/>
        <v>0</v>
      </c>
      <c r="K111" s="172"/>
      <c r="L111" s="502">
        <f t="shared" si="18"/>
        <v>0</v>
      </c>
      <c r="M111" s="502">
        <f t="shared" si="19"/>
        <v>10</v>
      </c>
      <c r="N111" s="172">
        <v>0</v>
      </c>
      <c r="O111" s="412">
        <v>1</v>
      </c>
      <c r="P111" s="969"/>
    </row>
    <row r="112" spans="1:16" s="170" customFormat="1" ht="14.25">
      <c r="A112" s="1999"/>
      <c r="B112" s="2000"/>
      <c r="C112" s="171" t="s">
        <v>982</v>
      </c>
      <c r="D112" s="173" t="s">
        <v>983</v>
      </c>
      <c r="E112" s="172">
        <v>5</v>
      </c>
      <c r="F112" s="172"/>
      <c r="G112" s="172">
        <f t="shared" si="16"/>
        <v>0</v>
      </c>
      <c r="H112" s="172"/>
      <c r="I112" s="172"/>
      <c r="J112" s="172">
        <f t="shared" si="17"/>
        <v>0</v>
      </c>
      <c r="K112" s="172"/>
      <c r="L112" s="502">
        <f t="shared" si="18"/>
        <v>0</v>
      </c>
      <c r="M112" s="502">
        <f t="shared" si="19"/>
        <v>5</v>
      </c>
      <c r="N112" s="172">
        <v>0</v>
      </c>
      <c r="O112" s="412">
        <v>1</v>
      </c>
      <c r="P112" s="969"/>
    </row>
    <row r="113" spans="1:16" s="170" customFormat="1" ht="40.5">
      <c r="A113" s="1999"/>
      <c r="B113" s="2000"/>
      <c r="C113" s="171" t="s">
        <v>984</v>
      </c>
      <c r="D113" s="173" t="s">
        <v>985</v>
      </c>
      <c r="E113" s="172">
        <v>10</v>
      </c>
      <c r="F113" s="172"/>
      <c r="G113" s="172">
        <f t="shared" si="16"/>
        <v>0</v>
      </c>
      <c r="H113" s="172"/>
      <c r="I113" s="172"/>
      <c r="J113" s="172">
        <f t="shared" si="17"/>
        <v>0</v>
      </c>
      <c r="K113" s="172"/>
      <c r="L113" s="502">
        <f t="shared" si="18"/>
        <v>0</v>
      </c>
      <c r="M113" s="502">
        <f t="shared" si="19"/>
        <v>10</v>
      </c>
      <c r="N113" s="172">
        <v>0</v>
      </c>
      <c r="O113" s="412">
        <v>1</v>
      </c>
      <c r="P113" s="969"/>
    </row>
    <row r="114" spans="1:16" s="170" customFormat="1" ht="14.25">
      <c r="A114" s="1999"/>
      <c r="B114" s="2000"/>
      <c r="C114" s="171" t="s">
        <v>986</v>
      </c>
      <c r="D114" s="173" t="s">
        <v>987</v>
      </c>
      <c r="E114" s="172">
        <v>10</v>
      </c>
      <c r="F114" s="172"/>
      <c r="G114" s="172">
        <f t="shared" si="16"/>
        <v>0</v>
      </c>
      <c r="H114" s="172"/>
      <c r="I114" s="172"/>
      <c r="J114" s="172">
        <f t="shared" si="17"/>
        <v>0</v>
      </c>
      <c r="K114" s="172"/>
      <c r="L114" s="502">
        <f t="shared" si="18"/>
        <v>0</v>
      </c>
      <c r="M114" s="502">
        <f t="shared" si="19"/>
        <v>10</v>
      </c>
      <c r="N114" s="172">
        <v>0</v>
      </c>
      <c r="O114" s="412">
        <v>1</v>
      </c>
      <c r="P114" s="969"/>
    </row>
    <row r="115" spans="1:16" s="170" customFormat="1" ht="27" customHeight="1">
      <c r="A115" s="1999"/>
      <c r="B115" s="2000"/>
      <c r="C115" s="181" t="s">
        <v>988</v>
      </c>
      <c r="D115" s="180" t="s">
        <v>990</v>
      </c>
      <c r="E115" s="172" t="s">
        <v>989</v>
      </c>
      <c r="F115" s="172">
        <v>60</v>
      </c>
      <c r="G115" s="172">
        <f t="shared" si="16"/>
        <v>3</v>
      </c>
      <c r="H115" s="172"/>
      <c r="I115" s="172">
        <v>60</v>
      </c>
      <c r="J115" s="172">
        <f t="shared" si="17"/>
        <v>3</v>
      </c>
      <c r="K115" s="172"/>
      <c r="L115" s="502">
        <f t="shared" si="18"/>
        <v>0</v>
      </c>
      <c r="M115" s="502"/>
      <c r="N115" s="172">
        <v>3</v>
      </c>
      <c r="O115" s="412">
        <v>1</v>
      </c>
      <c r="P115" s="969"/>
    </row>
    <row r="116" spans="1:16" s="170" customFormat="1" ht="14.25">
      <c r="A116" s="1999"/>
      <c r="B116" s="2000" t="s">
        <v>991</v>
      </c>
      <c r="C116" s="171" t="s">
        <v>992</v>
      </c>
      <c r="D116" s="173" t="s">
        <v>993</v>
      </c>
      <c r="E116" s="172">
        <v>10</v>
      </c>
      <c r="F116" s="172">
        <v>10</v>
      </c>
      <c r="G116" s="172">
        <f t="shared" si="16"/>
        <v>0.5</v>
      </c>
      <c r="H116" s="172"/>
      <c r="I116" s="172">
        <v>10</v>
      </c>
      <c r="J116" s="172">
        <f t="shared" si="17"/>
        <v>0.5</v>
      </c>
      <c r="K116" s="172"/>
      <c r="L116" s="502">
        <f t="shared" si="18"/>
        <v>0</v>
      </c>
      <c r="M116" s="502">
        <f t="shared" ref="M116:M131" si="20">E116-I116</f>
        <v>0</v>
      </c>
      <c r="N116" s="172">
        <v>0.5</v>
      </c>
      <c r="O116" s="412">
        <v>1</v>
      </c>
      <c r="P116" s="969"/>
    </row>
    <row r="117" spans="1:16" s="170" customFormat="1" ht="14.25">
      <c r="A117" s="1999"/>
      <c r="B117" s="2000"/>
      <c r="C117" s="171" t="s">
        <v>994</v>
      </c>
      <c r="D117" s="173" t="s">
        <v>995</v>
      </c>
      <c r="E117" s="172">
        <v>5</v>
      </c>
      <c r="F117" s="172">
        <v>5</v>
      </c>
      <c r="G117" s="172">
        <f t="shared" si="16"/>
        <v>0.25</v>
      </c>
      <c r="H117" s="172"/>
      <c r="I117" s="172">
        <v>5</v>
      </c>
      <c r="J117" s="172">
        <f t="shared" si="17"/>
        <v>0.25</v>
      </c>
      <c r="K117" s="172"/>
      <c r="L117" s="502">
        <f t="shared" si="18"/>
        <v>0</v>
      </c>
      <c r="M117" s="502">
        <f t="shared" si="20"/>
        <v>0</v>
      </c>
      <c r="N117" s="172">
        <v>0.25</v>
      </c>
      <c r="O117" s="412">
        <v>1</v>
      </c>
      <c r="P117" s="969"/>
    </row>
    <row r="118" spans="1:16" s="170" customFormat="1" ht="14.25">
      <c r="A118" s="1999"/>
      <c r="B118" s="2000"/>
      <c r="C118" s="171" t="s">
        <v>996</v>
      </c>
      <c r="D118" s="173" t="s">
        <v>997</v>
      </c>
      <c r="E118" s="172">
        <v>5</v>
      </c>
      <c r="F118" s="172">
        <v>5</v>
      </c>
      <c r="G118" s="172">
        <f t="shared" si="16"/>
        <v>0.25</v>
      </c>
      <c r="H118" s="172">
        <f>SUM(F105:F118)*0.05</f>
        <v>5</v>
      </c>
      <c r="I118" s="172">
        <v>5</v>
      </c>
      <c r="J118" s="172">
        <f t="shared" si="17"/>
        <v>0.25</v>
      </c>
      <c r="K118" s="172">
        <f>SUM(I105:I118)*0.05</f>
        <v>5</v>
      </c>
      <c r="L118" s="502">
        <f t="shared" si="18"/>
        <v>0</v>
      </c>
      <c r="M118" s="502">
        <f t="shared" si="20"/>
        <v>0</v>
      </c>
      <c r="N118" s="172">
        <v>0.25</v>
      </c>
      <c r="O118" s="412">
        <v>1</v>
      </c>
      <c r="P118" s="969"/>
    </row>
    <row r="119" spans="1:16" s="170" customFormat="1" ht="27">
      <c r="A119" s="1999" t="s">
        <v>998</v>
      </c>
      <c r="B119" s="2000" t="s">
        <v>999</v>
      </c>
      <c r="C119" s="171" t="s">
        <v>1000</v>
      </c>
      <c r="D119" s="173" t="s">
        <v>1001</v>
      </c>
      <c r="E119" s="172">
        <v>5</v>
      </c>
      <c r="F119" s="172">
        <v>0</v>
      </c>
      <c r="G119" s="172">
        <f t="shared" si="16"/>
        <v>0</v>
      </c>
      <c r="H119" s="172"/>
      <c r="I119" s="172">
        <v>5</v>
      </c>
      <c r="J119" s="172">
        <f t="shared" si="17"/>
        <v>0.25</v>
      </c>
      <c r="K119" s="172"/>
      <c r="L119" s="502">
        <f t="shared" si="18"/>
        <v>5</v>
      </c>
      <c r="M119" s="502">
        <f t="shared" si="20"/>
        <v>0</v>
      </c>
      <c r="N119" s="172">
        <v>0.25</v>
      </c>
      <c r="O119" s="412">
        <v>1</v>
      </c>
      <c r="P119" s="969"/>
    </row>
    <row r="120" spans="1:16" s="170" customFormat="1" ht="27">
      <c r="A120" s="1999"/>
      <c r="B120" s="2000"/>
      <c r="C120" s="171" t="s">
        <v>1002</v>
      </c>
      <c r="D120" s="437" t="s">
        <v>1003</v>
      </c>
      <c r="E120" s="172">
        <v>6</v>
      </c>
      <c r="F120" s="172">
        <v>6</v>
      </c>
      <c r="G120" s="172">
        <f t="shared" si="16"/>
        <v>0.30000000000000004</v>
      </c>
      <c r="H120" s="172"/>
      <c r="I120" s="172">
        <v>6</v>
      </c>
      <c r="J120" s="172">
        <f t="shared" si="17"/>
        <v>0.30000000000000004</v>
      </c>
      <c r="K120" s="172"/>
      <c r="L120" s="502">
        <f t="shared" si="18"/>
        <v>0</v>
      </c>
      <c r="M120" s="502">
        <f t="shared" si="20"/>
        <v>0</v>
      </c>
      <c r="N120" s="172">
        <v>0.30000000000000004</v>
      </c>
      <c r="O120" s="412">
        <v>1</v>
      </c>
      <c r="P120" s="969"/>
    </row>
    <row r="121" spans="1:16" s="170" customFormat="1" ht="27">
      <c r="A121" s="1999"/>
      <c r="B121" s="2000"/>
      <c r="C121" s="171" t="s">
        <v>1004</v>
      </c>
      <c r="D121" s="173" t="s">
        <v>1005</v>
      </c>
      <c r="E121" s="172">
        <v>4</v>
      </c>
      <c r="F121" s="172">
        <v>4</v>
      </c>
      <c r="G121" s="172">
        <f t="shared" si="16"/>
        <v>0.2</v>
      </c>
      <c r="H121" s="172"/>
      <c r="I121" s="172">
        <v>4</v>
      </c>
      <c r="J121" s="172">
        <f t="shared" si="17"/>
        <v>0.2</v>
      </c>
      <c r="K121" s="172"/>
      <c r="L121" s="502">
        <f t="shared" si="18"/>
        <v>0</v>
      </c>
      <c r="M121" s="502">
        <f t="shared" si="20"/>
        <v>0</v>
      </c>
      <c r="N121" s="172">
        <v>0.2</v>
      </c>
      <c r="O121" s="413">
        <v>1</v>
      </c>
      <c r="P121" s="969"/>
    </row>
    <row r="122" spans="1:16" s="170" customFormat="1" ht="14.25">
      <c r="A122" s="1999"/>
      <c r="B122" s="2000"/>
      <c r="C122" s="171" t="s">
        <v>1006</v>
      </c>
      <c r="D122" s="173" t="s">
        <v>1007</v>
      </c>
      <c r="E122" s="172">
        <v>10</v>
      </c>
      <c r="F122" s="172">
        <v>10</v>
      </c>
      <c r="G122" s="172">
        <f t="shared" si="16"/>
        <v>0.5</v>
      </c>
      <c r="H122" s="172"/>
      <c r="I122" s="172">
        <v>10</v>
      </c>
      <c r="J122" s="172">
        <f t="shared" si="17"/>
        <v>0.5</v>
      </c>
      <c r="K122" s="172"/>
      <c r="L122" s="502">
        <f t="shared" si="18"/>
        <v>0</v>
      </c>
      <c r="M122" s="502">
        <f t="shared" si="20"/>
        <v>0</v>
      </c>
      <c r="N122" s="172">
        <v>0.5</v>
      </c>
      <c r="O122" s="412">
        <v>1</v>
      </c>
      <c r="P122" s="969"/>
    </row>
    <row r="123" spans="1:16" s="170" customFormat="1" ht="27">
      <c r="A123" s="1999"/>
      <c r="B123" s="2000" t="s">
        <v>1008</v>
      </c>
      <c r="C123" s="171" t="s">
        <v>1009</v>
      </c>
      <c r="D123" s="437" t="s">
        <v>1010</v>
      </c>
      <c r="E123" s="172">
        <v>5</v>
      </c>
      <c r="F123" s="441">
        <v>0</v>
      </c>
      <c r="G123" s="172">
        <f t="shared" si="16"/>
        <v>0</v>
      </c>
      <c r="H123" s="172"/>
      <c r="I123" s="441">
        <v>0</v>
      </c>
      <c r="J123" s="172">
        <f t="shared" si="17"/>
        <v>0</v>
      </c>
      <c r="K123" s="172"/>
      <c r="L123" s="502">
        <f t="shared" si="18"/>
        <v>0</v>
      </c>
      <c r="M123" s="502">
        <f t="shared" si="20"/>
        <v>5</v>
      </c>
      <c r="N123" s="172">
        <v>0.25</v>
      </c>
      <c r="O123" s="412">
        <v>1</v>
      </c>
      <c r="P123" s="969"/>
    </row>
    <row r="124" spans="1:16" s="170" customFormat="1" ht="27">
      <c r="A124" s="1999"/>
      <c r="B124" s="2000"/>
      <c r="C124" s="171" t="s">
        <v>1011</v>
      </c>
      <c r="D124" s="173" t="s">
        <v>1012</v>
      </c>
      <c r="E124" s="172">
        <v>10</v>
      </c>
      <c r="F124" s="172">
        <v>10</v>
      </c>
      <c r="G124" s="172">
        <f t="shared" si="16"/>
        <v>0.5</v>
      </c>
      <c r="H124" s="172"/>
      <c r="I124" s="172">
        <v>10</v>
      </c>
      <c r="J124" s="172">
        <f t="shared" si="17"/>
        <v>0.5</v>
      </c>
      <c r="K124" s="172"/>
      <c r="L124" s="502">
        <f t="shared" si="18"/>
        <v>0</v>
      </c>
      <c r="M124" s="502">
        <f t="shared" si="20"/>
        <v>0</v>
      </c>
      <c r="N124" s="172">
        <v>0.5</v>
      </c>
      <c r="O124" s="412">
        <v>1</v>
      </c>
      <c r="P124" s="969"/>
    </row>
    <row r="125" spans="1:16" s="170" customFormat="1" ht="14.25">
      <c r="A125" s="1999"/>
      <c r="B125" s="2000"/>
      <c r="C125" s="171" t="s">
        <v>1013</v>
      </c>
      <c r="D125" s="173" t="s">
        <v>1014</v>
      </c>
      <c r="E125" s="172">
        <v>5</v>
      </c>
      <c r="F125" s="172">
        <v>5</v>
      </c>
      <c r="G125" s="172">
        <f t="shared" si="16"/>
        <v>0.25</v>
      </c>
      <c r="H125" s="172"/>
      <c r="I125" s="172">
        <v>5</v>
      </c>
      <c r="J125" s="172">
        <f t="shared" si="17"/>
        <v>0.25</v>
      </c>
      <c r="K125" s="172"/>
      <c r="L125" s="502">
        <f t="shared" si="18"/>
        <v>0</v>
      </c>
      <c r="M125" s="502">
        <f t="shared" si="20"/>
        <v>0</v>
      </c>
      <c r="N125" s="172">
        <v>0.25</v>
      </c>
      <c r="O125" s="412">
        <v>1</v>
      </c>
      <c r="P125" s="969"/>
    </row>
    <row r="126" spans="1:16" s="170" customFormat="1" ht="40.5">
      <c r="A126" s="1999"/>
      <c r="B126" s="182" t="s">
        <v>1015</v>
      </c>
      <c r="C126" s="171" t="s">
        <v>1016</v>
      </c>
      <c r="D126" s="173" t="s">
        <v>1017</v>
      </c>
      <c r="E126" s="172">
        <v>15</v>
      </c>
      <c r="F126" s="172">
        <v>15</v>
      </c>
      <c r="G126" s="172">
        <f t="shared" si="16"/>
        <v>0.75</v>
      </c>
      <c r="H126" s="172"/>
      <c r="I126" s="172">
        <v>15</v>
      </c>
      <c r="J126" s="172">
        <f t="shared" si="17"/>
        <v>0.75</v>
      </c>
      <c r="K126" s="172"/>
      <c r="L126" s="502">
        <f t="shared" si="18"/>
        <v>0</v>
      </c>
      <c r="M126" s="502">
        <f t="shared" si="20"/>
        <v>0</v>
      </c>
      <c r="N126" s="172">
        <v>0.75</v>
      </c>
      <c r="O126" s="412">
        <v>1</v>
      </c>
      <c r="P126" s="969"/>
    </row>
    <row r="127" spans="1:16" s="170" customFormat="1" ht="14.25">
      <c r="A127" s="1999"/>
      <c r="B127" s="2000" t="s">
        <v>1018</v>
      </c>
      <c r="C127" s="171" t="s">
        <v>1019</v>
      </c>
      <c r="D127" s="173" t="s">
        <v>1020</v>
      </c>
      <c r="E127" s="172">
        <v>2</v>
      </c>
      <c r="F127" s="172">
        <v>2</v>
      </c>
      <c r="G127" s="172">
        <f t="shared" si="16"/>
        <v>0.1</v>
      </c>
      <c r="H127" s="172"/>
      <c r="I127" s="172">
        <v>2</v>
      </c>
      <c r="J127" s="172">
        <f t="shared" si="17"/>
        <v>0.1</v>
      </c>
      <c r="K127" s="172"/>
      <c r="L127" s="502">
        <f t="shared" si="18"/>
        <v>0</v>
      </c>
      <c r="M127" s="502">
        <f t="shared" si="20"/>
        <v>0</v>
      </c>
      <c r="N127" s="172">
        <v>0.1</v>
      </c>
      <c r="O127" s="412">
        <v>1</v>
      </c>
      <c r="P127" s="969"/>
    </row>
    <row r="128" spans="1:16" s="170" customFormat="1" ht="27">
      <c r="A128" s="1999"/>
      <c r="B128" s="2000"/>
      <c r="C128" s="171" t="s">
        <v>1021</v>
      </c>
      <c r="D128" s="173" t="s">
        <v>1022</v>
      </c>
      <c r="E128" s="172">
        <v>8</v>
      </c>
      <c r="F128" s="172">
        <v>8</v>
      </c>
      <c r="G128" s="172">
        <f t="shared" si="16"/>
        <v>0.4</v>
      </c>
      <c r="H128" s="172"/>
      <c r="I128" s="172">
        <v>8</v>
      </c>
      <c r="J128" s="172">
        <f t="shared" si="17"/>
        <v>0.4</v>
      </c>
      <c r="K128" s="172"/>
      <c r="L128" s="502">
        <f t="shared" si="18"/>
        <v>0</v>
      </c>
      <c r="M128" s="502">
        <f t="shared" si="20"/>
        <v>0</v>
      </c>
      <c r="N128" s="172">
        <v>0.4</v>
      </c>
      <c r="O128" s="412">
        <v>1</v>
      </c>
      <c r="P128" s="969"/>
    </row>
    <row r="129" spans="1:16" s="170" customFormat="1" ht="14.25">
      <c r="A129" s="1999"/>
      <c r="B129" s="2000" t="s">
        <v>1023</v>
      </c>
      <c r="C129" s="171" t="s">
        <v>1024</v>
      </c>
      <c r="D129" s="173" t="s">
        <v>1025</v>
      </c>
      <c r="E129" s="172">
        <v>10</v>
      </c>
      <c r="F129" s="172">
        <v>10</v>
      </c>
      <c r="G129" s="172">
        <f t="shared" si="16"/>
        <v>0.5</v>
      </c>
      <c r="H129" s="172"/>
      <c r="I129" s="172">
        <v>10</v>
      </c>
      <c r="J129" s="172">
        <f t="shared" si="17"/>
        <v>0.5</v>
      </c>
      <c r="K129" s="172"/>
      <c r="L129" s="502">
        <f t="shared" si="18"/>
        <v>0</v>
      </c>
      <c r="M129" s="502">
        <f t="shared" si="20"/>
        <v>0</v>
      </c>
      <c r="N129" s="172">
        <v>0.5</v>
      </c>
      <c r="O129" s="412">
        <v>1</v>
      </c>
      <c r="P129" s="969"/>
    </row>
    <row r="130" spans="1:16" s="170" customFormat="1" ht="14.25">
      <c r="A130" s="1999"/>
      <c r="B130" s="2000"/>
      <c r="C130" s="171" t="s">
        <v>1026</v>
      </c>
      <c r="D130" s="173" t="s">
        <v>1027</v>
      </c>
      <c r="E130" s="172">
        <v>10</v>
      </c>
      <c r="F130" s="172">
        <v>10</v>
      </c>
      <c r="G130" s="172">
        <f t="shared" si="16"/>
        <v>0.5</v>
      </c>
      <c r="H130" s="172"/>
      <c r="I130" s="172">
        <v>10</v>
      </c>
      <c r="J130" s="172">
        <f t="shared" si="17"/>
        <v>0.5</v>
      </c>
      <c r="K130" s="172"/>
      <c r="L130" s="502">
        <f t="shared" si="18"/>
        <v>0</v>
      </c>
      <c r="M130" s="502">
        <f t="shared" si="20"/>
        <v>0</v>
      </c>
      <c r="N130" s="172">
        <v>0.5</v>
      </c>
      <c r="O130" s="412">
        <v>1</v>
      </c>
      <c r="P130" s="969"/>
    </row>
    <row r="131" spans="1:16" s="170" customFormat="1" ht="27">
      <c r="A131" s="1999"/>
      <c r="B131" s="2000"/>
      <c r="C131" s="171" t="s">
        <v>1028</v>
      </c>
      <c r="D131" s="173" t="s">
        <v>1029</v>
      </c>
      <c r="E131" s="172">
        <v>10</v>
      </c>
      <c r="F131" s="172">
        <v>10</v>
      </c>
      <c r="G131" s="172">
        <f t="shared" si="16"/>
        <v>0.5</v>
      </c>
      <c r="H131" s="172">
        <f>SUM(F119:F131)*0.05</f>
        <v>4.5</v>
      </c>
      <c r="I131" s="172">
        <v>10</v>
      </c>
      <c r="J131" s="172">
        <f t="shared" si="17"/>
        <v>0.5</v>
      </c>
      <c r="K131" s="172">
        <f>SUM(I119:I131)*0.05</f>
        <v>4.75</v>
      </c>
      <c r="L131" s="502">
        <f>I131-F131</f>
        <v>0</v>
      </c>
      <c r="M131" s="502">
        <f t="shared" si="20"/>
        <v>0</v>
      </c>
      <c r="N131" s="172">
        <v>0.5</v>
      </c>
      <c r="O131" s="412">
        <v>1</v>
      </c>
      <c r="P131" s="969"/>
    </row>
    <row r="132" spans="1:16" ht="27" customHeight="1">
      <c r="A132" s="2000" t="s">
        <v>1030</v>
      </c>
      <c r="B132" s="2001" t="s">
        <v>1031</v>
      </c>
      <c r="C132" s="2001"/>
      <c r="D132" s="2001"/>
      <c r="E132" s="2001"/>
      <c r="F132" s="183"/>
      <c r="G132" s="183"/>
      <c r="H132" s="183"/>
      <c r="I132" s="436"/>
      <c r="J132" s="183"/>
      <c r="K132" s="183"/>
      <c r="L132" s="438"/>
      <c r="M132" s="438"/>
    </row>
    <row r="133" spans="1:16" ht="27" customHeight="1">
      <c r="A133" s="2000"/>
      <c r="B133" s="2001" t="s">
        <v>1032</v>
      </c>
      <c r="C133" s="2001"/>
      <c r="D133" s="2001"/>
      <c r="E133" s="2001"/>
      <c r="F133" s="183"/>
      <c r="G133" s="183"/>
      <c r="H133" s="183"/>
      <c r="I133" s="436"/>
      <c r="J133" s="183"/>
      <c r="K133" s="183"/>
      <c r="L133" s="438"/>
      <c r="M133" s="438"/>
    </row>
    <row r="134" spans="1:16" ht="27" customHeight="1">
      <c r="A134" s="2000"/>
      <c r="B134" s="2001" t="s">
        <v>1033</v>
      </c>
      <c r="C134" s="2001"/>
      <c r="D134" s="2001"/>
      <c r="E134" s="2001"/>
      <c r="F134" s="183"/>
      <c r="G134" s="183"/>
      <c r="H134" s="183"/>
      <c r="I134" s="436"/>
      <c r="J134" s="183"/>
      <c r="K134" s="183"/>
      <c r="L134" s="438"/>
      <c r="M134" s="438"/>
    </row>
    <row r="135" spans="1:16" ht="27" customHeight="1">
      <c r="A135" s="2000"/>
      <c r="B135" s="2001" t="s">
        <v>1034</v>
      </c>
      <c r="C135" s="2001"/>
      <c r="D135" s="2001"/>
      <c r="E135" s="2001"/>
      <c r="F135" s="183"/>
      <c r="G135" s="183"/>
      <c r="H135" s="183"/>
      <c r="I135" s="436"/>
      <c r="J135" s="183"/>
      <c r="K135" s="183"/>
      <c r="L135" s="438"/>
      <c r="M135" s="438"/>
    </row>
    <row r="136" spans="1:16" ht="13.5">
      <c r="A136" s="2000"/>
      <c r="B136" s="2001" t="s">
        <v>1035</v>
      </c>
      <c r="C136" s="2001"/>
      <c r="D136" s="2001"/>
      <c r="E136" s="2001"/>
      <c r="F136" s="183"/>
      <c r="G136" s="183"/>
      <c r="H136" s="183"/>
      <c r="I136" s="436"/>
      <c r="J136" s="183"/>
      <c r="K136" s="183"/>
      <c r="L136" s="438"/>
      <c r="M136" s="438"/>
    </row>
    <row r="137" spans="1:16" ht="13.5">
      <c r="B137" s="846" t="s">
        <v>1899</v>
      </c>
      <c r="F137" s="236"/>
      <c r="G137" s="236" t="s">
        <v>1665</v>
      </c>
      <c r="H137" s="440">
        <f>SUM(H3:H136)</f>
        <v>89.429999999999993</v>
      </c>
      <c r="I137" s="236"/>
      <c r="J137" s="236"/>
      <c r="K137" s="845">
        <f>SUM(K3:K136)</f>
        <v>89.679999999999993</v>
      </c>
      <c r="N137" s="237"/>
    </row>
    <row r="138" spans="1:16" ht="13.5">
      <c r="B138" s="846" t="s">
        <v>1898</v>
      </c>
      <c r="H138" s="440">
        <f>100-H137</f>
        <v>10.570000000000007</v>
      </c>
      <c r="K138" s="844">
        <f>100-K137</f>
        <v>10.320000000000007</v>
      </c>
    </row>
    <row r="139" spans="1:16" ht="13.5">
      <c r="H139" s="440"/>
      <c r="K139" s="440"/>
    </row>
    <row r="140" spans="1:16" ht="13.5">
      <c r="F140" s="439" t="s">
        <v>1615</v>
      </c>
      <c r="H140" s="440">
        <f>SUMPRODUCT(G3:G131,O3:O131)</f>
        <v>89.429999999999922</v>
      </c>
      <c r="K140" s="440">
        <f>SUMPRODUCT(J3:J131,O3:O131)</f>
        <v>89.679999999999922</v>
      </c>
    </row>
    <row r="141" spans="1:16" ht="13.5">
      <c r="F141" s="439" t="s">
        <v>1440</v>
      </c>
      <c r="H141" s="440">
        <f>SUMPRODUCT(N3:N131,O3:O131)</f>
        <v>98.049999999999955</v>
      </c>
      <c r="K141" s="440">
        <f>SUMPRODUCT(N3:N131,O3:O131)</f>
        <v>98.049999999999955</v>
      </c>
    </row>
    <row r="145" spans="1:1" ht="13.5">
      <c r="A145" s="865" t="s">
        <v>1897</v>
      </c>
    </row>
    <row r="146" spans="1:1" ht="13.5">
      <c r="A146" s="876" t="s">
        <v>1944</v>
      </c>
    </row>
  </sheetData>
  <mergeCells count="52">
    <mergeCell ref="B136:E136"/>
    <mergeCell ref="A119:A131"/>
    <mergeCell ref="B119:B122"/>
    <mergeCell ref="B123:B125"/>
    <mergeCell ref="B127:B128"/>
    <mergeCell ref="B129:B131"/>
    <mergeCell ref="A132:A136"/>
    <mergeCell ref="B132:E132"/>
    <mergeCell ref="B133:E133"/>
    <mergeCell ref="B134:E134"/>
    <mergeCell ref="B135:E135"/>
    <mergeCell ref="A96:A104"/>
    <mergeCell ref="B96:B97"/>
    <mergeCell ref="B98:B101"/>
    <mergeCell ref="B102:B104"/>
    <mergeCell ref="A105:A118"/>
    <mergeCell ref="B105:B107"/>
    <mergeCell ref="B108:B115"/>
    <mergeCell ref="B116:B118"/>
    <mergeCell ref="B72:B74"/>
    <mergeCell ref="A76:A95"/>
    <mergeCell ref="B76:B79"/>
    <mergeCell ref="B80:B81"/>
    <mergeCell ref="B82:B84"/>
    <mergeCell ref="B85:B88"/>
    <mergeCell ref="B89:B91"/>
    <mergeCell ref="B92:B95"/>
    <mergeCell ref="A61:A75"/>
    <mergeCell ref="B61:B64"/>
    <mergeCell ref="B65:B66"/>
    <mergeCell ref="B67:B68"/>
    <mergeCell ref="B69:B71"/>
    <mergeCell ref="A44:A60"/>
    <mergeCell ref="B44:B47"/>
    <mergeCell ref="B48:B51"/>
    <mergeCell ref="B52:B56"/>
    <mergeCell ref="B57:B60"/>
    <mergeCell ref="A26:A43"/>
    <mergeCell ref="B26:B27"/>
    <mergeCell ref="B28:B29"/>
    <mergeCell ref="B30:B32"/>
    <mergeCell ref="B33:B34"/>
    <mergeCell ref="B35:B36"/>
    <mergeCell ref="B37:B39"/>
    <mergeCell ref="B41:B42"/>
    <mergeCell ref="A3:A14"/>
    <mergeCell ref="B3:B4"/>
    <mergeCell ref="B5:B9"/>
    <mergeCell ref="B10:B14"/>
    <mergeCell ref="A15:A25"/>
    <mergeCell ref="B16:B20"/>
    <mergeCell ref="B21:B25"/>
  </mergeCells>
  <phoneticPr fontId="3" type="noConversion"/>
  <conditionalFormatting sqref="L3:M131">
    <cfRule type="expression" dxfId="61" priority="13">
      <formula>L3&lt;0</formula>
    </cfRule>
  </conditionalFormatting>
  <conditionalFormatting sqref="L3:M131">
    <cfRule type="cellIs" dxfId="60" priority="11" stopIfTrue="1" operator="lessThan">
      <formula>0</formula>
    </cfRule>
    <cfRule type="cellIs" dxfId="59" priority="12" operator="greaterThan">
      <formula>0</formula>
    </cfRule>
  </conditionalFormatting>
  <hyperlinks>
    <hyperlink ref="A145" location="权重!A1" display="权重!A1"/>
    <hyperlink ref="A146" location="目录!A1" display="目录!A1"/>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M33"/>
  <sheetViews>
    <sheetView workbookViewId="0">
      <pane xSplit="7" ySplit="2" topLeftCell="H6" activePane="bottomRight" state="frozen"/>
      <selection activeCell="A3" sqref="A3:B3"/>
      <selection pane="topRight" activeCell="A3" sqref="A3:B3"/>
      <selection pane="bottomLeft" activeCell="A3" sqref="A3:B3"/>
      <selection pane="bottomRight" activeCell="I11" sqref="I11"/>
    </sheetView>
  </sheetViews>
  <sheetFormatPr defaultColWidth="9" defaultRowHeight="13.5" outlineLevelCol="1"/>
  <cols>
    <col min="1" max="1" width="23.25" customWidth="1" outlineLevel="1"/>
    <col min="2" max="3" width="9" customWidth="1" outlineLevel="1"/>
    <col min="4" max="4" width="22.625" customWidth="1" outlineLevel="1"/>
    <col min="5" max="5" width="10.875" customWidth="1" outlineLevel="1"/>
    <col min="6" max="6" width="9.875" customWidth="1"/>
    <col min="7" max="7" width="13.75" customWidth="1"/>
    <col min="8" max="8" width="10.875" style="32" customWidth="1"/>
    <col min="9" max="10" width="7" customWidth="1"/>
    <col min="11" max="12" width="6.125" customWidth="1"/>
  </cols>
  <sheetData>
    <row r="1" spans="1:13" s="32" customFormat="1" ht="31.5" customHeight="1">
      <c r="A1" s="867"/>
      <c r="B1" s="867"/>
      <c r="C1" s="867"/>
      <c r="D1" s="867"/>
      <c r="E1" s="867"/>
      <c r="F1" s="867" t="s">
        <v>1099</v>
      </c>
      <c r="G1" s="867"/>
      <c r="H1" s="867"/>
      <c r="I1" s="867"/>
      <c r="J1" s="250"/>
      <c r="K1" s="207"/>
      <c r="L1" s="207"/>
      <c r="M1" s="207"/>
    </row>
    <row r="2" spans="1:13" s="209" customFormat="1" ht="24.75" customHeight="1">
      <c r="A2" s="208" t="s">
        <v>1103</v>
      </c>
      <c r="B2" s="2008" t="s">
        <v>1104</v>
      </c>
      <c r="C2" s="2009"/>
      <c r="D2" s="2009"/>
      <c r="E2" s="2010"/>
      <c r="F2" s="208" t="s">
        <v>1100</v>
      </c>
      <c r="G2" s="208" t="s">
        <v>1101</v>
      </c>
      <c r="H2" s="223" t="s">
        <v>732</v>
      </c>
      <c r="I2" s="208" t="s">
        <v>1102</v>
      </c>
      <c r="J2" s="208" t="s">
        <v>2353</v>
      </c>
      <c r="K2" s="208" t="s">
        <v>1961</v>
      </c>
      <c r="L2" s="847"/>
      <c r="M2" s="885" t="s">
        <v>1946</v>
      </c>
    </row>
    <row r="3" spans="1:13" ht="42" customHeight="1">
      <c r="A3" s="198" t="s">
        <v>1107</v>
      </c>
      <c r="B3" s="2005" t="s">
        <v>1108</v>
      </c>
      <c r="C3" s="2006"/>
      <c r="D3" s="2006"/>
      <c r="E3" s="2007"/>
      <c r="F3" s="2011" t="s">
        <v>1105</v>
      </c>
      <c r="G3" s="210" t="s">
        <v>1106</v>
      </c>
      <c r="H3" s="224" t="s">
        <v>1159</v>
      </c>
      <c r="I3" s="243">
        <v>3</v>
      </c>
      <c r="J3" s="224" t="s">
        <v>1167</v>
      </c>
      <c r="K3" s="224" t="s">
        <v>1167</v>
      </c>
      <c r="L3" s="848"/>
      <c r="M3" s="884" t="e">
        <f>K3-J3</f>
        <v>#VALUE!</v>
      </c>
    </row>
    <row r="4" spans="1:13" ht="39" customHeight="1">
      <c r="A4" s="213" t="s">
        <v>1110</v>
      </c>
      <c r="B4" s="1989" t="s">
        <v>1111</v>
      </c>
      <c r="C4" s="2014"/>
      <c r="D4" s="2014"/>
      <c r="E4" s="2015"/>
      <c r="F4" s="2012"/>
      <c r="G4" s="211" t="s">
        <v>1109</v>
      </c>
      <c r="H4" s="224" t="s">
        <v>1159</v>
      </c>
      <c r="I4" s="212">
        <v>4</v>
      </c>
      <c r="J4" s="224" t="s">
        <v>1167</v>
      </c>
      <c r="K4" s="224" t="s">
        <v>1167</v>
      </c>
      <c r="L4" s="848"/>
      <c r="M4" s="502" t="e">
        <f t="shared" ref="M4:M20" si="0">K4-J4</f>
        <v>#VALUE!</v>
      </c>
    </row>
    <row r="5" spans="1:13" ht="30" customHeight="1">
      <c r="A5" s="213" t="s">
        <v>1113</v>
      </c>
      <c r="B5" s="1878" t="s">
        <v>1114</v>
      </c>
      <c r="C5" s="2016"/>
      <c r="D5" s="2016"/>
      <c r="E5" s="2017"/>
      <c r="F5" s="2012"/>
      <c r="G5" s="2035" t="s">
        <v>1112</v>
      </c>
      <c r="H5" s="1968" t="s">
        <v>1159</v>
      </c>
      <c r="I5" s="2033">
        <v>4</v>
      </c>
      <c r="J5" s="2029" t="s">
        <v>1167</v>
      </c>
      <c r="K5" s="2029" t="s">
        <v>1167</v>
      </c>
      <c r="L5" s="848"/>
      <c r="M5" s="1814" t="e">
        <f t="shared" si="0"/>
        <v>#VALUE!</v>
      </c>
    </row>
    <row r="6" spans="1:13" ht="30" customHeight="1">
      <c r="A6" s="213" t="s">
        <v>1115</v>
      </c>
      <c r="B6" s="1880"/>
      <c r="C6" s="2018"/>
      <c r="D6" s="2018"/>
      <c r="E6" s="2019"/>
      <c r="F6" s="2012"/>
      <c r="G6" s="2036"/>
      <c r="H6" s="1970"/>
      <c r="I6" s="2034"/>
      <c r="J6" s="2029"/>
      <c r="K6" s="2029"/>
      <c r="L6" s="848"/>
      <c r="M6" s="1816"/>
    </row>
    <row r="7" spans="1:13" ht="54" customHeight="1">
      <c r="A7" s="213" t="s">
        <v>1117</v>
      </c>
      <c r="B7" s="2002" t="s">
        <v>1118</v>
      </c>
      <c r="C7" s="2003"/>
      <c r="D7" s="2003"/>
      <c r="E7" s="2004"/>
      <c r="F7" s="2012"/>
      <c r="G7" s="211" t="s">
        <v>1116</v>
      </c>
      <c r="H7" s="225" t="s">
        <v>1160</v>
      </c>
      <c r="I7" s="212">
        <v>4</v>
      </c>
      <c r="J7" s="254">
        <v>4</v>
      </c>
      <c r="K7" s="254">
        <v>4</v>
      </c>
      <c r="L7" s="850"/>
      <c r="M7" s="502">
        <f t="shared" si="0"/>
        <v>0</v>
      </c>
    </row>
    <row r="8" spans="1:13" ht="30" customHeight="1">
      <c r="A8" s="215" t="s">
        <v>1120</v>
      </c>
      <c r="B8" s="2020" t="s">
        <v>1121</v>
      </c>
      <c r="C8" s="2021"/>
      <c r="D8" s="2021"/>
      <c r="E8" s="2022"/>
      <c r="F8" s="2012"/>
      <c r="G8" s="214" t="s">
        <v>1119</v>
      </c>
      <c r="H8" s="225" t="s">
        <v>1160</v>
      </c>
      <c r="I8" s="244">
        <v>2</v>
      </c>
      <c r="J8" s="254">
        <v>2</v>
      </c>
      <c r="K8" s="254">
        <v>2</v>
      </c>
      <c r="L8" s="850"/>
      <c r="M8" s="502">
        <f t="shared" si="0"/>
        <v>0</v>
      </c>
    </row>
    <row r="9" spans="1:13" ht="30" customHeight="1">
      <c r="A9" s="215" t="s">
        <v>1123</v>
      </c>
      <c r="B9" s="2023" t="s">
        <v>1124</v>
      </c>
      <c r="C9" s="2024"/>
      <c r="D9" s="2024"/>
      <c r="E9" s="2025"/>
      <c r="F9" s="2012"/>
      <c r="G9" s="2035" t="s">
        <v>1122</v>
      </c>
      <c r="H9" s="2033" t="s">
        <v>282</v>
      </c>
      <c r="I9" s="2033">
        <v>3</v>
      </c>
      <c r="J9" s="2030">
        <v>1</v>
      </c>
      <c r="K9" s="2030">
        <v>1</v>
      </c>
      <c r="L9" s="848"/>
      <c r="M9" s="502">
        <f t="shared" si="0"/>
        <v>0</v>
      </c>
    </row>
    <row r="10" spans="1:13" ht="23.25" customHeight="1">
      <c r="A10" s="199" t="s">
        <v>1125</v>
      </c>
      <c r="B10" s="2026"/>
      <c r="C10" s="2027"/>
      <c r="D10" s="2027"/>
      <c r="E10" s="2028"/>
      <c r="F10" s="2013"/>
      <c r="G10" s="2036"/>
      <c r="H10" s="2034"/>
      <c r="I10" s="2034"/>
      <c r="J10" s="2031"/>
      <c r="K10" s="2031"/>
      <c r="L10" s="848"/>
      <c r="M10" s="502">
        <f t="shared" si="0"/>
        <v>0</v>
      </c>
    </row>
    <row r="11" spans="1:13" s="217" customFormat="1" ht="44.1" customHeight="1">
      <c r="A11" s="197" t="s">
        <v>1128</v>
      </c>
      <c r="B11" s="2005" t="s">
        <v>1129</v>
      </c>
      <c r="C11" s="2006"/>
      <c r="D11" s="2006"/>
      <c r="E11" s="2007"/>
      <c r="F11" s="2011" t="s">
        <v>1126</v>
      </c>
      <c r="G11" s="211" t="s">
        <v>1127</v>
      </c>
      <c r="H11" s="225" t="s">
        <v>1160</v>
      </c>
      <c r="I11" s="216">
        <v>5</v>
      </c>
      <c r="J11" s="251">
        <v>4.5</v>
      </c>
      <c r="K11" s="251">
        <v>4.5</v>
      </c>
      <c r="L11" s="461"/>
      <c r="M11" s="502">
        <f t="shared" si="0"/>
        <v>0</v>
      </c>
    </row>
    <row r="12" spans="1:13" s="217" customFormat="1" ht="44.1" customHeight="1">
      <c r="A12" s="199" t="s">
        <v>1131</v>
      </c>
      <c r="B12" s="2005" t="s">
        <v>1132</v>
      </c>
      <c r="C12" s="2006"/>
      <c r="D12" s="2006"/>
      <c r="E12" s="2007"/>
      <c r="F12" s="2012"/>
      <c r="G12" s="211" t="s">
        <v>1130</v>
      </c>
      <c r="H12" s="225" t="s">
        <v>1160</v>
      </c>
      <c r="I12" s="216">
        <v>5</v>
      </c>
      <c r="J12" s="255">
        <v>5</v>
      </c>
      <c r="K12" s="255">
        <v>5</v>
      </c>
      <c r="L12" s="849"/>
      <c r="M12" s="502">
        <f t="shared" si="0"/>
        <v>0</v>
      </c>
    </row>
    <row r="13" spans="1:13" s="217" customFormat="1" ht="44.1" customHeight="1">
      <c r="A13" s="199" t="s">
        <v>1134</v>
      </c>
      <c r="B13" s="2005" t="s">
        <v>1135</v>
      </c>
      <c r="C13" s="2006"/>
      <c r="D13" s="2006"/>
      <c r="E13" s="2007"/>
      <c r="F13" s="2012"/>
      <c r="G13" s="211" t="s">
        <v>1133</v>
      </c>
      <c r="H13" s="225" t="s">
        <v>1160</v>
      </c>
      <c r="I13" s="216">
        <v>5</v>
      </c>
      <c r="J13" s="255">
        <v>5</v>
      </c>
      <c r="K13" s="255">
        <v>5</v>
      </c>
      <c r="L13" s="849"/>
      <c r="M13" s="502">
        <f t="shared" si="0"/>
        <v>0</v>
      </c>
    </row>
    <row r="14" spans="1:13" s="217" customFormat="1" ht="47.1" customHeight="1">
      <c r="A14" s="199" t="s">
        <v>1137</v>
      </c>
      <c r="B14" s="2005" t="s">
        <v>1138</v>
      </c>
      <c r="C14" s="2006"/>
      <c r="D14" s="2006"/>
      <c r="E14" s="2007"/>
      <c r="F14" s="2012"/>
      <c r="G14" s="218" t="s">
        <v>1136</v>
      </c>
      <c r="H14" s="225" t="s">
        <v>1160</v>
      </c>
      <c r="I14" s="216">
        <v>10</v>
      </c>
      <c r="J14" s="255">
        <v>10</v>
      </c>
      <c r="K14" s="255">
        <v>10</v>
      </c>
      <c r="L14" s="849"/>
      <c r="M14" s="502">
        <f t="shared" si="0"/>
        <v>0</v>
      </c>
    </row>
    <row r="15" spans="1:13" s="217" customFormat="1" ht="47.1" customHeight="1">
      <c r="A15" s="173" t="s">
        <v>1140</v>
      </c>
      <c r="B15" s="2005" t="s">
        <v>1141</v>
      </c>
      <c r="C15" s="2006"/>
      <c r="D15" s="2006"/>
      <c r="E15" s="2007"/>
      <c r="F15" s="2013"/>
      <c r="G15" s="211" t="s">
        <v>1139</v>
      </c>
      <c r="H15" s="225" t="s">
        <v>1160</v>
      </c>
      <c r="I15" s="216">
        <v>5</v>
      </c>
      <c r="J15" s="255">
        <v>5</v>
      </c>
      <c r="K15" s="255">
        <v>5</v>
      </c>
      <c r="L15" s="849"/>
      <c r="M15" s="502">
        <f t="shared" si="0"/>
        <v>0</v>
      </c>
    </row>
    <row r="16" spans="1:13" ht="84.75" customHeight="1">
      <c r="A16" s="213" t="s">
        <v>1144</v>
      </c>
      <c r="B16" s="2002" t="s">
        <v>1145</v>
      </c>
      <c r="C16" s="2003"/>
      <c r="D16" s="2003"/>
      <c r="E16" s="2004"/>
      <c r="F16" s="2037" t="s">
        <v>1142</v>
      </c>
      <c r="G16" s="219" t="s">
        <v>1143</v>
      </c>
      <c r="H16" s="224" t="s">
        <v>1159</v>
      </c>
      <c r="I16" s="212">
        <v>10</v>
      </c>
      <c r="J16" s="224" t="s">
        <v>1167</v>
      </c>
      <c r="K16" s="224" t="s">
        <v>1167</v>
      </c>
      <c r="L16" s="848"/>
      <c r="M16" s="502" t="e">
        <f t="shared" si="0"/>
        <v>#VALUE!</v>
      </c>
    </row>
    <row r="17" spans="1:13" ht="111" customHeight="1">
      <c r="A17" s="213" t="s">
        <v>1147</v>
      </c>
      <c r="B17" s="2002" t="s">
        <v>1148</v>
      </c>
      <c r="C17" s="2003"/>
      <c r="D17" s="2003"/>
      <c r="E17" s="2004"/>
      <c r="F17" s="2038"/>
      <c r="G17" s="226" t="s">
        <v>1146</v>
      </c>
      <c r="H17" s="225" t="s">
        <v>1160</v>
      </c>
      <c r="I17" s="212">
        <v>10</v>
      </c>
      <c r="J17" s="256">
        <v>10</v>
      </c>
      <c r="K17" s="256">
        <v>10</v>
      </c>
      <c r="L17" s="850"/>
      <c r="M17" s="502">
        <f t="shared" si="0"/>
        <v>0</v>
      </c>
    </row>
    <row r="18" spans="1:13" ht="109.5" customHeight="1">
      <c r="A18" s="213" t="s">
        <v>1150</v>
      </c>
      <c r="B18" s="2002" t="s">
        <v>1151</v>
      </c>
      <c r="C18" s="2003"/>
      <c r="D18" s="2003"/>
      <c r="E18" s="2004"/>
      <c r="F18" s="2038"/>
      <c r="G18" s="226" t="s">
        <v>1149</v>
      </c>
      <c r="H18" s="225" t="s">
        <v>1160</v>
      </c>
      <c r="I18" s="212">
        <v>20</v>
      </c>
      <c r="J18" s="256">
        <v>20</v>
      </c>
      <c r="K18" s="256">
        <v>20</v>
      </c>
      <c r="L18" s="850"/>
      <c r="M18" s="502">
        <f t="shared" si="0"/>
        <v>0</v>
      </c>
    </row>
    <row r="19" spans="1:13" ht="30" customHeight="1">
      <c r="A19" s="213" t="s">
        <v>1153</v>
      </c>
      <c r="B19" s="2002" t="s">
        <v>1154</v>
      </c>
      <c r="C19" s="2003"/>
      <c r="D19" s="2003"/>
      <c r="E19" s="2004"/>
      <c r="F19" s="2038"/>
      <c r="G19" s="219" t="s">
        <v>1152</v>
      </c>
      <c r="H19" s="225" t="s">
        <v>1160</v>
      </c>
      <c r="I19" s="212">
        <v>5</v>
      </c>
      <c r="J19" s="256">
        <v>5</v>
      </c>
      <c r="K19" s="256">
        <v>5</v>
      </c>
      <c r="L19" s="850"/>
      <c r="M19" s="502">
        <f t="shared" si="0"/>
        <v>0</v>
      </c>
    </row>
    <row r="20" spans="1:13" ht="31.5" customHeight="1">
      <c r="A20" s="199" t="s">
        <v>1156</v>
      </c>
      <c r="B20" s="2005" t="s">
        <v>1157</v>
      </c>
      <c r="C20" s="2006"/>
      <c r="D20" s="2006"/>
      <c r="E20" s="2007"/>
      <c r="F20" s="2039"/>
      <c r="G20" s="211" t="s">
        <v>1155</v>
      </c>
      <c r="H20" s="225" t="s">
        <v>1160</v>
      </c>
      <c r="I20" s="216">
        <v>5</v>
      </c>
      <c r="J20" s="256">
        <v>5</v>
      </c>
      <c r="K20" s="256">
        <v>5</v>
      </c>
      <c r="L20" s="850"/>
      <c r="M20" s="502">
        <f t="shared" si="0"/>
        <v>0</v>
      </c>
    </row>
    <row r="21" spans="1:13">
      <c r="A21" s="227"/>
      <c r="B21" s="227"/>
      <c r="C21" s="227"/>
      <c r="D21" s="227"/>
      <c r="E21" s="227"/>
      <c r="F21" s="2032" t="s">
        <v>486</v>
      </c>
      <c r="G21" s="2032"/>
      <c r="H21" s="205"/>
      <c r="I21" s="228">
        <f>SUM(I3:I20)</f>
        <v>100</v>
      </c>
      <c r="J21" s="228">
        <f>SUM(J3:J20)</f>
        <v>76.5</v>
      </c>
      <c r="K21" s="228">
        <f>SUM(K3:K20)</f>
        <v>76.5</v>
      </c>
      <c r="L21" s="851"/>
    </row>
    <row r="23" spans="1:13">
      <c r="J23" s="230">
        <f>SUBTOTAL(9,J3:J20)</f>
        <v>76.5</v>
      </c>
      <c r="K23" s="230">
        <f>SUBTOTAL(9,K3:K20)</f>
        <v>76.5</v>
      </c>
      <c r="L23" s="230"/>
    </row>
    <row r="24" spans="1:13" ht="14.25">
      <c r="G24" s="539" t="s">
        <v>281</v>
      </c>
      <c r="J24" s="866">
        <v>76.5</v>
      </c>
      <c r="K24" s="866">
        <v>76.5</v>
      </c>
      <c r="L24" s="229"/>
    </row>
    <row r="25" spans="1:13" ht="14.25">
      <c r="G25" s="539" t="s">
        <v>537</v>
      </c>
      <c r="J25" s="866">
        <v>0</v>
      </c>
      <c r="K25" s="866">
        <v>0</v>
      </c>
      <c r="L25" s="229"/>
    </row>
    <row r="26" spans="1:13" ht="14.25">
      <c r="G26" s="539" t="s">
        <v>539</v>
      </c>
      <c r="J26" s="866">
        <v>21</v>
      </c>
      <c r="K26" s="866">
        <v>21</v>
      </c>
      <c r="L26" s="229"/>
    </row>
    <row r="27" spans="1:13" ht="14.25">
      <c r="G27" s="539" t="s">
        <v>538</v>
      </c>
      <c r="J27" s="866">
        <v>0</v>
      </c>
      <c r="K27" s="866">
        <v>0</v>
      </c>
      <c r="L27" s="229"/>
    </row>
    <row r="28" spans="1:13" ht="14.25">
      <c r="G28" s="539" t="s">
        <v>540</v>
      </c>
      <c r="J28" s="866">
        <f>100-SUM(J24:J27)</f>
        <v>2.5</v>
      </c>
      <c r="K28" s="866">
        <f>100-SUM(K24:K27)</f>
        <v>2.5</v>
      </c>
      <c r="L28" s="229"/>
    </row>
    <row r="32" spans="1:13">
      <c r="F32" s="843" t="s">
        <v>1897</v>
      </c>
    </row>
    <row r="33" spans="6:6">
      <c r="F33" s="876" t="s">
        <v>1944</v>
      </c>
    </row>
  </sheetData>
  <mergeCells count="32">
    <mergeCell ref="M5:M6"/>
    <mergeCell ref="J5:J6"/>
    <mergeCell ref="J9:J10"/>
    <mergeCell ref="F21:G21"/>
    <mergeCell ref="I5:I6"/>
    <mergeCell ref="I9:I10"/>
    <mergeCell ref="H5:H6"/>
    <mergeCell ref="G5:G6"/>
    <mergeCell ref="K5:K6"/>
    <mergeCell ref="H9:H10"/>
    <mergeCell ref="K9:K10"/>
    <mergeCell ref="F16:F20"/>
    <mergeCell ref="G9:G10"/>
    <mergeCell ref="B15:E15"/>
    <mergeCell ref="B2:E2"/>
    <mergeCell ref="F3:F10"/>
    <mergeCell ref="B3:E3"/>
    <mergeCell ref="B4:E4"/>
    <mergeCell ref="B5:E6"/>
    <mergeCell ref="B7:E7"/>
    <mergeCell ref="B8:E8"/>
    <mergeCell ref="B9:E10"/>
    <mergeCell ref="F11:F15"/>
    <mergeCell ref="B11:E11"/>
    <mergeCell ref="B12:E12"/>
    <mergeCell ref="B13:E13"/>
    <mergeCell ref="B14:E14"/>
    <mergeCell ref="B16:E16"/>
    <mergeCell ref="B17:E17"/>
    <mergeCell ref="B18:E18"/>
    <mergeCell ref="B19:E19"/>
    <mergeCell ref="B20:E20"/>
  </mergeCells>
  <phoneticPr fontId="3" type="noConversion"/>
  <conditionalFormatting sqref="M7:M15">
    <cfRule type="expression" dxfId="58" priority="52">
      <formula>M7&lt;0</formula>
    </cfRule>
  </conditionalFormatting>
  <conditionalFormatting sqref="M7:M15">
    <cfRule type="cellIs" dxfId="57" priority="50" stopIfTrue="1" operator="lessThan">
      <formula>0</formula>
    </cfRule>
    <cfRule type="cellIs" dxfId="56" priority="51" operator="greaterThan">
      <formula>0</formula>
    </cfRule>
  </conditionalFormatting>
  <conditionalFormatting sqref="M7:M15">
    <cfRule type="cellIs" dxfId="55" priority="48" operator="lessThan">
      <formula>0</formula>
    </cfRule>
    <cfRule type="cellIs" dxfId="54" priority="49" stopIfTrue="1" operator="greaterThan">
      <formula>0</formula>
    </cfRule>
  </conditionalFormatting>
  <conditionalFormatting sqref="M7:M15">
    <cfRule type="cellIs" dxfId="53" priority="46" operator="lessThan">
      <formula>0</formula>
    </cfRule>
    <cfRule type="cellIs" dxfId="52" priority="47" operator="greaterThan">
      <formula>0</formula>
    </cfRule>
  </conditionalFormatting>
  <conditionalFormatting sqref="M7:M15">
    <cfRule type="cellIs" dxfId="51" priority="44" stopIfTrue="1" operator="lessThan">
      <formula>0</formula>
    </cfRule>
    <cfRule type="cellIs" dxfId="50" priority="45" operator="greaterThan">
      <formula>0</formula>
    </cfRule>
  </conditionalFormatting>
  <conditionalFormatting sqref="M7:M15">
    <cfRule type="cellIs" dxfId="49" priority="42" operator="lessThan">
      <formula>0</formula>
    </cfRule>
    <cfRule type="cellIs" dxfId="48" priority="43" stopIfTrue="1" operator="greaterThan">
      <formula>0</formula>
    </cfRule>
  </conditionalFormatting>
  <conditionalFormatting sqref="M7:M15">
    <cfRule type="cellIs" dxfId="47" priority="40" operator="lessThan">
      <formula>0</formula>
    </cfRule>
    <cfRule type="cellIs" dxfId="46" priority="41" operator="greaterThan">
      <formula>0</formula>
    </cfRule>
  </conditionalFormatting>
  <conditionalFormatting sqref="M17:M20">
    <cfRule type="expression" dxfId="45" priority="39">
      <formula>M17&lt;0</formula>
    </cfRule>
  </conditionalFormatting>
  <conditionalFormatting sqref="M17:M20">
    <cfRule type="cellIs" dxfId="44" priority="37" stopIfTrue="1" operator="lessThan">
      <formula>0</formula>
    </cfRule>
    <cfRule type="cellIs" dxfId="43" priority="38" operator="greaterThan">
      <formula>0</formula>
    </cfRule>
  </conditionalFormatting>
  <conditionalFormatting sqref="M17:M20">
    <cfRule type="cellIs" dxfId="42" priority="35" operator="lessThan">
      <formula>0</formula>
    </cfRule>
    <cfRule type="cellIs" dxfId="41" priority="36" stopIfTrue="1" operator="greaterThan">
      <formula>0</formula>
    </cfRule>
  </conditionalFormatting>
  <conditionalFormatting sqref="M17:M20">
    <cfRule type="cellIs" dxfId="40" priority="33" operator="lessThan">
      <formula>0</formula>
    </cfRule>
    <cfRule type="cellIs" dxfId="39" priority="34" operator="greaterThan">
      <formula>0</formula>
    </cfRule>
  </conditionalFormatting>
  <conditionalFormatting sqref="M17:M20">
    <cfRule type="cellIs" dxfId="38" priority="31" stopIfTrue="1" operator="lessThan">
      <formula>0</formula>
    </cfRule>
    <cfRule type="cellIs" dxfId="37" priority="32" operator="greaterThan">
      <formula>0</formula>
    </cfRule>
  </conditionalFormatting>
  <conditionalFormatting sqref="M17:M20">
    <cfRule type="cellIs" dxfId="36" priority="29" operator="lessThan">
      <formula>0</formula>
    </cfRule>
    <cfRule type="cellIs" dxfId="35" priority="30" stopIfTrue="1" operator="greaterThan">
      <formula>0</formula>
    </cfRule>
  </conditionalFormatting>
  <conditionalFormatting sqref="M17:M20">
    <cfRule type="cellIs" dxfId="34" priority="27" operator="lessThan">
      <formula>0</formula>
    </cfRule>
    <cfRule type="cellIs" dxfId="33" priority="28" operator="greaterThan">
      <formula>0</formula>
    </cfRule>
  </conditionalFormatting>
  <conditionalFormatting sqref="M16">
    <cfRule type="expression" dxfId="32" priority="26">
      <formula>M16&lt;0</formula>
    </cfRule>
  </conditionalFormatting>
  <conditionalFormatting sqref="M16">
    <cfRule type="cellIs" dxfId="31" priority="24" stopIfTrue="1" operator="lessThan">
      <formula>0</formula>
    </cfRule>
    <cfRule type="cellIs" dxfId="30" priority="25" operator="greaterThan">
      <formula>0</formula>
    </cfRule>
  </conditionalFormatting>
  <conditionalFormatting sqref="M16">
    <cfRule type="cellIs" dxfId="29" priority="22" operator="lessThan">
      <formula>0</formula>
    </cfRule>
    <cfRule type="cellIs" dxfId="28" priority="23" stopIfTrue="1" operator="greaterThan">
      <formula>0</formula>
    </cfRule>
  </conditionalFormatting>
  <conditionalFormatting sqref="M16">
    <cfRule type="cellIs" dxfId="27" priority="20" operator="lessThan">
      <formula>0</formula>
    </cfRule>
    <cfRule type="cellIs" dxfId="26" priority="21" operator="greaterThan">
      <formula>0</formula>
    </cfRule>
  </conditionalFormatting>
  <conditionalFormatting sqref="M16">
    <cfRule type="cellIs" dxfId="25" priority="18" stopIfTrue="1" operator="lessThan">
      <formula>0</formula>
    </cfRule>
    <cfRule type="cellIs" dxfId="24" priority="19" operator="greaterThan">
      <formula>0</formula>
    </cfRule>
  </conditionalFormatting>
  <conditionalFormatting sqref="M16">
    <cfRule type="cellIs" dxfId="23" priority="16" operator="lessThan">
      <formula>0</formula>
    </cfRule>
    <cfRule type="cellIs" dxfId="22" priority="17" stopIfTrue="1" operator="greaterThan">
      <formula>0</formula>
    </cfRule>
  </conditionalFormatting>
  <conditionalFormatting sqref="M16">
    <cfRule type="cellIs" dxfId="21" priority="14" operator="lessThan">
      <formula>0</formula>
    </cfRule>
    <cfRule type="cellIs" dxfId="20" priority="15" operator="greaterThan">
      <formula>0</formula>
    </cfRule>
  </conditionalFormatting>
  <conditionalFormatting sqref="M3:M5">
    <cfRule type="expression" dxfId="19" priority="13">
      <formula>M3&lt;0</formula>
    </cfRule>
  </conditionalFormatting>
  <conditionalFormatting sqref="M3:M5">
    <cfRule type="cellIs" dxfId="18" priority="11" stopIfTrue="1" operator="lessThan">
      <formula>0</formula>
    </cfRule>
    <cfRule type="cellIs" dxfId="17" priority="12" operator="greaterThan">
      <formula>0</formula>
    </cfRule>
  </conditionalFormatting>
  <conditionalFormatting sqref="M3:M5">
    <cfRule type="cellIs" dxfId="16" priority="9" operator="lessThan">
      <formula>0</formula>
    </cfRule>
    <cfRule type="cellIs" dxfId="15" priority="10" stopIfTrue="1" operator="greaterThan">
      <formula>0</formula>
    </cfRule>
  </conditionalFormatting>
  <conditionalFormatting sqref="M3:M5">
    <cfRule type="cellIs" dxfId="14" priority="7" operator="lessThan">
      <formula>0</formula>
    </cfRule>
    <cfRule type="cellIs" dxfId="13" priority="8" operator="greaterThan">
      <formula>0</formula>
    </cfRule>
  </conditionalFormatting>
  <conditionalFormatting sqref="M3:M5">
    <cfRule type="cellIs" dxfId="12" priority="5" stopIfTrue="1" operator="lessThan">
      <formula>0</formula>
    </cfRule>
    <cfRule type="cellIs" dxfId="11" priority="6" operator="greaterThan">
      <formula>0</formula>
    </cfRule>
  </conditionalFormatting>
  <conditionalFormatting sqref="M3:M5">
    <cfRule type="cellIs" dxfId="10" priority="3" operator="lessThan">
      <formula>0</formula>
    </cfRule>
    <cfRule type="cellIs" dxfId="9" priority="4" stopIfTrue="1" operator="greaterThan">
      <formula>0</formula>
    </cfRule>
  </conditionalFormatting>
  <conditionalFormatting sqref="M3:M5">
    <cfRule type="cellIs" dxfId="8" priority="1" operator="lessThan">
      <formula>0</formula>
    </cfRule>
    <cfRule type="cellIs" dxfId="7" priority="2" operator="greaterThan">
      <formula>0</formula>
    </cfRule>
  </conditionalFormatting>
  <hyperlinks>
    <hyperlink ref="F32" location="权重!A1" display="权重!A1"/>
    <hyperlink ref="F33" location="目录!A1" display="目录!A1"/>
  </hyperlinks>
  <printOptions horizontalCentered="1"/>
  <pageMargins left="0.43307086614173229" right="0.43307086614173229" top="0.59055118110236227" bottom="0.39370078740157483" header="0.31496062992125984" footer="0.31496062992125984"/>
  <pageSetup paperSize="9"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7"/>
  </sheetPr>
  <dimension ref="A1:L47"/>
  <sheetViews>
    <sheetView zoomScale="110" zoomScaleNormal="110" workbookViewId="0">
      <pane xSplit="2" ySplit="2" topLeftCell="D3" activePane="bottomRight" state="frozen"/>
      <selection activeCell="B3" sqref="B3"/>
      <selection pane="topRight" activeCell="B3" sqref="B3"/>
      <selection pane="bottomLeft" activeCell="B3" sqref="B3"/>
      <selection pane="bottomRight" activeCell="J4" sqref="J4:J9"/>
    </sheetView>
  </sheetViews>
  <sheetFormatPr defaultRowHeight="13.5"/>
  <cols>
    <col min="1" max="2" width="11.5" customWidth="1"/>
    <col min="3" max="3" width="7.75" customWidth="1"/>
    <col min="4" max="4" width="8.5" bestFit="1" customWidth="1"/>
    <col min="5" max="5" width="8.375" bestFit="1" customWidth="1"/>
    <col min="6" max="6" width="8" bestFit="1" customWidth="1"/>
    <col min="7" max="7" width="8.875" customWidth="1"/>
    <col min="8" max="8" width="7.75" customWidth="1"/>
    <col min="9" max="9" width="8" bestFit="1" customWidth="1"/>
    <col min="10" max="10" width="25.25" customWidth="1"/>
    <col min="11" max="11" width="41.875" style="120" customWidth="1"/>
    <col min="12" max="12" width="27.25" customWidth="1"/>
  </cols>
  <sheetData>
    <row r="1" spans="1:12" ht="24.75">
      <c r="A1" s="2050" t="s">
        <v>1978</v>
      </c>
      <c r="B1" s="2050"/>
      <c r="C1" s="2050"/>
      <c r="D1" s="2050"/>
      <c r="E1" s="979"/>
      <c r="F1" s="979"/>
      <c r="G1" s="982" t="s">
        <v>2175</v>
      </c>
      <c r="H1" s="981"/>
      <c r="I1" s="981"/>
      <c r="J1" s="981"/>
      <c r="K1" s="980"/>
    </row>
    <row r="2" spans="1:12">
      <c r="A2" s="2051" t="s">
        <v>488</v>
      </c>
      <c r="B2" s="2051"/>
      <c r="C2" s="114" t="s">
        <v>489</v>
      </c>
      <c r="D2" s="1339" t="s">
        <v>2371</v>
      </c>
      <c r="E2" s="1339" t="s">
        <v>1976</v>
      </c>
      <c r="F2" s="1339" t="s">
        <v>2372</v>
      </c>
      <c r="G2" s="1339" t="s">
        <v>2373</v>
      </c>
      <c r="H2" s="1339" t="s">
        <v>1977</v>
      </c>
      <c r="I2" s="1339" t="s">
        <v>2374</v>
      </c>
      <c r="J2" s="114" t="s">
        <v>490</v>
      </c>
      <c r="K2" s="114" t="s">
        <v>491</v>
      </c>
    </row>
    <row r="3" spans="1:12" ht="72" customHeight="1">
      <c r="A3" s="2043" t="s">
        <v>492</v>
      </c>
      <c r="B3" s="2044"/>
      <c r="C3" s="202">
        <v>10</v>
      </c>
      <c r="D3" s="247">
        <v>12887</v>
      </c>
      <c r="E3" s="247">
        <v>12887</v>
      </c>
      <c r="F3" s="123">
        <v>6866.4620399999258</v>
      </c>
      <c r="G3" s="130">
        <f>IF(D3&gt;0,$C$3,0)</f>
        <v>10</v>
      </c>
      <c r="H3" s="130">
        <f>IF(E3&gt;0,$C$3,0)</f>
        <v>10</v>
      </c>
      <c r="I3" s="130">
        <f>IF(F3&gt;0,$C$3,0)</f>
        <v>10</v>
      </c>
      <c r="J3" s="117" t="s">
        <v>493</v>
      </c>
      <c r="K3" s="118" t="s">
        <v>494</v>
      </c>
    </row>
    <row r="4" spans="1:12">
      <c r="A4" s="2047" t="s">
        <v>495</v>
      </c>
      <c r="B4" s="115" t="s">
        <v>502</v>
      </c>
      <c r="C4" s="202">
        <v>2</v>
      </c>
      <c r="D4" s="123">
        <v>-18025.396416611533</v>
      </c>
      <c r="E4" s="123">
        <v>-19149.069132993747</v>
      </c>
      <c r="F4" s="123">
        <v>35053.349378916639</v>
      </c>
      <c r="G4" s="130">
        <f>IF(D4&gt;0,$C$4,0)</f>
        <v>0</v>
      </c>
      <c r="H4" s="130">
        <f>IF(E4&gt;0,$C$4,0)</f>
        <v>0</v>
      </c>
      <c r="I4" s="130">
        <f>IF(F4&gt;0,$C$4,0)</f>
        <v>2</v>
      </c>
      <c r="J4" s="2040" t="s">
        <v>496</v>
      </c>
      <c r="K4" s="2052" t="s">
        <v>497</v>
      </c>
      <c r="L4" s="119"/>
    </row>
    <row r="5" spans="1:12">
      <c r="A5" s="2048"/>
      <c r="B5" s="115" t="s">
        <v>503</v>
      </c>
      <c r="C5" s="202">
        <v>2</v>
      </c>
      <c r="D5" s="123">
        <v>95583.626504319531</v>
      </c>
      <c r="E5" s="123">
        <v>83915.507644563651</v>
      </c>
      <c r="F5" s="123">
        <v>49696.624818703349</v>
      </c>
      <c r="G5" s="130">
        <f>IF(D5&gt;0,$C$5,0)</f>
        <v>2</v>
      </c>
      <c r="H5" s="130">
        <f>IF(E5&gt;0,$C$5,0)</f>
        <v>2</v>
      </c>
      <c r="I5" s="130">
        <f>IF(F5&gt;0,$C$5,0)</f>
        <v>2</v>
      </c>
      <c r="J5" s="2041"/>
      <c r="K5" s="2053"/>
      <c r="L5" s="119"/>
    </row>
    <row r="6" spans="1:12">
      <c r="A6" s="2048"/>
      <c r="B6" s="115" t="s">
        <v>504</v>
      </c>
      <c r="C6" s="202">
        <v>2</v>
      </c>
      <c r="D6" s="123">
        <v>113515.45783861028</v>
      </c>
      <c r="E6" s="123">
        <v>94886.954604704457</v>
      </c>
      <c r="F6" s="123">
        <v>83698.924001150692</v>
      </c>
      <c r="G6" s="130">
        <f>IF(D6&gt;0,$C$6,0)</f>
        <v>2</v>
      </c>
      <c r="H6" s="130">
        <f>IF(E6&gt;0,$C$6,0)</f>
        <v>2</v>
      </c>
      <c r="I6" s="130">
        <f>IF(F6&gt;0,$C$6,0)</f>
        <v>2</v>
      </c>
      <c r="J6" s="2041"/>
      <c r="K6" s="2053"/>
      <c r="L6" s="119"/>
    </row>
    <row r="7" spans="1:12">
      <c r="A7" s="2048"/>
      <c r="B7" s="115" t="s">
        <v>505</v>
      </c>
      <c r="C7" s="202">
        <v>2</v>
      </c>
      <c r="D7" s="123">
        <v>81758.816802082132</v>
      </c>
      <c r="E7" s="123">
        <v>114891.07699179972</v>
      </c>
      <c r="F7" s="123">
        <v>86834.809589624958</v>
      </c>
      <c r="G7" s="130">
        <f>IF(D7&gt;0,$C$7,0)</f>
        <v>2</v>
      </c>
      <c r="H7" s="130">
        <f>IF(E7&gt;0,$C$7,0)</f>
        <v>2</v>
      </c>
      <c r="I7" s="130">
        <f>IF(F7&gt;0,$C$7,0)</f>
        <v>2</v>
      </c>
      <c r="J7" s="2041"/>
      <c r="K7" s="2053"/>
      <c r="L7" s="119"/>
    </row>
    <row r="8" spans="1:12">
      <c r="A8" s="2048"/>
      <c r="B8" s="115" t="s">
        <v>506</v>
      </c>
      <c r="C8" s="202">
        <v>1</v>
      </c>
      <c r="D8" s="123">
        <v>365268.10202554276</v>
      </c>
      <c r="E8" s="247">
        <v>372477.16527663387</v>
      </c>
      <c r="F8" s="123">
        <v>350967.35786633805</v>
      </c>
      <c r="G8" s="130">
        <f>IF(D8&gt;0,$C$8,0)</f>
        <v>1</v>
      </c>
      <c r="H8" s="130">
        <f>IF(E8&gt;0,$C$8,0)</f>
        <v>1</v>
      </c>
      <c r="I8" s="130">
        <f>IF(F8&gt;0,$C$8,0)</f>
        <v>1</v>
      </c>
      <c r="J8" s="2041"/>
      <c r="K8" s="2053"/>
      <c r="L8" s="119"/>
    </row>
    <row r="9" spans="1:12">
      <c r="A9" s="2049"/>
      <c r="B9" s="115" t="s">
        <v>507</v>
      </c>
      <c r="C9" s="202">
        <v>1</v>
      </c>
      <c r="D9" s="123">
        <v>280005.84635961737</v>
      </c>
      <c r="E9" s="247">
        <v>283863.91194832808</v>
      </c>
      <c r="F9" s="123">
        <v>276749.06961762381</v>
      </c>
      <c r="G9" s="130">
        <f>IF(D9&gt;0,$C$9,0)</f>
        <v>1</v>
      </c>
      <c r="H9" s="130">
        <f>IF(E9&gt;0,$C$9,0)</f>
        <v>1</v>
      </c>
      <c r="I9" s="130">
        <f>IF(F9&gt;0,$C$9,0)</f>
        <v>1</v>
      </c>
      <c r="J9" s="2042"/>
      <c r="K9" s="2054"/>
      <c r="L9" s="119"/>
    </row>
    <row r="10" spans="1:12">
      <c r="A10" s="2047" t="s">
        <v>508</v>
      </c>
      <c r="B10" s="115" t="s">
        <v>502</v>
      </c>
      <c r="C10" s="202">
        <v>1</v>
      </c>
      <c r="D10" s="123">
        <v>-48390.658817392192</v>
      </c>
      <c r="E10" s="123">
        <v>-50179.783916212036</v>
      </c>
      <c r="F10" s="123">
        <v>4221.6552886031423</v>
      </c>
      <c r="G10" s="130">
        <f>IF(D10&gt;0,$C$10,0)</f>
        <v>0</v>
      </c>
      <c r="H10" s="130">
        <f>IF(E10&gt;0,$C$10,0)</f>
        <v>0</v>
      </c>
      <c r="I10" s="130">
        <f>IF(F10&gt;0,$C$10,0)</f>
        <v>1</v>
      </c>
      <c r="J10" s="2040" t="s">
        <v>498</v>
      </c>
      <c r="K10" s="2052" t="s">
        <v>499</v>
      </c>
    </row>
    <row r="11" spans="1:12">
      <c r="A11" s="2048"/>
      <c r="B11" s="115" t="s">
        <v>503</v>
      </c>
      <c r="C11" s="202">
        <v>1</v>
      </c>
      <c r="D11" s="123">
        <v>60252.474784776867</v>
      </c>
      <c r="E11" s="123">
        <v>54499.025686040819</v>
      </c>
      <c r="F11" s="123">
        <v>19764.755655486304</v>
      </c>
      <c r="G11" s="130">
        <f>IF(D11&gt;0,$C$11,0)</f>
        <v>1</v>
      </c>
      <c r="H11" s="130">
        <f>IF(E11&gt;0,$C$11,0)</f>
        <v>1</v>
      </c>
      <c r="I11" s="130">
        <f>IF(F11&gt;0,$C$11,0)</f>
        <v>1</v>
      </c>
      <c r="J11" s="2041"/>
      <c r="K11" s="2053"/>
    </row>
    <row r="12" spans="1:12">
      <c r="A12" s="2048"/>
      <c r="B12" s="115" t="s">
        <v>504</v>
      </c>
      <c r="C12" s="202">
        <v>1</v>
      </c>
      <c r="D12" s="123">
        <v>79106.860572965408</v>
      </c>
      <c r="E12" s="123">
        <v>61073.317414095625</v>
      </c>
      <c r="F12" s="123">
        <v>56095.922079488562</v>
      </c>
      <c r="G12" s="130">
        <f>IF(D12&gt;0,$C$12,0)</f>
        <v>1</v>
      </c>
      <c r="H12" s="130">
        <f>IF(E12&gt;0,$C$12,0)</f>
        <v>1</v>
      </c>
      <c r="I12" s="130">
        <f>IF(F12&gt;0,$C$12,0)</f>
        <v>1</v>
      </c>
      <c r="J12" s="2041"/>
      <c r="K12" s="2053"/>
    </row>
    <row r="13" spans="1:12">
      <c r="A13" s="2048"/>
      <c r="B13" s="115" t="s">
        <v>505</v>
      </c>
      <c r="C13" s="202">
        <v>1</v>
      </c>
      <c r="D13" s="123">
        <v>50458.921098354607</v>
      </c>
      <c r="E13" s="123">
        <v>81894.119302683452</v>
      </c>
      <c r="F13" s="123">
        <v>55122.792900254957</v>
      </c>
      <c r="G13" s="130">
        <f>IF(D13&gt;0,$C$13,0)</f>
        <v>1</v>
      </c>
      <c r="H13" s="130">
        <f>IF(E13&gt;0,$C$13,0)</f>
        <v>1</v>
      </c>
      <c r="I13" s="130">
        <f>IF(F13&gt;0,$C$13,0)</f>
        <v>1</v>
      </c>
      <c r="J13" s="2041"/>
      <c r="K13" s="2053"/>
    </row>
    <row r="14" spans="1:12">
      <c r="A14" s="2048"/>
      <c r="B14" s="115" t="s">
        <v>506</v>
      </c>
      <c r="C14" s="202">
        <v>0.5</v>
      </c>
      <c r="D14" s="123">
        <v>220271.18669354453</v>
      </c>
      <c r="E14" s="123">
        <v>218801.8341672578</v>
      </c>
      <c r="F14" s="123">
        <v>191026.1148440128</v>
      </c>
      <c r="G14" s="130">
        <f>IF(D14&gt;0,$C$14,0)</f>
        <v>0.5</v>
      </c>
      <c r="H14" s="130">
        <f>IF(E14&gt;0,$C$14,0)</f>
        <v>0.5</v>
      </c>
      <c r="I14" s="130">
        <f>IF(F14&gt;0,$C$14,0)</f>
        <v>0.5</v>
      </c>
      <c r="J14" s="2041"/>
      <c r="K14" s="2053"/>
    </row>
    <row r="15" spans="1:12">
      <c r="A15" s="2049"/>
      <c r="B15" s="115" t="s">
        <v>507</v>
      </c>
      <c r="C15" s="202">
        <v>0.5</v>
      </c>
      <c r="D15" s="123">
        <v>58533.814536986465</v>
      </c>
      <c r="E15" s="123">
        <v>51817.739974335513</v>
      </c>
      <c r="F15" s="123">
        <v>38002.955846169418</v>
      </c>
      <c r="G15" s="130">
        <f>IF(D15&gt;0,$C$15,0)</f>
        <v>0.5</v>
      </c>
      <c r="H15" s="130">
        <f>IF(E15&gt;0,$C$15,0)</f>
        <v>0.5</v>
      </c>
      <c r="I15" s="130">
        <f>IF(F15&gt;0,$C$15,0)</f>
        <v>0.5</v>
      </c>
      <c r="J15" s="2041"/>
      <c r="K15" s="2053"/>
    </row>
    <row r="16" spans="1:12">
      <c r="A16" s="2047" t="s">
        <v>526</v>
      </c>
      <c r="B16" s="115" t="s">
        <v>502</v>
      </c>
      <c r="C16" s="202">
        <v>1</v>
      </c>
      <c r="D16" s="123">
        <v>-31835.76107846183</v>
      </c>
      <c r="E16" s="123">
        <v>-26530.144824993746</v>
      </c>
      <c r="F16" s="123">
        <v>20618.639598916649</v>
      </c>
      <c r="G16" s="130">
        <f>IF(D16&gt;0,$C$16,0)</f>
        <v>0</v>
      </c>
      <c r="H16" s="130">
        <f>IF(E16&gt;0,$C$16,0)</f>
        <v>0</v>
      </c>
      <c r="I16" s="130">
        <f>IF(F16&gt;0,$C$16,0)</f>
        <v>1</v>
      </c>
      <c r="J16" s="2041"/>
      <c r="K16" s="2053"/>
    </row>
    <row r="17" spans="1:11">
      <c r="A17" s="2048"/>
      <c r="B17" s="115" t="s">
        <v>503</v>
      </c>
      <c r="C17" s="202">
        <v>1</v>
      </c>
      <c r="D17" s="123">
        <v>84158.399511328273</v>
      </c>
      <c r="E17" s="123">
        <v>70874.80310456366</v>
      </c>
      <c r="F17" s="123">
        <v>43423.863418703346</v>
      </c>
      <c r="G17" s="130">
        <f>IF(D17&gt;0,$C$17,0)</f>
        <v>1</v>
      </c>
      <c r="H17" s="130">
        <f>IF(E17&gt;0,$C$17,0)</f>
        <v>1</v>
      </c>
      <c r="I17" s="130">
        <f>IF(F17&gt;0,$C$17,0)</f>
        <v>1</v>
      </c>
      <c r="J17" s="2041"/>
      <c r="K17" s="2053"/>
    </row>
    <row r="18" spans="1:11">
      <c r="A18" s="2048"/>
      <c r="B18" s="115" t="s">
        <v>504</v>
      </c>
      <c r="C18" s="202">
        <v>1</v>
      </c>
      <c r="D18" s="123">
        <v>99310.163810759987</v>
      </c>
      <c r="E18" s="123">
        <v>83624.519673659728</v>
      </c>
      <c r="F18" s="123">
        <v>70610.246661150697</v>
      </c>
      <c r="G18" s="130">
        <f>IF(D18&gt;0,$C$18,0)</f>
        <v>1</v>
      </c>
      <c r="H18" s="130">
        <f>IF(E18&gt;0,$C$18,0)</f>
        <v>1</v>
      </c>
      <c r="I18" s="130">
        <f>IF(F18&gt;0,$C$18,0)</f>
        <v>1</v>
      </c>
      <c r="J18" s="2041"/>
      <c r="K18" s="2053"/>
    </row>
    <row r="19" spans="1:11">
      <c r="A19" s="2048"/>
      <c r="B19" s="115" t="s">
        <v>505</v>
      </c>
      <c r="C19" s="202">
        <v>1</v>
      </c>
      <c r="D19" s="123">
        <v>71968.198114231825</v>
      </c>
      <c r="E19" s="123">
        <v>100674.72081179972</v>
      </c>
      <c r="F19" s="123">
        <v>77123.510254163019</v>
      </c>
      <c r="G19" s="130">
        <f>IF(D19&gt;0,$C$19,0)</f>
        <v>1</v>
      </c>
      <c r="H19" s="130">
        <f>IF(E19&gt;0,$C$19,0)</f>
        <v>1</v>
      </c>
      <c r="I19" s="130">
        <f>IF(F19&gt;0,$C$19,0)</f>
        <v>1</v>
      </c>
      <c r="J19" s="2041"/>
      <c r="K19" s="2053"/>
    </row>
    <row r="20" spans="1:11">
      <c r="A20" s="2048"/>
      <c r="B20" s="115" t="s">
        <v>506</v>
      </c>
      <c r="C20" s="202">
        <v>0.5</v>
      </c>
      <c r="D20" s="123">
        <v>318792.57965500059</v>
      </c>
      <c r="E20" s="123">
        <v>325556.34793358913</v>
      </c>
      <c r="F20" s="123">
        <v>307115.50441087608</v>
      </c>
      <c r="G20" s="130">
        <f>IF(D20&gt;0,$C$20,0)</f>
        <v>0.5</v>
      </c>
      <c r="H20" s="130">
        <f>IF(E20&gt;0,$C$20,0)</f>
        <v>0.5</v>
      </c>
      <c r="I20" s="130">
        <f>IF(F20&gt;0,$C$20,0)</f>
        <v>0.5</v>
      </c>
      <c r="J20" s="2041"/>
      <c r="K20" s="2053"/>
    </row>
    <row r="21" spans="1:11">
      <c r="A21" s="2049"/>
      <c r="B21" s="115" t="s">
        <v>507</v>
      </c>
      <c r="C21" s="202">
        <v>0.5</v>
      </c>
      <c r="D21" s="123">
        <v>259799.7495902162</v>
      </c>
      <c r="E21" s="123">
        <v>264233.89623632806</v>
      </c>
      <c r="F21" s="123">
        <v>257651.42663762381</v>
      </c>
      <c r="G21" s="130">
        <f>IF(D21&gt;0,$C$21,0)</f>
        <v>0.5</v>
      </c>
      <c r="H21" s="130">
        <f>IF(E21&gt;0,$C$21,0)</f>
        <v>0.5</v>
      </c>
      <c r="I21" s="130">
        <f>IF(F21&gt;0,$C$21,0)</f>
        <v>0.5</v>
      </c>
      <c r="J21" s="2042"/>
      <c r="K21" s="2054"/>
    </row>
    <row r="22" spans="1:11">
      <c r="A22" s="2047" t="s">
        <v>500</v>
      </c>
      <c r="B22" s="115" t="s">
        <v>509</v>
      </c>
      <c r="C22" s="202">
        <v>6</v>
      </c>
      <c r="D22" s="291">
        <v>2.3987747834683866</v>
      </c>
      <c r="E22" s="291">
        <v>2.7181697725433267</v>
      </c>
      <c r="F22" s="124">
        <v>4.7329032202129442</v>
      </c>
      <c r="G22" s="130">
        <f>IF(D22&gt;1,$C$22,0)</f>
        <v>6</v>
      </c>
      <c r="H22" s="130">
        <f>IF(E22&gt;1,$C$22,0)</f>
        <v>6</v>
      </c>
      <c r="I22" s="130">
        <f>IF(F22&gt;1,$C$22,0)</f>
        <v>6</v>
      </c>
      <c r="J22" s="2040" t="s">
        <v>501</v>
      </c>
      <c r="K22" s="2040" t="s">
        <v>2383</v>
      </c>
    </row>
    <row r="23" spans="1:11">
      <c r="A23" s="2048"/>
      <c r="B23" s="115" t="s">
        <v>510</v>
      </c>
      <c r="C23" s="202">
        <v>6</v>
      </c>
      <c r="D23" s="291">
        <v>23.721145408591529</v>
      </c>
      <c r="E23" s="291">
        <v>55.992824722856064</v>
      </c>
      <c r="F23" s="124">
        <v>171.85596750173036</v>
      </c>
      <c r="G23" s="130">
        <f>IF(D23&gt;1,$C$23,0)</f>
        <v>6</v>
      </c>
      <c r="H23" s="130">
        <f>IF(E23&gt;1,$C$23,0)</f>
        <v>6</v>
      </c>
      <c r="I23" s="130">
        <f>IF(F23&gt;1,$C$23,0)</f>
        <v>6</v>
      </c>
      <c r="J23" s="2041"/>
      <c r="K23" s="2041"/>
    </row>
    <row r="24" spans="1:11">
      <c r="A24" s="2048"/>
      <c r="B24" s="115" t="s">
        <v>517</v>
      </c>
      <c r="C24" s="202">
        <v>6</v>
      </c>
      <c r="D24" s="291">
        <v>-2.136148204063939</v>
      </c>
      <c r="E24" s="291">
        <v>-2.4280989324443842</v>
      </c>
      <c r="F24" s="124">
        <v>-3.2032559869368411</v>
      </c>
      <c r="G24" s="131">
        <v>6</v>
      </c>
      <c r="H24" s="131">
        <v>6</v>
      </c>
      <c r="I24" s="131">
        <v>6</v>
      </c>
      <c r="J24" s="2041"/>
      <c r="K24" s="2041"/>
    </row>
    <row r="25" spans="1:11">
      <c r="A25" s="2048"/>
      <c r="B25" s="115" t="s">
        <v>518</v>
      </c>
      <c r="C25" s="202">
        <v>6</v>
      </c>
      <c r="D25" s="291">
        <v>-2.7944415979203843</v>
      </c>
      <c r="E25" s="291">
        <v>-3.5149553569975356</v>
      </c>
      <c r="F25" s="124">
        <v>-3.3794065353698781</v>
      </c>
      <c r="G25" s="131">
        <v>6</v>
      </c>
      <c r="H25" s="131">
        <v>6</v>
      </c>
      <c r="I25" s="131">
        <v>6</v>
      </c>
      <c r="J25" s="2041"/>
      <c r="K25" s="2041"/>
    </row>
    <row r="26" spans="1:11">
      <c r="A26" s="2049"/>
      <c r="B26" s="115" t="s">
        <v>519</v>
      </c>
      <c r="C26" s="202">
        <v>6</v>
      </c>
      <c r="D26" s="291">
        <v>0.14966583186442678</v>
      </c>
      <c r="E26" s="291">
        <v>0.14462221876849077</v>
      </c>
      <c r="F26" s="124">
        <v>0.14132635115121184</v>
      </c>
      <c r="G26" s="130">
        <f>IF(D26&gt;1,$C$23,0)</f>
        <v>0</v>
      </c>
      <c r="H26" s="130">
        <f>IF(E26&gt;1,$C$23,0)</f>
        <v>0</v>
      </c>
      <c r="I26" s="130">
        <f>IF(F26&gt;1,$C$23,0)</f>
        <v>0</v>
      </c>
      <c r="J26" s="2042"/>
      <c r="K26" s="2042"/>
    </row>
    <row r="27" spans="1:11">
      <c r="A27" s="2045" t="s">
        <v>522</v>
      </c>
      <c r="B27" s="122" t="s">
        <v>521</v>
      </c>
      <c r="C27" s="202">
        <v>7.5</v>
      </c>
      <c r="D27" s="248">
        <v>14.455181313392098</v>
      </c>
      <c r="E27" s="248">
        <v>10.796312254564519</v>
      </c>
      <c r="F27" s="249">
        <v>15.200549668404097</v>
      </c>
      <c r="G27" s="116">
        <v>7.5</v>
      </c>
      <c r="H27" s="116">
        <v>7.5</v>
      </c>
      <c r="I27" s="116">
        <v>7.5</v>
      </c>
      <c r="J27" s="2040" t="s">
        <v>520</v>
      </c>
      <c r="K27" s="2040" t="s">
        <v>532</v>
      </c>
    </row>
    <row r="28" spans="1:11">
      <c r="A28" s="2046"/>
      <c r="B28" s="122" t="s">
        <v>523</v>
      </c>
      <c r="C28" s="202">
        <v>7.5</v>
      </c>
      <c r="D28" s="248">
        <v>5.181125844768439</v>
      </c>
      <c r="E28" s="248">
        <v>2.888522836693094</v>
      </c>
      <c r="F28" s="249">
        <v>6.0385559010994951</v>
      </c>
      <c r="G28" s="116">
        <v>7.5</v>
      </c>
      <c r="H28" s="116">
        <v>7.5</v>
      </c>
      <c r="I28" s="116">
        <v>7.5</v>
      </c>
      <c r="J28" s="2041"/>
      <c r="K28" s="2041"/>
    </row>
    <row r="29" spans="1:11">
      <c r="A29" s="2045" t="s">
        <v>524</v>
      </c>
      <c r="B29" s="122" t="s">
        <v>521</v>
      </c>
      <c r="C29" s="202">
        <v>7.5</v>
      </c>
      <c r="D29" s="248">
        <v>16.593543530419563</v>
      </c>
      <c r="E29" s="248">
        <v>15.509956524935099</v>
      </c>
      <c r="F29" s="249">
        <v>14.611846764751498</v>
      </c>
      <c r="G29" s="116">
        <v>7.5</v>
      </c>
      <c r="H29" s="116">
        <v>7.5</v>
      </c>
      <c r="I29" s="116">
        <v>7.5</v>
      </c>
      <c r="J29" s="2041"/>
      <c r="K29" s="2041"/>
    </row>
    <row r="30" spans="1:11">
      <c r="A30" s="2046"/>
      <c r="B30" s="122" t="s">
        <v>523</v>
      </c>
      <c r="C30" s="202">
        <v>7.5</v>
      </c>
      <c r="D30" s="248">
        <v>21.275332035408606</v>
      </c>
      <c r="E30" s="248">
        <v>5.8453137665084922</v>
      </c>
      <c r="F30" s="249">
        <v>23.111262356725202</v>
      </c>
      <c r="G30" s="116">
        <v>7.5</v>
      </c>
      <c r="H30" s="116">
        <v>7.5</v>
      </c>
      <c r="I30" s="116">
        <v>7.5</v>
      </c>
      <c r="J30" s="2042"/>
      <c r="K30" s="2042"/>
    </row>
    <row r="31" spans="1:11">
      <c r="A31" s="133" t="s">
        <v>533</v>
      </c>
      <c r="B31" s="132"/>
      <c r="C31" s="132"/>
      <c r="D31" s="132"/>
      <c r="E31" s="132"/>
      <c r="F31" s="132"/>
      <c r="G31" s="134">
        <f>SUM(G3:G30)</f>
        <v>80</v>
      </c>
      <c r="H31" s="134">
        <f>SUM(H3:H30)</f>
        <v>80</v>
      </c>
      <c r="I31" s="134">
        <f>SUM(I3:I30)</f>
        <v>84</v>
      </c>
    </row>
    <row r="32" spans="1:11">
      <c r="A32" s="133" t="s">
        <v>534</v>
      </c>
      <c r="B32" s="132"/>
      <c r="C32" s="132"/>
      <c r="D32" s="132"/>
      <c r="E32" s="132"/>
      <c r="F32" s="132"/>
      <c r="G32" s="134">
        <f>90-G31</f>
        <v>10</v>
      </c>
      <c r="H32" s="134">
        <f>90-H31</f>
        <v>10</v>
      </c>
      <c r="I32" s="134">
        <f>90-I31</f>
        <v>6</v>
      </c>
    </row>
    <row r="33" spans="1:10">
      <c r="A33" s="133" t="s">
        <v>535</v>
      </c>
      <c r="B33" s="132"/>
      <c r="C33" s="132"/>
      <c r="D33" s="132"/>
      <c r="E33" s="132"/>
      <c r="F33" s="132"/>
      <c r="G33" s="134">
        <f>G31/90*100</f>
        <v>88.888888888888886</v>
      </c>
      <c r="H33" s="134">
        <f>H31/90*100</f>
        <v>88.888888888888886</v>
      </c>
      <c r="I33" s="134">
        <f>I31/90*100</f>
        <v>93.333333333333329</v>
      </c>
    </row>
    <row r="34" spans="1:10">
      <c r="A34" s="133" t="s">
        <v>536</v>
      </c>
      <c r="B34" s="132"/>
      <c r="C34" s="132"/>
      <c r="D34" s="132"/>
      <c r="E34" s="132"/>
      <c r="F34" s="132"/>
      <c r="G34" s="134">
        <f>-G32/90*100*0.25</f>
        <v>-2.7777777777777777</v>
      </c>
      <c r="H34" s="134">
        <f>-H32/90*100*0.25</f>
        <v>-2.7777777777777777</v>
      </c>
      <c r="I34" s="134">
        <f>-I32/90*100*0.25</f>
        <v>-1.6666666666666667</v>
      </c>
    </row>
    <row r="36" spans="1:10" ht="14.25">
      <c r="A36" s="18" t="s">
        <v>281</v>
      </c>
      <c r="G36" s="135">
        <f>G33</f>
        <v>88.888888888888886</v>
      </c>
      <c r="H36" s="135">
        <f>H33</f>
        <v>88.888888888888886</v>
      </c>
      <c r="I36" s="135">
        <f>I33</f>
        <v>93.333333333333329</v>
      </c>
      <c r="J36" s="138"/>
    </row>
    <row r="37" spans="1:10" ht="14.25">
      <c r="A37" s="18" t="s">
        <v>537</v>
      </c>
      <c r="G37" s="135">
        <v>0</v>
      </c>
      <c r="H37" s="135">
        <v>0</v>
      </c>
      <c r="I37" s="135">
        <v>0</v>
      </c>
    </row>
    <row r="38" spans="1:10" ht="14.25">
      <c r="A38" s="18" t="s">
        <v>539</v>
      </c>
      <c r="G38" s="135">
        <v>0</v>
      </c>
      <c r="H38" s="135">
        <v>0</v>
      </c>
      <c r="I38" s="135">
        <v>0</v>
      </c>
    </row>
    <row r="39" spans="1:10" ht="14.25">
      <c r="A39" s="18" t="s">
        <v>538</v>
      </c>
      <c r="G39" s="135">
        <v>0</v>
      </c>
      <c r="H39" s="135">
        <v>0</v>
      </c>
      <c r="I39" s="135">
        <v>0</v>
      </c>
    </row>
    <row r="40" spans="1:10" ht="14.25">
      <c r="A40" s="18" t="s">
        <v>540</v>
      </c>
      <c r="G40" s="135">
        <f>100-SUM(G36:G39)</f>
        <v>11.111111111111114</v>
      </c>
      <c r="H40" s="135">
        <f>100-SUM(H36:H39)</f>
        <v>11.111111111111114</v>
      </c>
      <c r="I40" s="135">
        <f>100-SUM(I36:I39)</f>
        <v>6.6666666666666714</v>
      </c>
      <c r="J40" s="137"/>
    </row>
    <row r="46" spans="1:10">
      <c r="A46" s="843" t="s">
        <v>1897</v>
      </c>
    </row>
    <row r="47" spans="1:10">
      <c r="A47" s="876" t="s">
        <v>1944</v>
      </c>
    </row>
  </sheetData>
  <mergeCells count="17">
    <mergeCell ref="A1:D1"/>
    <mergeCell ref="A2:B2"/>
    <mergeCell ref="K4:K9"/>
    <mergeCell ref="J4:J9"/>
    <mergeCell ref="A10:A15"/>
    <mergeCell ref="K10:K21"/>
    <mergeCell ref="J10:J21"/>
    <mergeCell ref="A4:A9"/>
    <mergeCell ref="K27:K30"/>
    <mergeCell ref="J27:J30"/>
    <mergeCell ref="A3:B3"/>
    <mergeCell ref="A27:A28"/>
    <mergeCell ref="A29:A30"/>
    <mergeCell ref="A16:A21"/>
    <mergeCell ref="A22:A26"/>
    <mergeCell ref="J22:J26"/>
    <mergeCell ref="K22:K26"/>
  </mergeCells>
  <phoneticPr fontId="3" type="noConversion"/>
  <conditionalFormatting sqref="I3">
    <cfRule type="cellIs" dxfId="6" priority="15" operator="notEqual">
      <formula>$C3</formula>
    </cfRule>
  </conditionalFormatting>
  <conditionalFormatting sqref="I4:I23 I26">
    <cfRule type="cellIs" dxfId="5" priority="14" operator="notEqual">
      <formula>$C4</formula>
    </cfRule>
  </conditionalFormatting>
  <conditionalFormatting sqref="H3">
    <cfRule type="cellIs" dxfId="4" priority="13" operator="notEqual">
      <formula>$C3</formula>
    </cfRule>
  </conditionalFormatting>
  <conditionalFormatting sqref="H4:H23 H26">
    <cfRule type="cellIs" dxfId="3" priority="12" operator="notEqual">
      <formula>$C4</formula>
    </cfRule>
  </conditionalFormatting>
  <conditionalFormatting sqref="G3">
    <cfRule type="cellIs" dxfId="2" priority="2" operator="notEqual">
      <formula>$C3</formula>
    </cfRule>
  </conditionalFormatting>
  <conditionalFormatting sqref="G4:G23 G26">
    <cfRule type="cellIs" dxfId="1" priority="1" operator="notEqual">
      <formula>$C4</formula>
    </cfRule>
  </conditionalFormatting>
  <hyperlinks>
    <hyperlink ref="A46" location="权重!A1" display="权重!A1"/>
    <hyperlink ref="A47" location="目录!A1" display="目录!A1"/>
  </hyperlinks>
  <pageMargins left="0.70866141732283472" right="0.70866141732283472" top="0.74803149606299213" bottom="0.74803149606299213" header="0.31496062992125984" footer="0.31496062992125984"/>
  <pageSetup paperSize="9" scale="90" orientation="landscape"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M102"/>
  <sheetViews>
    <sheetView zoomScale="84" zoomScaleNormal="84" workbookViewId="0">
      <pane xSplit="2" ySplit="3" topLeftCell="D4" activePane="bottomRight" state="frozen"/>
      <selection activeCell="A3" sqref="A3:B3"/>
      <selection pane="topRight" activeCell="A3" sqref="A3:B3"/>
      <selection pane="bottomLeft" activeCell="A3" sqref="A3:B3"/>
      <selection pane="bottomRight" activeCell="E23" sqref="E23"/>
    </sheetView>
  </sheetViews>
  <sheetFormatPr defaultColWidth="8.875" defaultRowHeight="13.5"/>
  <cols>
    <col min="1" max="1" width="12.375" style="143" customWidth="1"/>
    <col min="2" max="2" width="41.625" style="143" customWidth="1"/>
    <col min="3" max="3" width="69.5" style="143" customWidth="1"/>
    <col min="4" max="4" width="11.375" style="143" customWidth="1"/>
    <col min="5" max="5" width="11.25" style="143" customWidth="1"/>
    <col min="6" max="6" width="8.375" style="143" customWidth="1"/>
    <col min="7" max="7" width="10.25" style="143" bestFit="1" customWidth="1"/>
    <col min="8" max="8" width="8.25" style="143" customWidth="1"/>
    <col min="9" max="16384" width="8.875" style="143"/>
  </cols>
  <sheetData>
    <row r="1" spans="1:13" ht="21" customHeight="1">
      <c r="A1" s="142" t="s">
        <v>572</v>
      </c>
    </row>
    <row r="2" spans="1:13" ht="27" customHeight="1">
      <c r="A2" s="456" t="s">
        <v>573</v>
      </c>
      <c r="B2" s="456"/>
      <c r="C2" s="456"/>
      <c r="D2" s="456"/>
      <c r="E2" s="2062">
        <v>2016</v>
      </c>
      <c r="F2" s="2062"/>
      <c r="G2" s="2062">
        <v>2017</v>
      </c>
      <c r="H2" s="2062"/>
      <c r="I2" s="144"/>
      <c r="J2" s="144"/>
      <c r="K2" s="144"/>
      <c r="L2" s="144"/>
      <c r="M2" s="144"/>
    </row>
    <row r="3" spans="1:13" ht="21" customHeight="1">
      <c r="A3" s="145" t="s">
        <v>570</v>
      </c>
      <c r="B3" s="145" t="s">
        <v>574</v>
      </c>
      <c r="C3" s="145" t="s">
        <v>575</v>
      </c>
      <c r="D3" s="145" t="s">
        <v>571</v>
      </c>
      <c r="E3" s="145" t="s">
        <v>576</v>
      </c>
      <c r="F3" s="145" t="s">
        <v>577</v>
      </c>
      <c r="G3" s="145" t="s">
        <v>1842</v>
      </c>
      <c r="H3" s="145" t="s">
        <v>577</v>
      </c>
      <c r="I3" s="144"/>
      <c r="J3" s="144"/>
      <c r="K3" s="144"/>
      <c r="L3" s="144"/>
      <c r="M3" s="144"/>
    </row>
    <row r="4" spans="1:13" ht="21" customHeight="1">
      <c r="A4" s="2058" t="s">
        <v>578</v>
      </c>
      <c r="B4" s="146" t="s">
        <v>579</v>
      </c>
      <c r="C4" s="146" t="s">
        <v>580</v>
      </c>
      <c r="D4" s="147">
        <v>1</v>
      </c>
      <c r="E4" s="147" t="s">
        <v>581</v>
      </c>
      <c r="F4" s="148">
        <f>D4</f>
        <v>1</v>
      </c>
      <c r="G4" s="147" t="s">
        <v>1843</v>
      </c>
      <c r="H4" s="789">
        <v>1</v>
      </c>
    </row>
    <row r="5" spans="1:13" ht="21" customHeight="1">
      <c r="A5" s="2058"/>
      <c r="B5" s="2059" t="s">
        <v>582</v>
      </c>
      <c r="C5" s="146" t="s">
        <v>583</v>
      </c>
      <c r="D5" s="147">
        <v>1</v>
      </c>
      <c r="E5" s="147" t="s">
        <v>581</v>
      </c>
      <c r="F5" s="148">
        <f t="shared" ref="F5:F17" si="0">D5</f>
        <v>1</v>
      </c>
      <c r="G5" s="147" t="s">
        <v>1843</v>
      </c>
      <c r="H5" s="789">
        <v>1</v>
      </c>
    </row>
    <row r="6" spans="1:13" ht="21" customHeight="1">
      <c r="A6" s="2058"/>
      <c r="B6" s="2059"/>
      <c r="C6" s="146" t="s">
        <v>584</v>
      </c>
      <c r="D6" s="147">
        <v>1</v>
      </c>
      <c r="E6" s="147" t="s">
        <v>581</v>
      </c>
      <c r="F6" s="148">
        <f t="shared" si="0"/>
        <v>1</v>
      </c>
      <c r="G6" s="147" t="s">
        <v>1843</v>
      </c>
      <c r="H6" s="789">
        <v>1</v>
      </c>
    </row>
    <row r="7" spans="1:13" ht="21" customHeight="1">
      <c r="A7" s="2058"/>
      <c r="B7" s="2059" t="s">
        <v>585</v>
      </c>
      <c r="C7" s="146" t="s">
        <v>586</v>
      </c>
      <c r="D7" s="147">
        <v>1</v>
      </c>
      <c r="E7" s="147" t="s">
        <v>581</v>
      </c>
      <c r="F7" s="148">
        <f t="shared" si="0"/>
        <v>1</v>
      </c>
      <c r="G7" s="147" t="s">
        <v>1843</v>
      </c>
      <c r="H7" s="789">
        <v>1</v>
      </c>
    </row>
    <row r="8" spans="1:13" ht="21" customHeight="1">
      <c r="A8" s="2058"/>
      <c r="B8" s="2059"/>
      <c r="C8" s="146" t="s">
        <v>587</v>
      </c>
      <c r="D8" s="147">
        <v>1</v>
      </c>
      <c r="E8" s="147" t="s">
        <v>581</v>
      </c>
      <c r="F8" s="148">
        <f t="shared" si="0"/>
        <v>1</v>
      </c>
      <c r="G8" s="147" t="s">
        <v>1843</v>
      </c>
      <c r="H8" s="789">
        <v>1</v>
      </c>
    </row>
    <row r="9" spans="1:13" ht="21" customHeight="1">
      <c r="A9" s="2058"/>
      <c r="B9" s="146" t="s">
        <v>588</v>
      </c>
      <c r="C9" s="146" t="s">
        <v>589</v>
      </c>
      <c r="D9" s="147">
        <v>1</v>
      </c>
      <c r="E9" s="147" t="s">
        <v>581</v>
      </c>
      <c r="F9" s="148">
        <f t="shared" si="0"/>
        <v>1</v>
      </c>
      <c r="G9" s="147" t="s">
        <v>1843</v>
      </c>
      <c r="H9" s="789">
        <v>1</v>
      </c>
    </row>
    <row r="10" spans="1:13" ht="21" customHeight="1">
      <c r="A10" s="2058"/>
      <c r="B10" s="146" t="s">
        <v>590</v>
      </c>
      <c r="C10" s="146" t="s">
        <v>591</v>
      </c>
      <c r="D10" s="147">
        <v>1</v>
      </c>
      <c r="E10" s="147" t="s">
        <v>581</v>
      </c>
      <c r="F10" s="148">
        <f t="shared" si="0"/>
        <v>1</v>
      </c>
      <c r="G10" s="147" t="s">
        <v>1843</v>
      </c>
      <c r="H10" s="789">
        <v>1</v>
      </c>
    </row>
    <row r="11" spans="1:13" ht="21" customHeight="1">
      <c r="A11" s="2058" t="s">
        <v>592</v>
      </c>
      <c r="B11" s="2059" t="s">
        <v>593</v>
      </c>
      <c r="C11" s="146" t="s">
        <v>594</v>
      </c>
      <c r="D11" s="147">
        <v>2</v>
      </c>
      <c r="E11" s="147" t="s">
        <v>581</v>
      </c>
      <c r="F11" s="148">
        <f t="shared" si="0"/>
        <v>2</v>
      </c>
      <c r="G11" s="147" t="s">
        <v>1843</v>
      </c>
      <c r="H11" s="789">
        <v>2</v>
      </c>
    </row>
    <row r="12" spans="1:13" ht="21" customHeight="1">
      <c r="A12" s="2058"/>
      <c r="B12" s="2059"/>
      <c r="C12" s="146" t="s">
        <v>595</v>
      </c>
      <c r="D12" s="147">
        <v>2</v>
      </c>
      <c r="E12" s="147" t="s">
        <v>581</v>
      </c>
      <c r="F12" s="148">
        <f t="shared" si="0"/>
        <v>2</v>
      </c>
      <c r="G12" s="147" t="s">
        <v>1843</v>
      </c>
      <c r="H12" s="789">
        <v>2</v>
      </c>
    </row>
    <row r="13" spans="1:13" ht="21" customHeight="1">
      <c r="A13" s="2058"/>
      <c r="B13" s="2059" t="s">
        <v>596</v>
      </c>
      <c r="C13" s="146" t="s">
        <v>597</v>
      </c>
      <c r="D13" s="147">
        <v>1</v>
      </c>
      <c r="E13" s="147" t="s">
        <v>581</v>
      </c>
      <c r="F13" s="148">
        <f t="shared" si="0"/>
        <v>1</v>
      </c>
      <c r="G13" s="147" t="s">
        <v>1843</v>
      </c>
      <c r="H13" s="789">
        <v>1</v>
      </c>
    </row>
    <row r="14" spans="1:13" ht="21" customHeight="1">
      <c r="A14" s="2058"/>
      <c r="B14" s="2059"/>
      <c r="C14" s="146" t="s">
        <v>598</v>
      </c>
      <c r="D14" s="147">
        <v>1</v>
      </c>
      <c r="E14" s="147" t="s">
        <v>581</v>
      </c>
      <c r="F14" s="148">
        <f t="shared" si="0"/>
        <v>1</v>
      </c>
      <c r="G14" s="147" t="s">
        <v>1843</v>
      </c>
      <c r="H14" s="789">
        <v>1</v>
      </c>
    </row>
    <row r="15" spans="1:13" ht="21" customHeight="1">
      <c r="A15" s="2058"/>
      <c r="B15" s="146" t="s">
        <v>599</v>
      </c>
      <c r="C15" s="146" t="s">
        <v>600</v>
      </c>
      <c r="D15" s="147">
        <v>1</v>
      </c>
      <c r="E15" s="147" t="s">
        <v>601</v>
      </c>
      <c r="F15" s="148"/>
      <c r="G15" s="147" t="s">
        <v>1844</v>
      </c>
      <c r="H15" s="789"/>
    </row>
    <row r="16" spans="1:13" ht="21" customHeight="1">
      <c r="A16" s="2058"/>
      <c r="B16" s="2059" t="s">
        <v>602</v>
      </c>
      <c r="C16" s="146" t="s">
        <v>603</v>
      </c>
      <c r="D16" s="147">
        <v>1</v>
      </c>
      <c r="E16" s="147" t="s">
        <v>581</v>
      </c>
      <c r="F16" s="148">
        <f t="shared" si="0"/>
        <v>1</v>
      </c>
      <c r="G16" s="147" t="s">
        <v>1843</v>
      </c>
      <c r="H16" s="789">
        <v>1</v>
      </c>
    </row>
    <row r="17" spans="1:8">
      <c r="A17" s="2058"/>
      <c r="B17" s="2059"/>
      <c r="C17" s="146" t="s">
        <v>604</v>
      </c>
      <c r="D17" s="147">
        <v>2</v>
      </c>
      <c r="E17" s="147" t="s">
        <v>581</v>
      </c>
      <c r="F17" s="148">
        <f t="shared" si="0"/>
        <v>2</v>
      </c>
      <c r="G17" s="147" t="s">
        <v>1843</v>
      </c>
      <c r="H17" s="789">
        <v>2</v>
      </c>
    </row>
    <row r="18" spans="1:8">
      <c r="A18" s="2058"/>
      <c r="B18" s="793" t="s">
        <v>605</v>
      </c>
      <c r="C18" s="146" t="s">
        <v>606</v>
      </c>
      <c r="D18" s="147">
        <v>1</v>
      </c>
      <c r="E18" s="149" t="s">
        <v>607</v>
      </c>
      <c r="F18" s="150">
        <v>0</v>
      </c>
      <c r="G18" s="786" t="s">
        <v>1843</v>
      </c>
      <c r="H18" s="790">
        <v>1</v>
      </c>
    </row>
    <row r="19" spans="1:8">
      <c r="A19" s="2058"/>
      <c r="B19" s="2059" t="s">
        <v>608</v>
      </c>
      <c r="C19" s="146" t="s">
        <v>609</v>
      </c>
      <c r="D19" s="147">
        <v>2</v>
      </c>
      <c r="E19" s="147" t="s">
        <v>581</v>
      </c>
      <c r="F19" s="148">
        <f>D19</f>
        <v>2</v>
      </c>
      <c r="G19" s="147" t="s">
        <v>1843</v>
      </c>
      <c r="H19" s="789">
        <v>2</v>
      </c>
    </row>
    <row r="20" spans="1:8">
      <c r="A20" s="2058"/>
      <c r="B20" s="2059"/>
      <c r="C20" s="146" t="s">
        <v>610</v>
      </c>
      <c r="D20" s="147">
        <v>2</v>
      </c>
      <c r="E20" s="147" t="s">
        <v>581</v>
      </c>
      <c r="F20" s="148">
        <f t="shared" ref="F20:F37" si="1">D20</f>
        <v>2</v>
      </c>
      <c r="G20" s="147" t="s">
        <v>1843</v>
      </c>
      <c r="H20" s="789">
        <v>2</v>
      </c>
    </row>
    <row r="21" spans="1:8">
      <c r="A21" s="2058" t="s">
        <v>611</v>
      </c>
      <c r="B21" s="2059" t="s">
        <v>612</v>
      </c>
      <c r="C21" s="146" t="s">
        <v>613</v>
      </c>
      <c r="D21" s="147">
        <v>2</v>
      </c>
      <c r="E21" s="147" t="s">
        <v>581</v>
      </c>
      <c r="F21" s="148">
        <f t="shared" si="1"/>
        <v>2</v>
      </c>
      <c r="G21" s="147" t="s">
        <v>1843</v>
      </c>
      <c r="H21" s="789">
        <v>2</v>
      </c>
    </row>
    <row r="22" spans="1:8">
      <c r="A22" s="2058"/>
      <c r="B22" s="2059"/>
      <c r="C22" s="146" t="s">
        <v>614</v>
      </c>
      <c r="D22" s="147">
        <v>2</v>
      </c>
      <c r="E22" s="147" t="s">
        <v>581</v>
      </c>
      <c r="F22" s="148">
        <f t="shared" si="1"/>
        <v>2</v>
      </c>
      <c r="G22" s="147" t="s">
        <v>1843</v>
      </c>
      <c r="H22" s="789">
        <v>2</v>
      </c>
    </row>
    <row r="23" spans="1:8">
      <c r="A23" s="2058"/>
      <c r="B23" s="2059" t="s">
        <v>615</v>
      </c>
      <c r="C23" s="146" t="s">
        <v>616</v>
      </c>
      <c r="D23" s="147">
        <v>1</v>
      </c>
      <c r="E23" s="147" t="s">
        <v>581</v>
      </c>
      <c r="F23" s="148">
        <f t="shared" si="1"/>
        <v>1</v>
      </c>
      <c r="G23" s="147" t="s">
        <v>1843</v>
      </c>
      <c r="H23" s="789">
        <v>1</v>
      </c>
    </row>
    <row r="24" spans="1:8" ht="27">
      <c r="A24" s="2058"/>
      <c r="B24" s="2059"/>
      <c r="C24" s="146" t="s">
        <v>617</v>
      </c>
      <c r="D24" s="147">
        <v>1</v>
      </c>
      <c r="E24" s="147" t="s">
        <v>581</v>
      </c>
      <c r="F24" s="148">
        <f t="shared" si="1"/>
        <v>1</v>
      </c>
      <c r="G24" s="147" t="s">
        <v>1843</v>
      </c>
      <c r="H24" s="789">
        <v>1</v>
      </c>
    </row>
    <row r="25" spans="1:8">
      <c r="A25" s="2058"/>
      <c r="B25" s="2059"/>
      <c r="C25" s="146" t="s">
        <v>618</v>
      </c>
      <c r="D25" s="147">
        <v>1</v>
      </c>
      <c r="E25" s="147" t="s">
        <v>581</v>
      </c>
      <c r="F25" s="148">
        <f t="shared" si="1"/>
        <v>1</v>
      </c>
      <c r="G25" s="147" t="s">
        <v>1843</v>
      </c>
      <c r="H25" s="789">
        <v>1</v>
      </c>
    </row>
    <row r="26" spans="1:8">
      <c r="A26" s="2058" t="s">
        <v>619</v>
      </c>
      <c r="B26" s="2059" t="s">
        <v>620</v>
      </c>
      <c r="C26" s="146" t="s">
        <v>621</v>
      </c>
      <c r="D26" s="147">
        <v>1</v>
      </c>
      <c r="E26" s="147" t="s">
        <v>581</v>
      </c>
      <c r="F26" s="148">
        <f t="shared" si="1"/>
        <v>1</v>
      </c>
      <c r="G26" s="147" t="s">
        <v>1843</v>
      </c>
      <c r="H26" s="789">
        <v>1</v>
      </c>
    </row>
    <row r="27" spans="1:8">
      <c r="A27" s="2058"/>
      <c r="B27" s="2059"/>
      <c r="C27" s="146" t="s">
        <v>622</v>
      </c>
      <c r="D27" s="147">
        <v>2</v>
      </c>
      <c r="E27" s="147" t="s">
        <v>581</v>
      </c>
      <c r="F27" s="148">
        <f t="shared" si="1"/>
        <v>2</v>
      </c>
      <c r="G27" s="147" t="s">
        <v>1843</v>
      </c>
      <c r="H27" s="789">
        <v>2</v>
      </c>
    </row>
    <row r="28" spans="1:8">
      <c r="A28" s="2058"/>
      <c r="B28" s="2059"/>
      <c r="C28" s="146" t="s">
        <v>623</v>
      </c>
      <c r="D28" s="147">
        <v>2</v>
      </c>
      <c r="E28" s="147" t="s">
        <v>581</v>
      </c>
      <c r="F28" s="148">
        <f t="shared" si="1"/>
        <v>2</v>
      </c>
      <c r="G28" s="147" t="s">
        <v>1843</v>
      </c>
      <c r="H28" s="789">
        <v>2</v>
      </c>
    </row>
    <row r="29" spans="1:8">
      <c r="A29" s="2058"/>
      <c r="B29" s="2059" t="s">
        <v>624</v>
      </c>
      <c r="C29" s="146" t="s">
        <v>625</v>
      </c>
      <c r="D29" s="147">
        <v>2</v>
      </c>
      <c r="E29" s="147" t="s">
        <v>581</v>
      </c>
      <c r="F29" s="148">
        <f t="shared" si="1"/>
        <v>2</v>
      </c>
      <c r="G29" s="147" t="s">
        <v>1843</v>
      </c>
      <c r="H29" s="789">
        <v>2</v>
      </c>
    </row>
    <row r="30" spans="1:8">
      <c r="A30" s="2058"/>
      <c r="B30" s="2059"/>
      <c r="C30" s="146" t="s">
        <v>626</v>
      </c>
      <c r="D30" s="147">
        <v>2</v>
      </c>
      <c r="E30" s="147" t="s">
        <v>581</v>
      </c>
      <c r="F30" s="148">
        <f t="shared" si="1"/>
        <v>2</v>
      </c>
      <c r="G30" s="147" t="s">
        <v>1843</v>
      </c>
      <c r="H30" s="789">
        <v>2</v>
      </c>
    </row>
    <row r="31" spans="1:8">
      <c r="A31" s="2058"/>
      <c r="B31" s="146" t="s">
        <v>627</v>
      </c>
      <c r="C31" s="146" t="s">
        <v>628</v>
      </c>
      <c r="D31" s="147">
        <v>2</v>
      </c>
      <c r="E31" s="147" t="s">
        <v>581</v>
      </c>
      <c r="F31" s="148">
        <f t="shared" si="1"/>
        <v>2</v>
      </c>
      <c r="G31" s="147" t="s">
        <v>1843</v>
      </c>
      <c r="H31" s="789">
        <v>2</v>
      </c>
    </row>
    <row r="32" spans="1:8">
      <c r="A32" s="2058"/>
      <c r="B32" s="2059" t="s">
        <v>629</v>
      </c>
      <c r="C32" s="146" t="s">
        <v>630</v>
      </c>
      <c r="D32" s="147">
        <v>1</v>
      </c>
      <c r="E32" s="147" t="s">
        <v>581</v>
      </c>
      <c r="F32" s="148">
        <f t="shared" si="1"/>
        <v>1</v>
      </c>
      <c r="G32" s="147" t="s">
        <v>1843</v>
      </c>
      <c r="H32" s="789">
        <v>1</v>
      </c>
    </row>
    <row r="33" spans="1:8">
      <c r="A33" s="2058"/>
      <c r="B33" s="2059"/>
      <c r="C33" s="146" t="s">
        <v>631</v>
      </c>
      <c r="D33" s="147">
        <v>1</v>
      </c>
      <c r="E33" s="147" t="s">
        <v>581</v>
      </c>
      <c r="F33" s="148">
        <f t="shared" si="1"/>
        <v>1</v>
      </c>
      <c r="G33" s="147" t="s">
        <v>1843</v>
      </c>
      <c r="H33" s="789">
        <v>1</v>
      </c>
    </row>
    <row r="34" spans="1:8">
      <c r="A34" s="2058"/>
      <c r="B34" s="2059"/>
      <c r="C34" s="146" t="s">
        <v>632</v>
      </c>
      <c r="D34" s="147">
        <v>1</v>
      </c>
      <c r="E34" s="147" t="s">
        <v>581</v>
      </c>
      <c r="F34" s="148">
        <f t="shared" si="1"/>
        <v>1</v>
      </c>
      <c r="G34" s="147" t="s">
        <v>1843</v>
      </c>
      <c r="H34" s="789">
        <v>1</v>
      </c>
    </row>
    <row r="35" spans="1:8">
      <c r="A35" s="2058"/>
      <c r="B35" s="146" t="s">
        <v>633</v>
      </c>
      <c r="C35" s="146" t="s">
        <v>634</v>
      </c>
      <c r="D35" s="147">
        <v>1</v>
      </c>
      <c r="E35" s="147" t="s">
        <v>581</v>
      </c>
      <c r="F35" s="148">
        <f t="shared" si="1"/>
        <v>1</v>
      </c>
      <c r="G35" s="147" t="s">
        <v>1843</v>
      </c>
      <c r="H35" s="789">
        <v>1</v>
      </c>
    </row>
    <row r="36" spans="1:8">
      <c r="A36" s="2058"/>
      <c r="B36" s="2059" t="s">
        <v>635</v>
      </c>
      <c r="C36" s="146" t="s">
        <v>636</v>
      </c>
      <c r="D36" s="147">
        <v>1</v>
      </c>
      <c r="E36" s="147" t="s">
        <v>581</v>
      </c>
      <c r="F36" s="148">
        <f t="shared" si="1"/>
        <v>1</v>
      </c>
      <c r="G36" s="147" t="s">
        <v>1843</v>
      </c>
      <c r="H36" s="789">
        <v>1</v>
      </c>
    </row>
    <row r="37" spans="1:8">
      <c r="A37" s="2058"/>
      <c r="B37" s="2059"/>
      <c r="C37" s="146" t="s">
        <v>637</v>
      </c>
      <c r="D37" s="147">
        <v>1</v>
      </c>
      <c r="E37" s="147" t="s">
        <v>581</v>
      </c>
      <c r="F37" s="148">
        <f t="shared" si="1"/>
        <v>1</v>
      </c>
      <c r="G37" s="147" t="s">
        <v>1843</v>
      </c>
      <c r="H37" s="789">
        <v>1</v>
      </c>
    </row>
    <row r="38" spans="1:8" ht="27" customHeight="1">
      <c r="A38" s="2058"/>
      <c r="B38" s="146" t="s">
        <v>638</v>
      </c>
      <c r="C38" s="146" t="s">
        <v>639</v>
      </c>
      <c r="D38" s="147">
        <v>2</v>
      </c>
      <c r="E38" s="147" t="s">
        <v>601</v>
      </c>
      <c r="F38" s="148"/>
      <c r="G38" s="147" t="s">
        <v>1844</v>
      </c>
      <c r="H38" s="789"/>
    </row>
    <row r="39" spans="1:8">
      <c r="A39" s="2058"/>
      <c r="B39" s="2059" t="s">
        <v>640</v>
      </c>
      <c r="C39" s="146" t="s">
        <v>641</v>
      </c>
      <c r="D39" s="147">
        <v>1</v>
      </c>
      <c r="E39" s="147" t="s">
        <v>601</v>
      </c>
      <c r="F39" s="148"/>
      <c r="G39" s="147" t="s">
        <v>1844</v>
      </c>
      <c r="H39" s="789"/>
    </row>
    <row r="40" spans="1:8">
      <c r="A40" s="2058"/>
      <c r="B40" s="2059"/>
      <c r="C40" s="146" t="s">
        <v>642</v>
      </c>
      <c r="D40" s="147">
        <v>1</v>
      </c>
      <c r="E40" s="147" t="s">
        <v>601</v>
      </c>
      <c r="F40" s="148"/>
      <c r="G40" s="147" t="s">
        <v>1844</v>
      </c>
      <c r="H40" s="789"/>
    </row>
    <row r="41" spans="1:8">
      <c r="A41" s="2058"/>
      <c r="B41" s="2059"/>
      <c r="C41" s="146" t="s">
        <v>643</v>
      </c>
      <c r="D41" s="147">
        <v>1</v>
      </c>
      <c r="E41" s="147" t="s">
        <v>601</v>
      </c>
      <c r="F41" s="148"/>
      <c r="G41" s="147" t="s">
        <v>1844</v>
      </c>
      <c r="H41" s="789"/>
    </row>
    <row r="42" spans="1:8">
      <c r="A42" s="2058"/>
      <c r="B42" s="2059"/>
      <c r="C42" s="151" t="s">
        <v>644</v>
      </c>
      <c r="D42" s="147">
        <v>1</v>
      </c>
      <c r="E42" s="147" t="s">
        <v>601</v>
      </c>
      <c r="F42" s="148"/>
      <c r="G42" s="147" t="s">
        <v>1844</v>
      </c>
      <c r="H42" s="789"/>
    </row>
    <row r="43" spans="1:8">
      <c r="A43" s="2058"/>
      <c r="B43" s="2059" t="s">
        <v>645</v>
      </c>
      <c r="C43" s="146" t="s">
        <v>646</v>
      </c>
      <c r="D43" s="147">
        <v>1</v>
      </c>
      <c r="E43" s="147" t="s">
        <v>581</v>
      </c>
      <c r="F43" s="148">
        <f>D43</f>
        <v>1</v>
      </c>
      <c r="G43" s="147" t="s">
        <v>1843</v>
      </c>
      <c r="H43" s="789">
        <v>1</v>
      </c>
    </row>
    <row r="44" spans="1:8" ht="27" customHeight="1">
      <c r="A44" s="2058"/>
      <c r="B44" s="2059"/>
      <c r="C44" s="146" t="s">
        <v>647</v>
      </c>
      <c r="D44" s="147">
        <v>1</v>
      </c>
      <c r="E44" s="147" t="s">
        <v>581</v>
      </c>
      <c r="F44" s="148">
        <f t="shared" ref="F44:F65" si="2">D44</f>
        <v>1</v>
      </c>
      <c r="G44" s="147" t="s">
        <v>1843</v>
      </c>
      <c r="H44" s="789">
        <v>1</v>
      </c>
    </row>
    <row r="45" spans="1:8">
      <c r="A45" s="2058"/>
      <c r="B45" s="2059"/>
      <c r="C45" s="146" t="s">
        <v>648</v>
      </c>
      <c r="D45" s="147">
        <v>1</v>
      </c>
      <c r="E45" s="147" t="s">
        <v>581</v>
      </c>
      <c r="F45" s="148">
        <f t="shared" si="2"/>
        <v>1</v>
      </c>
      <c r="G45" s="147" t="s">
        <v>1843</v>
      </c>
      <c r="H45" s="789">
        <v>1</v>
      </c>
    </row>
    <row r="46" spans="1:8">
      <c r="A46" s="2058"/>
      <c r="B46" s="2059"/>
      <c r="C46" s="146" t="s">
        <v>649</v>
      </c>
      <c r="D46" s="147">
        <v>1</v>
      </c>
      <c r="E46" s="147" t="s">
        <v>581</v>
      </c>
      <c r="F46" s="148">
        <f t="shared" si="2"/>
        <v>1</v>
      </c>
      <c r="G46" s="147" t="s">
        <v>1843</v>
      </c>
      <c r="H46" s="789">
        <v>1</v>
      </c>
    </row>
    <row r="47" spans="1:8">
      <c r="A47" s="2058"/>
      <c r="B47" s="2059"/>
      <c r="C47" s="146" t="s">
        <v>650</v>
      </c>
      <c r="D47" s="147">
        <v>1</v>
      </c>
      <c r="E47" s="147" t="s">
        <v>581</v>
      </c>
      <c r="F47" s="148">
        <f t="shared" si="2"/>
        <v>1</v>
      </c>
      <c r="G47" s="147" t="s">
        <v>1843</v>
      </c>
      <c r="H47" s="789">
        <v>1</v>
      </c>
    </row>
    <row r="48" spans="1:8">
      <c r="A48" s="2058"/>
      <c r="B48" s="2059" t="s">
        <v>651</v>
      </c>
      <c r="C48" s="146" t="s">
        <v>652</v>
      </c>
      <c r="D48" s="147">
        <v>1</v>
      </c>
      <c r="E48" s="147" t="s">
        <v>581</v>
      </c>
      <c r="F48" s="148">
        <f t="shared" si="2"/>
        <v>1</v>
      </c>
      <c r="G48" s="147" t="s">
        <v>1843</v>
      </c>
      <c r="H48" s="789">
        <v>1</v>
      </c>
    </row>
    <row r="49" spans="1:8">
      <c r="A49" s="2058"/>
      <c r="B49" s="2059"/>
      <c r="C49" s="146" t="s">
        <v>653</v>
      </c>
      <c r="D49" s="147">
        <v>1</v>
      </c>
      <c r="E49" s="147" t="s">
        <v>581</v>
      </c>
      <c r="F49" s="148">
        <f t="shared" si="2"/>
        <v>1</v>
      </c>
      <c r="G49" s="147" t="s">
        <v>1843</v>
      </c>
      <c r="H49" s="789">
        <v>1</v>
      </c>
    </row>
    <row r="50" spans="1:8" ht="27">
      <c r="A50" s="2058"/>
      <c r="B50" s="2059"/>
      <c r="C50" s="146" t="s">
        <v>654</v>
      </c>
      <c r="D50" s="147">
        <v>1</v>
      </c>
      <c r="E50" s="147" t="s">
        <v>581</v>
      </c>
      <c r="F50" s="148">
        <f t="shared" si="2"/>
        <v>1</v>
      </c>
      <c r="G50" s="147" t="s">
        <v>1843</v>
      </c>
      <c r="H50" s="789">
        <v>1</v>
      </c>
    </row>
    <row r="51" spans="1:8">
      <c r="A51" s="2058" t="s">
        <v>619</v>
      </c>
      <c r="B51" s="146" t="s">
        <v>651</v>
      </c>
      <c r="C51" s="146" t="s">
        <v>655</v>
      </c>
      <c r="D51" s="147">
        <v>1</v>
      </c>
      <c r="E51" s="147" t="s">
        <v>581</v>
      </c>
      <c r="F51" s="148">
        <f t="shared" si="2"/>
        <v>1</v>
      </c>
      <c r="G51" s="147" t="s">
        <v>1843</v>
      </c>
      <c r="H51" s="789">
        <v>1</v>
      </c>
    </row>
    <row r="52" spans="1:8">
      <c r="A52" s="2058"/>
      <c r="B52" s="2059" t="s">
        <v>656</v>
      </c>
      <c r="C52" s="146" t="s">
        <v>657</v>
      </c>
      <c r="D52" s="147">
        <v>1</v>
      </c>
      <c r="E52" s="147" t="s">
        <v>581</v>
      </c>
      <c r="F52" s="148">
        <f t="shared" si="2"/>
        <v>1</v>
      </c>
      <c r="G52" s="147" t="s">
        <v>1843</v>
      </c>
      <c r="H52" s="789">
        <v>1</v>
      </c>
    </row>
    <row r="53" spans="1:8">
      <c r="A53" s="2058"/>
      <c r="B53" s="2059"/>
      <c r="C53" s="146" t="s">
        <v>658</v>
      </c>
      <c r="D53" s="147">
        <v>2</v>
      </c>
      <c r="E53" s="147" t="s">
        <v>581</v>
      </c>
      <c r="F53" s="148">
        <f t="shared" si="2"/>
        <v>2</v>
      </c>
      <c r="G53" s="147" t="s">
        <v>1843</v>
      </c>
      <c r="H53" s="789">
        <v>2</v>
      </c>
    </row>
    <row r="54" spans="1:8">
      <c r="A54" s="2058"/>
      <c r="B54" s="2059"/>
      <c r="C54" s="146" t="s">
        <v>659</v>
      </c>
      <c r="D54" s="147">
        <v>2</v>
      </c>
      <c r="E54" s="147" t="s">
        <v>581</v>
      </c>
      <c r="F54" s="148">
        <f t="shared" si="2"/>
        <v>2</v>
      </c>
      <c r="G54" s="147" t="s">
        <v>1843</v>
      </c>
      <c r="H54" s="789">
        <v>2</v>
      </c>
    </row>
    <row r="55" spans="1:8">
      <c r="A55" s="2058"/>
      <c r="B55" s="2059"/>
      <c r="C55" s="146" t="s">
        <v>660</v>
      </c>
      <c r="D55" s="147">
        <v>2</v>
      </c>
      <c r="E55" s="147" t="s">
        <v>581</v>
      </c>
      <c r="F55" s="148">
        <f t="shared" si="2"/>
        <v>2</v>
      </c>
      <c r="G55" s="147" t="s">
        <v>1843</v>
      </c>
      <c r="H55" s="789">
        <v>2</v>
      </c>
    </row>
    <row r="56" spans="1:8">
      <c r="A56" s="2058"/>
      <c r="B56" s="2059"/>
      <c r="C56" s="146" t="s">
        <v>661</v>
      </c>
      <c r="D56" s="147">
        <v>2</v>
      </c>
      <c r="E56" s="147" t="s">
        <v>581</v>
      </c>
      <c r="F56" s="148">
        <f t="shared" si="2"/>
        <v>2</v>
      </c>
      <c r="G56" s="147" t="s">
        <v>1843</v>
      </c>
      <c r="H56" s="789">
        <v>2</v>
      </c>
    </row>
    <row r="57" spans="1:8">
      <c r="A57" s="2058"/>
      <c r="B57" s="2059" t="s">
        <v>662</v>
      </c>
      <c r="C57" s="152" t="s">
        <v>663</v>
      </c>
      <c r="D57" s="147">
        <v>1</v>
      </c>
      <c r="E57" s="147" t="s">
        <v>581</v>
      </c>
      <c r="F57" s="148">
        <f t="shared" si="2"/>
        <v>1</v>
      </c>
      <c r="G57" s="147" t="s">
        <v>1843</v>
      </c>
      <c r="H57" s="789">
        <v>1</v>
      </c>
    </row>
    <row r="58" spans="1:8">
      <c r="A58" s="2058"/>
      <c r="B58" s="2059"/>
      <c r="C58" s="152" t="s">
        <v>664</v>
      </c>
      <c r="D58" s="147">
        <v>1</v>
      </c>
      <c r="E58" s="147" t="s">
        <v>581</v>
      </c>
      <c r="F58" s="148">
        <f t="shared" si="2"/>
        <v>1</v>
      </c>
      <c r="G58" s="147" t="s">
        <v>1843</v>
      </c>
      <c r="H58" s="789">
        <v>1</v>
      </c>
    </row>
    <row r="59" spans="1:8" ht="27">
      <c r="A59" s="2058"/>
      <c r="B59" s="2059"/>
      <c r="C59" s="152" t="s">
        <v>665</v>
      </c>
      <c r="D59" s="147">
        <v>1</v>
      </c>
      <c r="E59" s="147" t="s">
        <v>581</v>
      </c>
      <c r="F59" s="148">
        <f t="shared" si="2"/>
        <v>1</v>
      </c>
      <c r="G59" s="147" t="s">
        <v>1843</v>
      </c>
      <c r="H59" s="789">
        <v>1</v>
      </c>
    </row>
    <row r="60" spans="1:8">
      <c r="A60" s="2058" t="s">
        <v>666</v>
      </c>
      <c r="B60" s="146" t="s">
        <v>667</v>
      </c>
      <c r="C60" s="146" t="s">
        <v>668</v>
      </c>
      <c r="D60" s="147">
        <v>1</v>
      </c>
      <c r="E60" s="147" t="s">
        <v>581</v>
      </c>
      <c r="F60" s="148">
        <f t="shared" si="2"/>
        <v>1</v>
      </c>
      <c r="G60" s="147" t="s">
        <v>1843</v>
      </c>
      <c r="H60" s="789">
        <v>1</v>
      </c>
    </row>
    <row r="61" spans="1:8">
      <c r="A61" s="2058"/>
      <c r="B61" s="2059" t="s">
        <v>669</v>
      </c>
      <c r="C61" s="146" t="s">
        <v>670</v>
      </c>
      <c r="D61" s="147">
        <v>1</v>
      </c>
      <c r="E61" s="147" t="s">
        <v>581</v>
      </c>
      <c r="F61" s="148">
        <f t="shared" si="2"/>
        <v>1</v>
      </c>
      <c r="G61" s="147" t="s">
        <v>1843</v>
      </c>
      <c r="H61" s="789">
        <v>1</v>
      </c>
    </row>
    <row r="62" spans="1:8">
      <c r="A62" s="2058"/>
      <c r="B62" s="2059"/>
      <c r="C62" s="146" t="s">
        <v>671</v>
      </c>
      <c r="D62" s="147">
        <v>1</v>
      </c>
      <c r="E62" s="147" t="s">
        <v>581</v>
      </c>
      <c r="F62" s="148">
        <f t="shared" si="2"/>
        <v>1</v>
      </c>
      <c r="G62" s="147" t="s">
        <v>1843</v>
      </c>
      <c r="H62" s="789">
        <v>1</v>
      </c>
    </row>
    <row r="63" spans="1:8" ht="27">
      <c r="A63" s="2058"/>
      <c r="B63" s="146" t="s">
        <v>672</v>
      </c>
      <c r="C63" s="146" t="s">
        <v>673</v>
      </c>
      <c r="D63" s="147">
        <v>1</v>
      </c>
      <c r="E63" s="147" t="s">
        <v>581</v>
      </c>
      <c r="F63" s="148">
        <f t="shared" si="2"/>
        <v>1</v>
      </c>
      <c r="G63" s="147" t="s">
        <v>1843</v>
      </c>
      <c r="H63" s="789">
        <v>1</v>
      </c>
    </row>
    <row r="64" spans="1:8">
      <c r="A64" s="2058"/>
      <c r="B64" s="2059" t="s">
        <v>674</v>
      </c>
      <c r="C64" s="146" t="s">
        <v>675</v>
      </c>
      <c r="D64" s="147">
        <v>1</v>
      </c>
      <c r="E64" s="147" t="s">
        <v>581</v>
      </c>
      <c r="F64" s="148">
        <f t="shared" si="2"/>
        <v>1</v>
      </c>
      <c r="G64" s="147" t="s">
        <v>1843</v>
      </c>
      <c r="H64" s="789">
        <v>1</v>
      </c>
    </row>
    <row r="65" spans="1:8">
      <c r="A65" s="2058"/>
      <c r="B65" s="2059"/>
      <c r="C65" s="146" t="s">
        <v>676</v>
      </c>
      <c r="D65" s="147">
        <v>1</v>
      </c>
      <c r="E65" s="147" t="s">
        <v>581</v>
      </c>
      <c r="F65" s="148">
        <f t="shared" si="2"/>
        <v>1</v>
      </c>
      <c r="G65" s="147" t="s">
        <v>1843</v>
      </c>
      <c r="H65" s="789">
        <v>1</v>
      </c>
    </row>
    <row r="66" spans="1:8">
      <c r="A66" s="2058"/>
      <c r="B66" s="792" t="s">
        <v>677</v>
      </c>
      <c r="C66" s="146" t="s">
        <v>678</v>
      </c>
      <c r="D66" s="147">
        <v>1</v>
      </c>
      <c r="E66" s="149" t="s">
        <v>607</v>
      </c>
      <c r="F66" s="150">
        <v>0</v>
      </c>
      <c r="G66" s="788" t="s">
        <v>1845</v>
      </c>
      <c r="H66" s="791">
        <v>0</v>
      </c>
    </row>
    <row r="67" spans="1:8">
      <c r="A67" s="2058"/>
      <c r="B67" s="146" t="s">
        <v>679</v>
      </c>
      <c r="C67" s="146" t="s">
        <v>680</v>
      </c>
      <c r="D67" s="147">
        <v>1</v>
      </c>
      <c r="E67" s="147" t="s">
        <v>581</v>
      </c>
      <c r="F67" s="148">
        <f>D67</f>
        <v>1</v>
      </c>
      <c r="G67" s="147" t="s">
        <v>1843</v>
      </c>
      <c r="H67" s="789">
        <v>1</v>
      </c>
    </row>
    <row r="68" spans="1:8">
      <c r="A68" s="2058" t="s">
        <v>681</v>
      </c>
      <c r="B68" s="2059" t="s">
        <v>682</v>
      </c>
      <c r="C68" s="146" t="s">
        <v>683</v>
      </c>
      <c r="D68" s="147">
        <v>2</v>
      </c>
      <c r="E68" s="147" t="s">
        <v>601</v>
      </c>
      <c r="F68" s="148"/>
      <c r="G68" s="147" t="s">
        <v>1844</v>
      </c>
      <c r="H68" s="789"/>
    </row>
    <row r="69" spans="1:8">
      <c r="A69" s="2058"/>
      <c r="B69" s="2059"/>
      <c r="C69" s="146" t="s">
        <v>684</v>
      </c>
      <c r="D69" s="147">
        <v>2</v>
      </c>
      <c r="E69" s="147" t="s">
        <v>601</v>
      </c>
      <c r="F69" s="148"/>
      <c r="G69" s="147" t="s">
        <v>1844</v>
      </c>
      <c r="H69" s="789"/>
    </row>
    <row r="70" spans="1:8">
      <c r="A70" s="2058"/>
      <c r="B70" s="146" t="s">
        <v>685</v>
      </c>
      <c r="C70" s="146" t="s">
        <v>686</v>
      </c>
      <c r="D70" s="147">
        <v>1</v>
      </c>
      <c r="E70" s="147" t="s">
        <v>581</v>
      </c>
      <c r="F70" s="148">
        <f>D70</f>
        <v>1</v>
      </c>
      <c r="G70" s="147" t="s">
        <v>1843</v>
      </c>
      <c r="H70" s="789">
        <v>1</v>
      </c>
    </row>
    <row r="71" spans="1:8">
      <c r="A71" s="2058"/>
      <c r="B71" s="2059" t="s">
        <v>687</v>
      </c>
      <c r="C71" s="146" t="s">
        <v>688</v>
      </c>
      <c r="D71" s="147">
        <v>1</v>
      </c>
      <c r="E71" s="147" t="s">
        <v>581</v>
      </c>
      <c r="F71" s="148">
        <f t="shared" ref="F71:F80" si="3">D71</f>
        <v>1</v>
      </c>
      <c r="G71" s="147" t="s">
        <v>1843</v>
      </c>
      <c r="H71" s="789">
        <v>1</v>
      </c>
    </row>
    <row r="72" spans="1:8">
      <c r="A72" s="2058"/>
      <c r="B72" s="2059"/>
      <c r="C72" s="146" t="s">
        <v>689</v>
      </c>
      <c r="D72" s="147">
        <v>1</v>
      </c>
      <c r="E72" s="147" t="s">
        <v>581</v>
      </c>
      <c r="F72" s="148">
        <f t="shared" si="3"/>
        <v>1</v>
      </c>
      <c r="G72" s="147" t="s">
        <v>1843</v>
      </c>
      <c r="H72" s="789">
        <v>1</v>
      </c>
    </row>
    <row r="73" spans="1:8">
      <c r="A73" s="2058"/>
      <c r="B73" s="146" t="s">
        <v>690</v>
      </c>
      <c r="C73" s="146" t="s">
        <v>691</v>
      </c>
      <c r="D73" s="147">
        <v>1</v>
      </c>
      <c r="E73" s="147" t="s">
        <v>581</v>
      </c>
      <c r="F73" s="148">
        <f t="shared" si="3"/>
        <v>1</v>
      </c>
      <c r="G73" s="147" t="s">
        <v>1843</v>
      </c>
      <c r="H73" s="789">
        <v>1</v>
      </c>
    </row>
    <row r="74" spans="1:8">
      <c r="A74" s="2058"/>
      <c r="B74" s="2059" t="s">
        <v>692</v>
      </c>
      <c r="C74" s="146" t="s">
        <v>693</v>
      </c>
      <c r="D74" s="147">
        <v>2</v>
      </c>
      <c r="E74" s="147" t="s">
        <v>581</v>
      </c>
      <c r="F74" s="148">
        <f t="shared" si="3"/>
        <v>2</v>
      </c>
      <c r="G74" s="147" t="s">
        <v>1843</v>
      </c>
      <c r="H74" s="789">
        <v>2</v>
      </c>
    </row>
    <row r="75" spans="1:8">
      <c r="A75" s="2058"/>
      <c r="B75" s="2059"/>
      <c r="C75" s="146" t="s">
        <v>694</v>
      </c>
      <c r="D75" s="147">
        <v>2</v>
      </c>
      <c r="E75" s="147" t="s">
        <v>581</v>
      </c>
      <c r="F75" s="148">
        <f t="shared" si="3"/>
        <v>2</v>
      </c>
      <c r="G75" s="147" t="s">
        <v>1843</v>
      </c>
      <c r="H75" s="789">
        <v>2</v>
      </c>
    </row>
    <row r="76" spans="1:8">
      <c r="A76" s="2058" t="s">
        <v>681</v>
      </c>
      <c r="B76" s="146" t="s">
        <v>695</v>
      </c>
      <c r="C76" s="146" t="s">
        <v>696</v>
      </c>
      <c r="D76" s="147">
        <v>1</v>
      </c>
      <c r="E76" s="147" t="s">
        <v>581</v>
      </c>
      <c r="F76" s="148">
        <f t="shared" si="3"/>
        <v>1</v>
      </c>
      <c r="G76" s="147" t="s">
        <v>1843</v>
      </c>
      <c r="H76" s="789">
        <v>1</v>
      </c>
    </row>
    <row r="77" spans="1:8">
      <c r="A77" s="2058"/>
      <c r="B77" s="146" t="s">
        <v>697</v>
      </c>
      <c r="C77" s="146" t="s">
        <v>698</v>
      </c>
      <c r="D77" s="147">
        <v>1</v>
      </c>
      <c r="E77" s="147" t="s">
        <v>581</v>
      </c>
      <c r="F77" s="148">
        <f t="shared" si="3"/>
        <v>1</v>
      </c>
      <c r="G77" s="147" t="s">
        <v>1843</v>
      </c>
      <c r="H77" s="789">
        <v>1</v>
      </c>
    </row>
    <row r="78" spans="1:8">
      <c r="A78" s="2058"/>
      <c r="B78" s="146" t="s">
        <v>699</v>
      </c>
      <c r="C78" s="146" t="s">
        <v>700</v>
      </c>
      <c r="D78" s="147">
        <v>1</v>
      </c>
      <c r="E78" s="147" t="s">
        <v>581</v>
      </c>
      <c r="F78" s="148">
        <f t="shared" si="3"/>
        <v>1</v>
      </c>
      <c r="G78" s="147" t="s">
        <v>1843</v>
      </c>
      <c r="H78" s="789">
        <v>1</v>
      </c>
    </row>
    <row r="79" spans="1:8">
      <c r="A79" s="2058"/>
      <c r="B79" s="2059" t="s">
        <v>701</v>
      </c>
      <c r="C79" s="146" t="s">
        <v>702</v>
      </c>
      <c r="D79" s="147">
        <v>2</v>
      </c>
      <c r="E79" s="147" t="s">
        <v>581</v>
      </c>
      <c r="F79" s="148">
        <f t="shared" si="3"/>
        <v>2</v>
      </c>
      <c r="G79" s="147" t="s">
        <v>1843</v>
      </c>
      <c r="H79" s="789">
        <v>2</v>
      </c>
    </row>
    <row r="80" spans="1:8">
      <c r="A80" s="2058"/>
      <c r="B80" s="2059"/>
      <c r="C80" s="146" t="s">
        <v>703</v>
      </c>
      <c r="D80" s="147">
        <v>2</v>
      </c>
      <c r="E80" s="147" t="s">
        <v>581</v>
      </c>
      <c r="F80" s="148">
        <f t="shared" si="3"/>
        <v>2</v>
      </c>
      <c r="G80" s="147" t="s">
        <v>1843</v>
      </c>
      <c r="H80" s="789">
        <v>2</v>
      </c>
    </row>
    <row r="81" spans="1:8">
      <c r="A81" s="2060" t="s">
        <v>704</v>
      </c>
      <c r="B81" s="2060"/>
      <c r="C81" s="2060"/>
      <c r="D81" s="147">
        <f>SUM(D4:D80)</f>
        <v>100</v>
      </c>
      <c r="E81" s="147"/>
      <c r="F81" s="153">
        <f>SUM(F4:F80)</f>
        <v>87</v>
      </c>
      <c r="G81" s="147"/>
      <c r="H81" s="153">
        <v>88</v>
      </c>
    </row>
    <row r="82" spans="1:8">
      <c r="A82" s="796"/>
      <c r="B82" s="842" t="s">
        <v>1895</v>
      </c>
      <c r="C82" s="796"/>
      <c r="D82" s="147"/>
      <c r="E82" s="147"/>
      <c r="F82" s="153">
        <f>F81*100%</f>
        <v>87</v>
      </c>
      <c r="G82" s="841"/>
      <c r="H82" s="153">
        <f>H81*100%</f>
        <v>88</v>
      </c>
    </row>
    <row r="83" spans="1:8">
      <c r="A83" s="796"/>
      <c r="B83" s="842" t="s">
        <v>1896</v>
      </c>
      <c r="C83" s="796"/>
      <c r="D83" s="147"/>
      <c r="E83" s="147"/>
      <c r="F83" s="153">
        <f>F82/9</f>
        <v>9.6666666666666661</v>
      </c>
      <c r="G83" s="841"/>
      <c r="H83" s="153">
        <f>H82/9</f>
        <v>9.7777777777777786</v>
      </c>
    </row>
    <row r="84" spans="1:8">
      <c r="A84" s="796"/>
      <c r="B84" s="842" t="s">
        <v>1894</v>
      </c>
      <c r="C84" s="796"/>
      <c r="D84" s="147"/>
      <c r="E84" s="147"/>
      <c r="F84" s="153">
        <f>F83/2</f>
        <v>4.833333333333333</v>
      </c>
      <c r="G84" s="841"/>
      <c r="H84" s="153">
        <f>H83/2</f>
        <v>4.8888888888888893</v>
      </c>
    </row>
    <row r="85" spans="1:8">
      <c r="A85" s="2061" t="s">
        <v>705</v>
      </c>
      <c r="B85" s="2061"/>
      <c r="C85" s="2061"/>
      <c r="D85" s="2061"/>
      <c r="E85" s="2061"/>
      <c r="F85" s="2061"/>
      <c r="G85" s="782"/>
    </row>
    <row r="86" spans="1:8">
      <c r="A86" s="2056" t="s">
        <v>706</v>
      </c>
      <c r="B86" s="2056"/>
      <c r="C86" s="2056"/>
      <c r="D86" s="2056"/>
      <c r="E86" s="2056"/>
      <c r="F86" s="2056"/>
      <c r="G86" s="783"/>
    </row>
    <row r="87" spans="1:8">
      <c r="A87" s="2056" t="s">
        <v>707</v>
      </c>
      <c r="B87" s="2056"/>
      <c r="C87" s="2056"/>
      <c r="D87" s="2056"/>
      <c r="E87" s="2056"/>
      <c r="F87" s="2056"/>
      <c r="G87" s="783"/>
    </row>
    <row r="88" spans="1:8">
      <c r="A88" s="2056" t="s">
        <v>708</v>
      </c>
      <c r="B88" s="2056"/>
      <c r="C88" s="2056"/>
      <c r="D88" s="2056"/>
      <c r="E88" s="2056"/>
      <c r="F88" s="2056"/>
      <c r="G88" s="783"/>
    </row>
    <row r="89" spans="1:8">
      <c r="A89" s="2056" t="s">
        <v>709</v>
      </c>
      <c r="B89" s="2056"/>
      <c r="C89" s="2056"/>
      <c r="D89" s="2056"/>
      <c r="E89" s="2056"/>
      <c r="F89" s="2056"/>
      <c r="G89" s="783"/>
    </row>
    <row r="90" spans="1:8">
      <c r="A90" s="2056" t="s">
        <v>710</v>
      </c>
      <c r="B90" s="2056"/>
      <c r="C90" s="2056"/>
      <c r="D90" s="2056"/>
      <c r="E90" s="2056"/>
      <c r="F90" s="2056"/>
      <c r="G90" s="783"/>
    </row>
    <row r="91" spans="1:8">
      <c r="A91" s="2056" t="s">
        <v>711</v>
      </c>
      <c r="B91" s="2056"/>
      <c r="C91" s="2056"/>
      <c r="D91" s="2056"/>
      <c r="E91" s="2056"/>
      <c r="F91" s="2056"/>
      <c r="G91" s="783"/>
    </row>
    <row r="92" spans="1:8">
      <c r="A92" s="2056" t="s">
        <v>712</v>
      </c>
      <c r="B92" s="2056"/>
      <c r="C92" s="2056"/>
      <c r="D92" s="2056"/>
      <c r="E92" s="2056"/>
      <c r="F92" s="2056"/>
      <c r="G92" s="783"/>
    </row>
    <row r="93" spans="1:8">
      <c r="A93" s="2056" t="s">
        <v>713</v>
      </c>
      <c r="B93" s="2056"/>
      <c r="C93" s="2056"/>
      <c r="D93" s="2056"/>
      <c r="E93" s="2056"/>
      <c r="F93" s="2056"/>
      <c r="G93" s="783"/>
    </row>
    <row r="94" spans="1:8">
      <c r="A94" s="2057" t="s">
        <v>714</v>
      </c>
      <c r="B94" s="2057"/>
      <c r="C94" s="2057"/>
      <c r="D94" s="2057"/>
      <c r="E94" s="2057"/>
      <c r="F94" s="2057"/>
      <c r="G94" s="784"/>
    </row>
    <row r="95" spans="1:8">
      <c r="A95" s="2057" t="s">
        <v>715</v>
      </c>
      <c r="B95" s="2057"/>
      <c r="C95" s="2057"/>
      <c r="D95" s="2057"/>
      <c r="E95" s="2057"/>
      <c r="F95" s="2057"/>
      <c r="G95" s="784"/>
    </row>
    <row r="96" spans="1:8">
      <c r="A96" s="2055" t="s">
        <v>716</v>
      </c>
      <c r="B96" s="2055"/>
      <c r="C96" s="2055"/>
      <c r="D96" s="2055"/>
      <c r="E96" s="2055"/>
      <c r="F96" s="2055"/>
      <c r="G96" s="785"/>
    </row>
    <row r="101" spans="1:1">
      <c r="A101" s="843" t="s">
        <v>1897</v>
      </c>
    </row>
    <row r="102" spans="1:1">
      <c r="A102" s="876" t="s">
        <v>1944</v>
      </c>
    </row>
  </sheetData>
  <mergeCells count="46">
    <mergeCell ref="G2:H2"/>
    <mergeCell ref="E2:F2"/>
    <mergeCell ref="A4:A10"/>
    <mergeCell ref="B5:B6"/>
    <mergeCell ref="B7:B8"/>
    <mergeCell ref="A11:A20"/>
    <mergeCell ref="B11:B12"/>
    <mergeCell ref="B13:B14"/>
    <mergeCell ref="B16:B17"/>
    <mergeCell ref="B19:B20"/>
    <mergeCell ref="A21:A25"/>
    <mergeCell ref="B21:B22"/>
    <mergeCell ref="B23:B25"/>
    <mergeCell ref="A26:A50"/>
    <mergeCell ref="B26:B28"/>
    <mergeCell ref="B29:B30"/>
    <mergeCell ref="B32:B34"/>
    <mergeCell ref="B36:B37"/>
    <mergeCell ref="B39:B42"/>
    <mergeCell ref="B43:B47"/>
    <mergeCell ref="B48:B50"/>
    <mergeCell ref="A51:A59"/>
    <mergeCell ref="B52:B56"/>
    <mergeCell ref="B57:B59"/>
    <mergeCell ref="A60:A67"/>
    <mergeCell ref="B61:B62"/>
    <mergeCell ref="B64:B65"/>
    <mergeCell ref="A89:F89"/>
    <mergeCell ref="A68:A75"/>
    <mergeCell ref="B68:B69"/>
    <mergeCell ref="B71:B72"/>
    <mergeCell ref="B74:B75"/>
    <mergeCell ref="A76:A80"/>
    <mergeCell ref="B79:B80"/>
    <mergeCell ref="A81:C81"/>
    <mergeCell ref="A85:F85"/>
    <mergeCell ref="A86:F86"/>
    <mergeCell ref="A87:F87"/>
    <mergeCell ref="A88:F88"/>
    <mergeCell ref="A96:F96"/>
    <mergeCell ref="A90:F90"/>
    <mergeCell ref="A91:F91"/>
    <mergeCell ref="A92:F92"/>
    <mergeCell ref="A93:F93"/>
    <mergeCell ref="A94:F94"/>
    <mergeCell ref="A95:F95"/>
  </mergeCells>
  <phoneticPr fontId="3" type="noConversion"/>
  <hyperlinks>
    <hyperlink ref="A101" location="权重!A1" display="权重!A1"/>
    <hyperlink ref="A102" location="目录!A1" display="目录!A1"/>
  </hyperlinks>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42"/>
  <sheetViews>
    <sheetView workbookViewId="0">
      <pane xSplit="1" ySplit="2" topLeftCell="B3" activePane="bottomRight" state="frozen"/>
      <selection activeCell="A3" sqref="A3:B3"/>
      <selection pane="topRight" activeCell="A3" sqref="A3:B3"/>
      <selection pane="bottomLeft" activeCell="A3" sqref="A3:B3"/>
      <selection pane="bottomRight" activeCell="K18" sqref="K18"/>
    </sheetView>
  </sheetViews>
  <sheetFormatPr defaultColWidth="8.875" defaultRowHeight="13.5"/>
  <cols>
    <col min="1" max="1" width="12.875" bestFit="1" customWidth="1"/>
    <col min="2" max="2" width="9.75" bestFit="1" customWidth="1"/>
    <col min="3" max="3" width="28" style="206" bestFit="1" customWidth="1"/>
    <col min="4" max="4" width="9.875" customWidth="1"/>
    <col min="5" max="5" width="8.875" style="32" customWidth="1"/>
    <col min="6" max="6" width="9.375" customWidth="1"/>
  </cols>
  <sheetData>
    <row r="1" spans="1:7" ht="30" customHeight="1">
      <c r="A1" s="2064" t="s">
        <v>1042</v>
      </c>
      <c r="B1" s="2064"/>
      <c r="C1" s="2064"/>
      <c r="D1" s="2064"/>
      <c r="E1" s="2064"/>
      <c r="F1" s="220"/>
      <c r="G1" s="220"/>
    </row>
    <row r="2" spans="1:7" s="204" customFormat="1" ht="30" customHeight="1">
      <c r="A2" s="203" t="s">
        <v>488</v>
      </c>
      <c r="B2" s="203" t="s">
        <v>1043</v>
      </c>
      <c r="C2" s="203" t="s">
        <v>1044</v>
      </c>
      <c r="D2" s="203" t="s">
        <v>489</v>
      </c>
      <c r="E2" s="203" t="s">
        <v>1732</v>
      </c>
      <c r="F2" s="203" t="s">
        <v>534</v>
      </c>
      <c r="G2" s="203" t="s">
        <v>1661</v>
      </c>
    </row>
    <row r="3" spans="1:7" s="204" customFormat="1" ht="27">
      <c r="A3" s="2033" t="s">
        <v>1045</v>
      </c>
      <c r="B3" s="102" t="s">
        <v>1046</v>
      </c>
      <c r="C3" s="198" t="s">
        <v>1047</v>
      </c>
      <c r="D3" s="102">
        <v>2</v>
      </c>
      <c r="E3" s="221">
        <v>2</v>
      </c>
      <c r="F3" s="252">
        <f>D3-E3</f>
        <v>0</v>
      </c>
      <c r="G3" s="459">
        <v>2</v>
      </c>
    </row>
    <row r="4" spans="1:7" s="204" customFormat="1">
      <c r="A4" s="2034"/>
      <c r="B4" s="102" t="s">
        <v>1048</v>
      </c>
      <c r="C4" s="198" t="s">
        <v>1049</v>
      </c>
      <c r="D4" s="102">
        <v>4</v>
      </c>
      <c r="E4" s="222">
        <v>0</v>
      </c>
      <c r="F4" s="252">
        <f t="shared" ref="F4:F32" si="0">D4-E4</f>
        <v>4</v>
      </c>
      <c r="G4" s="460">
        <v>0</v>
      </c>
    </row>
    <row r="5" spans="1:7" s="204" customFormat="1">
      <c r="A5" s="2063" t="s">
        <v>1050</v>
      </c>
      <c r="B5" s="102" t="s">
        <v>1051</v>
      </c>
      <c r="C5" s="198" t="s">
        <v>1052</v>
      </c>
      <c r="D5" s="102">
        <v>2</v>
      </c>
      <c r="E5" s="221">
        <v>2</v>
      </c>
      <c r="F5" s="252">
        <f t="shared" si="0"/>
        <v>0</v>
      </c>
      <c r="G5" s="459">
        <v>2</v>
      </c>
    </row>
    <row r="6" spans="1:7" s="204" customFormat="1" ht="40.5">
      <c r="A6" s="2063"/>
      <c r="B6" s="102" t="s">
        <v>1053</v>
      </c>
      <c r="C6" s="198" t="s">
        <v>1054</v>
      </c>
      <c r="D6" s="102">
        <v>4</v>
      </c>
      <c r="E6" s="221">
        <v>4</v>
      </c>
      <c r="F6" s="252">
        <f t="shared" si="0"/>
        <v>0</v>
      </c>
      <c r="G6" s="459">
        <v>4</v>
      </c>
    </row>
    <row r="7" spans="1:7" s="204" customFormat="1" ht="27">
      <c r="A7" s="2063"/>
      <c r="B7" s="102" t="s">
        <v>1055</v>
      </c>
      <c r="C7" s="198" t="s">
        <v>1056</v>
      </c>
      <c r="D7" s="102">
        <v>2</v>
      </c>
      <c r="E7" s="221">
        <v>2</v>
      </c>
      <c r="F7" s="252">
        <f t="shared" si="0"/>
        <v>0</v>
      </c>
      <c r="G7" s="459">
        <v>2</v>
      </c>
    </row>
    <row r="8" spans="1:7" s="204" customFormat="1" ht="27">
      <c r="A8" s="2063"/>
      <c r="B8" s="102" t="s">
        <v>1057</v>
      </c>
      <c r="C8" s="198" t="s">
        <v>1058</v>
      </c>
      <c r="D8" s="102">
        <v>2</v>
      </c>
      <c r="E8" s="221">
        <v>2</v>
      </c>
      <c r="F8" s="252">
        <f t="shared" si="0"/>
        <v>0</v>
      </c>
      <c r="G8" s="459">
        <v>2</v>
      </c>
    </row>
    <row r="9" spans="1:7" s="204" customFormat="1">
      <c r="A9" s="2063"/>
      <c r="B9" s="93" t="s">
        <v>1059</v>
      </c>
      <c r="C9" s="197"/>
      <c r="D9" s="93">
        <v>2</v>
      </c>
      <c r="E9" s="221">
        <v>2</v>
      </c>
      <c r="F9" s="252">
        <f t="shared" si="0"/>
        <v>0</v>
      </c>
      <c r="G9" s="459">
        <v>2</v>
      </c>
    </row>
    <row r="10" spans="1:7" s="204" customFormat="1">
      <c r="A10" s="2063"/>
      <c r="B10" s="93" t="s">
        <v>1060</v>
      </c>
      <c r="C10" s="197"/>
      <c r="D10" s="93">
        <v>2</v>
      </c>
      <c r="E10" s="221">
        <v>2</v>
      </c>
      <c r="F10" s="252">
        <f t="shared" si="0"/>
        <v>0</v>
      </c>
      <c r="G10" s="459">
        <v>2</v>
      </c>
    </row>
    <row r="11" spans="1:7" s="204" customFormat="1">
      <c r="A11" s="2063"/>
      <c r="B11" s="93" t="s">
        <v>1061</v>
      </c>
      <c r="C11" s="197"/>
      <c r="D11" s="93">
        <v>2</v>
      </c>
      <c r="E11" s="221">
        <v>2</v>
      </c>
      <c r="F11" s="252">
        <f t="shared" si="0"/>
        <v>0</v>
      </c>
      <c r="G11" s="459">
        <v>2</v>
      </c>
    </row>
    <row r="12" spans="1:7" s="204" customFormat="1">
      <c r="A12" s="2063"/>
      <c r="B12" s="93" t="s">
        <v>1062</v>
      </c>
      <c r="C12" s="197"/>
      <c r="D12" s="93">
        <v>2</v>
      </c>
      <c r="E12" s="221">
        <v>2</v>
      </c>
      <c r="F12" s="252">
        <f t="shared" si="0"/>
        <v>0</v>
      </c>
      <c r="G12" s="459">
        <v>2</v>
      </c>
    </row>
    <row r="13" spans="1:7" s="204" customFormat="1">
      <c r="A13" s="2063"/>
      <c r="B13" s="93" t="s">
        <v>1063</v>
      </c>
      <c r="C13" s="197"/>
      <c r="D13" s="93">
        <v>2</v>
      </c>
      <c r="E13" s="221">
        <v>2</v>
      </c>
      <c r="F13" s="252">
        <f t="shared" si="0"/>
        <v>0</v>
      </c>
      <c r="G13" s="459">
        <v>2</v>
      </c>
    </row>
    <row r="14" spans="1:7" s="204" customFormat="1">
      <c r="A14" s="2063" t="s">
        <v>1064</v>
      </c>
      <c r="B14" s="102" t="s">
        <v>1065</v>
      </c>
      <c r="C14" s="198" t="s">
        <v>1066</v>
      </c>
      <c r="D14" s="102">
        <v>1</v>
      </c>
      <c r="E14" s="221">
        <v>1</v>
      </c>
      <c r="F14" s="252">
        <f t="shared" si="0"/>
        <v>0</v>
      </c>
      <c r="G14" s="459">
        <v>1</v>
      </c>
    </row>
    <row r="15" spans="1:7" s="204" customFormat="1">
      <c r="A15" s="2063"/>
      <c r="B15" s="2065" t="s">
        <v>1067</v>
      </c>
      <c r="C15" s="198" t="s">
        <v>1068</v>
      </c>
      <c r="D15" s="102">
        <v>1</v>
      </c>
      <c r="E15" s="221">
        <v>1</v>
      </c>
      <c r="F15" s="252">
        <f t="shared" si="0"/>
        <v>0</v>
      </c>
      <c r="G15" s="459">
        <v>1</v>
      </c>
    </row>
    <row r="16" spans="1:7" s="204" customFormat="1">
      <c r="A16" s="2063"/>
      <c r="B16" s="2065"/>
      <c r="C16" s="198" t="s">
        <v>1069</v>
      </c>
      <c r="D16" s="102">
        <v>2</v>
      </c>
      <c r="E16" s="221">
        <v>2</v>
      </c>
      <c r="F16" s="252">
        <f t="shared" si="0"/>
        <v>0</v>
      </c>
      <c r="G16" s="459">
        <v>2</v>
      </c>
    </row>
    <row r="17" spans="1:7" s="204" customFormat="1">
      <c r="A17" s="2063"/>
      <c r="B17" s="2065"/>
      <c r="C17" s="198" t="s">
        <v>1070</v>
      </c>
      <c r="D17" s="102">
        <v>2</v>
      </c>
      <c r="E17" s="221" t="s">
        <v>1158</v>
      </c>
      <c r="F17" s="252" t="e">
        <f t="shared" si="0"/>
        <v>#VALUE!</v>
      </c>
      <c r="G17" s="459" t="s">
        <v>1741</v>
      </c>
    </row>
    <row r="18" spans="1:7" s="204" customFormat="1">
      <c r="A18" s="102" t="s">
        <v>1071</v>
      </c>
      <c r="B18" s="102" t="s">
        <v>1072</v>
      </c>
      <c r="C18" s="198" t="s">
        <v>1073</v>
      </c>
      <c r="D18" s="102">
        <v>5</v>
      </c>
      <c r="E18" s="221">
        <v>5</v>
      </c>
      <c r="F18" s="252">
        <f t="shared" si="0"/>
        <v>0</v>
      </c>
      <c r="G18" s="459">
        <v>5</v>
      </c>
    </row>
    <row r="19" spans="1:7" s="204" customFormat="1">
      <c r="A19" s="2063" t="s">
        <v>1074</v>
      </c>
      <c r="B19" s="2063" t="s">
        <v>1075</v>
      </c>
      <c r="C19" s="198" t="s">
        <v>1076</v>
      </c>
      <c r="D19" s="102">
        <v>5</v>
      </c>
      <c r="E19" s="221">
        <v>5</v>
      </c>
      <c r="F19" s="252">
        <f t="shared" si="0"/>
        <v>0</v>
      </c>
      <c r="G19" s="459">
        <v>5</v>
      </c>
    </row>
    <row r="20" spans="1:7" s="204" customFormat="1">
      <c r="A20" s="2063"/>
      <c r="B20" s="2063"/>
      <c r="C20" s="198" t="s">
        <v>1077</v>
      </c>
      <c r="D20" s="102">
        <v>1</v>
      </c>
      <c r="E20" s="221">
        <v>1</v>
      </c>
      <c r="F20" s="252">
        <f t="shared" si="0"/>
        <v>0</v>
      </c>
      <c r="G20" s="459">
        <v>1</v>
      </c>
    </row>
    <row r="21" spans="1:7" s="204" customFormat="1">
      <c r="A21" s="2063"/>
      <c r="B21" s="102" t="s">
        <v>1078</v>
      </c>
      <c r="C21" s="198" t="s">
        <v>1079</v>
      </c>
      <c r="D21" s="102">
        <v>5</v>
      </c>
      <c r="E21" s="221">
        <v>5</v>
      </c>
      <c r="F21" s="252">
        <f t="shared" si="0"/>
        <v>0</v>
      </c>
      <c r="G21" s="459">
        <v>5</v>
      </c>
    </row>
    <row r="22" spans="1:7" s="204" customFormat="1">
      <c r="A22" s="2063"/>
      <c r="B22" s="102" t="s">
        <v>1080</v>
      </c>
      <c r="C22" s="198" t="s">
        <v>1081</v>
      </c>
      <c r="D22" s="102">
        <v>5</v>
      </c>
      <c r="E22" s="221">
        <v>5</v>
      </c>
      <c r="F22" s="252">
        <f t="shared" si="0"/>
        <v>0</v>
      </c>
      <c r="G22" s="216">
        <v>5</v>
      </c>
    </row>
    <row r="23" spans="1:7" s="204" customFormat="1">
      <c r="A23" s="2063"/>
      <c r="B23" s="2063" t="s">
        <v>1082</v>
      </c>
      <c r="C23" s="198" t="s">
        <v>1083</v>
      </c>
      <c r="D23" s="102">
        <v>2</v>
      </c>
      <c r="E23" s="221">
        <v>2</v>
      </c>
      <c r="F23" s="252">
        <f t="shared" si="0"/>
        <v>0</v>
      </c>
      <c r="G23" s="216">
        <v>2</v>
      </c>
    </row>
    <row r="24" spans="1:7" s="204" customFormat="1">
      <c r="A24" s="2063"/>
      <c r="B24" s="2063"/>
      <c r="C24" s="198" t="s">
        <v>1084</v>
      </c>
      <c r="D24" s="102">
        <v>6</v>
      </c>
      <c r="E24" s="221">
        <v>6</v>
      </c>
      <c r="F24" s="252">
        <f t="shared" si="0"/>
        <v>0</v>
      </c>
      <c r="G24" s="216">
        <v>6</v>
      </c>
    </row>
    <row r="25" spans="1:7" s="204" customFormat="1" ht="27">
      <c r="A25" s="2063"/>
      <c r="B25" s="2063" t="s">
        <v>1085</v>
      </c>
      <c r="C25" s="198" t="s">
        <v>1086</v>
      </c>
      <c r="D25" s="102">
        <v>3</v>
      </c>
      <c r="E25" s="221">
        <v>3</v>
      </c>
      <c r="F25" s="252">
        <f t="shared" si="0"/>
        <v>0</v>
      </c>
      <c r="G25" s="216">
        <v>3</v>
      </c>
    </row>
    <row r="26" spans="1:7" s="204" customFormat="1">
      <c r="A26" s="2063"/>
      <c r="B26" s="2063"/>
      <c r="C26" s="198" t="s">
        <v>1087</v>
      </c>
      <c r="D26" s="102">
        <v>5</v>
      </c>
      <c r="E26" s="221">
        <v>5</v>
      </c>
      <c r="F26" s="252">
        <f t="shared" si="0"/>
        <v>0</v>
      </c>
      <c r="G26" s="216">
        <v>5</v>
      </c>
    </row>
    <row r="27" spans="1:7" s="204" customFormat="1" ht="27">
      <c r="A27" s="2063" t="s">
        <v>1088</v>
      </c>
      <c r="B27" s="205" t="s">
        <v>1089</v>
      </c>
      <c r="C27" s="198" t="s">
        <v>1090</v>
      </c>
      <c r="D27" s="102">
        <v>2</v>
      </c>
      <c r="E27" s="221">
        <v>2</v>
      </c>
      <c r="F27" s="252">
        <f t="shared" si="0"/>
        <v>0</v>
      </c>
      <c r="G27" s="216">
        <v>2</v>
      </c>
    </row>
    <row r="28" spans="1:7" s="204" customFormat="1">
      <c r="A28" s="2063"/>
      <c r="B28" s="205" t="s">
        <v>1091</v>
      </c>
      <c r="C28" s="198" t="s">
        <v>1092</v>
      </c>
      <c r="D28" s="102">
        <v>2</v>
      </c>
      <c r="E28" s="221" t="s">
        <v>1158</v>
      </c>
      <c r="F28" s="252" t="e">
        <f t="shared" si="0"/>
        <v>#VALUE!</v>
      </c>
      <c r="G28" s="459" t="s">
        <v>1741</v>
      </c>
    </row>
    <row r="29" spans="1:7" s="204" customFormat="1">
      <c r="A29" s="2063"/>
      <c r="B29" s="2063" t="s">
        <v>1093</v>
      </c>
      <c r="C29" s="198" t="s">
        <v>1094</v>
      </c>
      <c r="D29" s="102">
        <v>6</v>
      </c>
      <c r="E29" s="221">
        <v>6</v>
      </c>
      <c r="F29" s="252">
        <f t="shared" si="0"/>
        <v>0</v>
      </c>
      <c r="G29" s="459">
        <v>6</v>
      </c>
    </row>
    <row r="30" spans="1:7" s="204" customFormat="1" ht="40.5">
      <c r="A30" s="2063"/>
      <c r="B30" s="2063"/>
      <c r="C30" s="198" t="s">
        <v>1095</v>
      </c>
      <c r="D30" s="102">
        <v>6</v>
      </c>
      <c r="E30" s="221">
        <v>6</v>
      </c>
      <c r="F30" s="252">
        <f t="shared" si="0"/>
        <v>0</v>
      </c>
      <c r="G30" s="459">
        <v>6</v>
      </c>
    </row>
    <row r="31" spans="1:7" s="204" customFormat="1" ht="27">
      <c r="A31" s="102" t="s">
        <v>1096</v>
      </c>
      <c r="B31" s="205" t="s">
        <v>1097</v>
      </c>
      <c r="C31" s="198" t="s">
        <v>1098</v>
      </c>
      <c r="D31" s="102">
        <v>15</v>
      </c>
      <c r="E31" s="221">
        <v>15</v>
      </c>
      <c r="F31" s="252">
        <f t="shared" si="0"/>
        <v>0</v>
      </c>
      <c r="G31" s="459">
        <v>15</v>
      </c>
    </row>
    <row r="32" spans="1:7">
      <c r="A32" s="2065" t="s">
        <v>486</v>
      </c>
      <c r="B32" s="2065"/>
      <c r="C32" s="205"/>
      <c r="D32" s="205">
        <f>SUM(D3:D31)</f>
        <v>100</v>
      </c>
      <c r="E32" s="205">
        <f>SUM(E3:E31)</f>
        <v>92</v>
      </c>
      <c r="F32" s="252">
        <f t="shared" si="0"/>
        <v>8</v>
      </c>
      <c r="G32" s="459">
        <v>92</v>
      </c>
    </row>
    <row r="35" spans="1:7" ht="14.25">
      <c r="B35" s="18" t="s">
        <v>281</v>
      </c>
      <c r="E35" s="231">
        <f>E32</f>
        <v>92</v>
      </c>
      <c r="G35" s="461">
        <v>92</v>
      </c>
    </row>
    <row r="36" spans="1:7" ht="14.25">
      <c r="B36" s="18"/>
    </row>
    <row r="37" spans="1:7" ht="14.25">
      <c r="B37" s="18"/>
    </row>
    <row r="38" spans="1:7" ht="14.25">
      <c r="B38" s="18"/>
    </row>
    <row r="39" spans="1:7" ht="14.25">
      <c r="B39" s="18"/>
    </row>
    <row r="41" spans="1:7">
      <c r="A41" s="843" t="s">
        <v>1897</v>
      </c>
    </row>
    <row r="42" spans="1:7">
      <c r="A42" s="876" t="s">
        <v>1944</v>
      </c>
    </row>
  </sheetData>
  <mergeCells count="12">
    <mergeCell ref="A27:A30"/>
    <mergeCell ref="B29:B30"/>
    <mergeCell ref="A1:E1"/>
    <mergeCell ref="A32:B32"/>
    <mergeCell ref="A3:A4"/>
    <mergeCell ref="A5:A13"/>
    <mergeCell ref="A14:A17"/>
    <mergeCell ref="B15:B17"/>
    <mergeCell ref="A19:A26"/>
    <mergeCell ref="B19:B20"/>
    <mergeCell ref="B23:B24"/>
    <mergeCell ref="B25:B26"/>
  </mergeCells>
  <phoneticPr fontId="3" type="noConversion"/>
  <conditionalFormatting sqref="F3:F32">
    <cfRule type="cellIs" dxfId="0" priority="1" operator="greaterThan">
      <formula>0</formula>
    </cfRule>
  </conditionalFormatting>
  <hyperlinks>
    <hyperlink ref="A41" location="权重!A1" display="权重!A1"/>
    <hyperlink ref="A42" location="目录!A1" display="目录!A1"/>
  </hyperlinks>
  <pageMargins left="0.70866141732283472" right="0.39370078740157483" top="0.74803149606299213" bottom="0.74803149606299213" header="0.31496062992125984" footer="0.31496062992125984"/>
  <pageSetup paperSize="0" orientation="portrait" horizontalDpi="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52"/>
  <sheetViews>
    <sheetView workbookViewId="0">
      <selection activeCell="D1" sqref="D1"/>
    </sheetView>
  </sheetViews>
  <sheetFormatPr defaultRowHeight="13.5"/>
  <cols>
    <col min="3" max="3" width="20" customWidth="1"/>
    <col min="4" max="4" width="14.625" customWidth="1"/>
    <col min="5" max="5" width="11.375" style="1138" customWidth="1"/>
    <col min="9" max="9" width="5.25" customWidth="1"/>
    <col min="10" max="10" width="14.75" customWidth="1"/>
    <col min="11" max="11" width="26.125" customWidth="1"/>
    <col min="12" max="12" width="30.625" bestFit="1" customWidth="1"/>
  </cols>
  <sheetData>
    <row r="1" spans="1:11" ht="33" customHeight="1">
      <c r="A1" s="1408" t="s">
        <v>2480</v>
      </c>
      <c r="B1" s="1408" t="s">
        <v>2481</v>
      </c>
      <c r="C1" s="1408" t="s">
        <v>2486</v>
      </c>
      <c r="D1" s="1408" t="s">
        <v>2487</v>
      </c>
      <c r="E1" s="1408" t="s">
        <v>2488</v>
      </c>
      <c r="F1" s="1408" t="s">
        <v>2229</v>
      </c>
      <c r="I1" s="1706"/>
      <c r="J1" s="1706"/>
      <c r="K1" s="1706"/>
    </row>
    <row r="2" spans="1:11" ht="14.25">
      <c r="A2" s="1381" t="s">
        <v>2252</v>
      </c>
      <c r="B2" s="1381" t="s">
        <v>2253</v>
      </c>
      <c r="C2" s="71">
        <v>186</v>
      </c>
      <c r="D2" s="71">
        <v>189</v>
      </c>
      <c r="E2" s="1383">
        <f>C2/D2</f>
        <v>0.98412698412698407</v>
      </c>
      <c r="F2" s="1382">
        <f>IF(E2&gt;=0.95,2,IF(E2&gt;=0.9,1,0))</f>
        <v>2</v>
      </c>
      <c r="I2" s="400"/>
      <c r="J2" s="400" t="s">
        <v>2267</v>
      </c>
      <c r="K2" s="400" t="s">
        <v>2268</v>
      </c>
    </row>
    <row r="3" spans="1:11" ht="14.25">
      <c r="A3" s="1381" t="s">
        <v>2254</v>
      </c>
      <c r="B3" s="1381" t="s">
        <v>2253</v>
      </c>
      <c r="C3" s="71">
        <v>9</v>
      </c>
      <c r="D3" s="71">
        <v>9</v>
      </c>
      <c r="E3" s="1383">
        <f t="shared" ref="E3:E9" si="0">C3/D3</f>
        <v>1</v>
      </c>
      <c r="F3" s="1382">
        <f t="shared" ref="F3:F51" si="1">IF(E3&gt;=0.95,2,IF(E3&gt;=0.9,1,0))</f>
        <v>2</v>
      </c>
      <c r="I3" s="1251" t="s">
        <v>2181</v>
      </c>
      <c r="J3" s="1252">
        <v>2</v>
      </c>
      <c r="K3" s="1146">
        <v>0.98673012449315611</v>
      </c>
    </row>
    <row r="4" spans="1:11" ht="14.25">
      <c r="A4" s="1381" t="s">
        <v>2255</v>
      </c>
      <c r="B4" s="1381" t="s">
        <v>2253</v>
      </c>
      <c r="C4" s="71">
        <v>19</v>
      </c>
      <c r="D4" s="71">
        <v>19</v>
      </c>
      <c r="E4" s="1383">
        <f t="shared" si="0"/>
        <v>1</v>
      </c>
      <c r="F4" s="1382">
        <f t="shared" si="1"/>
        <v>2</v>
      </c>
      <c r="I4" s="1251" t="s">
        <v>2178</v>
      </c>
      <c r="J4" s="1252">
        <v>2</v>
      </c>
      <c r="K4" s="1146">
        <v>0.98295311072375569</v>
      </c>
    </row>
    <row r="5" spans="1:11" ht="14.25">
      <c r="A5" s="1381" t="s">
        <v>2256</v>
      </c>
      <c r="B5" s="1381" t="s">
        <v>2253</v>
      </c>
      <c r="C5" s="71">
        <v>468</v>
      </c>
      <c r="D5" s="71">
        <v>474</v>
      </c>
      <c r="E5" s="1383">
        <f t="shared" si="0"/>
        <v>0.98734177215189878</v>
      </c>
      <c r="F5" s="1382">
        <f t="shared" si="1"/>
        <v>2</v>
      </c>
      <c r="I5" s="1251" t="s">
        <v>2179</v>
      </c>
      <c r="J5" s="1252">
        <v>2</v>
      </c>
      <c r="K5" s="1146">
        <v>1</v>
      </c>
    </row>
    <row r="6" spans="1:11" ht="14.25">
      <c r="A6" s="1381" t="s">
        <v>2257</v>
      </c>
      <c r="B6" s="1381" t="s">
        <v>2253</v>
      </c>
      <c r="C6" s="71">
        <v>13</v>
      </c>
      <c r="D6" s="71">
        <v>13</v>
      </c>
      <c r="E6" s="1383">
        <f t="shared" si="0"/>
        <v>1</v>
      </c>
      <c r="F6" s="1382">
        <f t="shared" si="1"/>
        <v>2</v>
      </c>
      <c r="I6" s="1251" t="s">
        <v>2177</v>
      </c>
      <c r="J6" s="1252">
        <v>1.9</v>
      </c>
      <c r="K6" s="1146">
        <v>0.99161184210526321</v>
      </c>
    </row>
    <row r="7" spans="1:11" ht="14.25">
      <c r="A7" s="1381" t="s">
        <v>2252</v>
      </c>
      <c r="B7" s="1381" t="s">
        <v>2258</v>
      </c>
      <c r="C7" s="71">
        <v>2056</v>
      </c>
      <c r="D7" s="71">
        <v>2083</v>
      </c>
      <c r="E7" s="1383">
        <f t="shared" si="0"/>
        <v>0.98703792606817087</v>
      </c>
      <c r="F7" s="1382">
        <f t="shared" si="1"/>
        <v>2</v>
      </c>
      <c r="I7" s="1251" t="s">
        <v>2180</v>
      </c>
      <c r="J7" s="1252">
        <v>1.8571428571428572</v>
      </c>
      <c r="K7" s="1146">
        <v>0.98110786002996042</v>
      </c>
    </row>
    <row r="8" spans="1:11" ht="14.25">
      <c r="A8" s="1381" t="s">
        <v>2254</v>
      </c>
      <c r="B8" s="1381" t="s">
        <v>2258</v>
      </c>
      <c r="C8" s="71">
        <v>9</v>
      </c>
      <c r="D8" s="71">
        <v>9</v>
      </c>
      <c r="E8" s="1383">
        <f t="shared" si="0"/>
        <v>1</v>
      </c>
      <c r="F8" s="1382">
        <f t="shared" si="1"/>
        <v>2</v>
      </c>
    </row>
    <row r="9" spans="1:11" ht="14.25">
      <c r="A9" s="1381" t="s">
        <v>2255</v>
      </c>
      <c r="B9" s="1381" t="s">
        <v>2258</v>
      </c>
      <c r="C9" s="71">
        <v>66</v>
      </c>
      <c r="D9" s="71">
        <v>70</v>
      </c>
      <c r="E9" s="1383">
        <f t="shared" si="0"/>
        <v>0.94285714285714284</v>
      </c>
      <c r="F9" s="1382">
        <f t="shared" si="1"/>
        <v>1</v>
      </c>
    </row>
    <row r="10" spans="1:11" ht="14.25">
      <c r="A10" s="1381" t="s">
        <v>2256</v>
      </c>
      <c r="B10" s="1381" t="s">
        <v>2258</v>
      </c>
      <c r="C10" s="71"/>
      <c r="D10" s="71"/>
      <c r="E10" s="1383"/>
      <c r="F10" s="1382"/>
    </row>
    <row r="11" spans="1:11" ht="14.25">
      <c r="A11" s="1381" t="s">
        <v>2257</v>
      </c>
      <c r="B11" s="1381" t="s">
        <v>2258</v>
      </c>
      <c r="C11" s="71">
        <v>21</v>
      </c>
      <c r="D11" s="71">
        <v>21</v>
      </c>
      <c r="E11" s="1383">
        <f t="shared" ref="E11:E51" si="2">C11/D11</f>
        <v>1</v>
      </c>
      <c r="F11" s="1382">
        <f t="shared" si="1"/>
        <v>2</v>
      </c>
      <c r="I11" t="s">
        <v>2276</v>
      </c>
    </row>
    <row r="12" spans="1:11" ht="14.25">
      <c r="A12" s="1381" t="s">
        <v>2178</v>
      </c>
      <c r="B12" s="1381" t="s">
        <v>2259</v>
      </c>
      <c r="C12" s="71">
        <v>3061</v>
      </c>
      <c r="D12" s="71">
        <v>3097</v>
      </c>
      <c r="E12" s="1383">
        <f t="shared" si="2"/>
        <v>0.98837584759444619</v>
      </c>
      <c r="F12" s="1382">
        <f t="shared" si="1"/>
        <v>2</v>
      </c>
      <c r="I12" t="s">
        <v>2277</v>
      </c>
    </row>
    <row r="13" spans="1:11" ht="14.25">
      <c r="A13" s="1381" t="s">
        <v>2179</v>
      </c>
      <c r="B13" s="1381" t="s">
        <v>2259</v>
      </c>
      <c r="C13" s="71"/>
      <c r="D13" s="71"/>
      <c r="E13" s="1383"/>
      <c r="F13" s="1382"/>
      <c r="I13" t="s">
        <v>2278</v>
      </c>
    </row>
    <row r="14" spans="1:11" ht="14.25">
      <c r="A14" s="1381" t="s">
        <v>2180</v>
      </c>
      <c r="B14" s="1381" t="s">
        <v>2259</v>
      </c>
      <c r="C14" s="71"/>
      <c r="D14" s="71"/>
      <c r="E14" s="1383"/>
      <c r="F14" s="1382"/>
    </row>
    <row r="15" spans="1:11" ht="14.25">
      <c r="A15" s="1381" t="s">
        <v>2181</v>
      </c>
      <c r="B15" s="1381" t="s">
        <v>2259</v>
      </c>
      <c r="C15" s="71">
        <v>1643</v>
      </c>
      <c r="D15" s="71">
        <v>1664</v>
      </c>
      <c r="E15" s="1383">
        <f t="shared" si="2"/>
        <v>0.98737980769230771</v>
      </c>
      <c r="F15" s="1382">
        <f t="shared" si="1"/>
        <v>2</v>
      </c>
    </row>
    <row r="16" spans="1:11" ht="14.25">
      <c r="A16" s="1381" t="s">
        <v>2177</v>
      </c>
      <c r="B16" s="1381" t="s">
        <v>2259</v>
      </c>
      <c r="C16" s="71">
        <v>49</v>
      </c>
      <c r="D16" s="71">
        <v>49</v>
      </c>
      <c r="E16" s="1383">
        <f t="shared" si="2"/>
        <v>1</v>
      </c>
      <c r="F16" s="1382">
        <f t="shared" si="1"/>
        <v>2</v>
      </c>
    </row>
    <row r="17" spans="1:10" ht="14.25">
      <c r="A17" s="1381" t="s">
        <v>2252</v>
      </c>
      <c r="B17" s="1381" t="s">
        <v>2260</v>
      </c>
      <c r="C17" s="71">
        <v>331</v>
      </c>
      <c r="D17" s="71">
        <v>339</v>
      </c>
      <c r="E17" s="1383">
        <f t="shared" si="2"/>
        <v>0.97640117994100295</v>
      </c>
      <c r="F17" s="1382">
        <f t="shared" si="1"/>
        <v>2</v>
      </c>
    </row>
    <row r="18" spans="1:10" ht="14.25">
      <c r="A18" s="1381" t="s">
        <v>2254</v>
      </c>
      <c r="B18" s="1381" t="s">
        <v>2260</v>
      </c>
      <c r="C18" s="71"/>
      <c r="D18" s="71"/>
      <c r="E18" s="1383"/>
      <c r="F18" s="1382"/>
    </row>
    <row r="19" spans="1:10" ht="14.25">
      <c r="A19" s="1381" t="s">
        <v>2255</v>
      </c>
      <c r="B19" s="1381" t="s">
        <v>2260</v>
      </c>
      <c r="C19" s="71">
        <v>224</v>
      </c>
      <c r="D19" s="71">
        <v>235</v>
      </c>
      <c r="E19" s="1383">
        <f t="shared" si="2"/>
        <v>0.95319148936170217</v>
      </c>
      <c r="F19" s="1382">
        <f t="shared" si="1"/>
        <v>2</v>
      </c>
      <c r="J19" s="843" t="s">
        <v>2337</v>
      </c>
    </row>
    <row r="20" spans="1:10" ht="14.25">
      <c r="A20" s="1381" t="s">
        <v>2256</v>
      </c>
      <c r="B20" s="1381" t="s">
        <v>2260</v>
      </c>
      <c r="C20" s="71"/>
      <c r="D20" s="71"/>
      <c r="E20" s="1383"/>
      <c r="F20" s="1382"/>
      <c r="J20" s="843" t="s">
        <v>2338</v>
      </c>
    </row>
    <row r="21" spans="1:10" ht="14.25">
      <c r="A21" s="1381" t="s">
        <v>2257</v>
      </c>
      <c r="B21" s="1381" t="s">
        <v>2260</v>
      </c>
      <c r="C21" s="71">
        <v>5</v>
      </c>
      <c r="D21" s="71">
        <v>5</v>
      </c>
      <c r="E21" s="1383">
        <f t="shared" si="2"/>
        <v>1</v>
      </c>
      <c r="F21" s="1382">
        <f t="shared" si="1"/>
        <v>2</v>
      </c>
      <c r="J21" s="843" t="s">
        <v>2339</v>
      </c>
    </row>
    <row r="22" spans="1:10" ht="14.25">
      <c r="A22" s="1381" t="s">
        <v>2252</v>
      </c>
      <c r="B22" s="1381" t="s">
        <v>2261</v>
      </c>
      <c r="C22" s="71">
        <v>2735</v>
      </c>
      <c r="D22" s="71">
        <v>2735</v>
      </c>
      <c r="E22" s="1383">
        <f t="shared" si="2"/>
        <v>1</v>
      </c>
      <c r="F22" s="1382">
        <f t="shared" si="1"/>
        <v>2</v>
      </c>
    </row>
    <row r="23" spans="1:10" ht="14.25">
      <c r="A23" s="1381" t="s">
        <v>2254</v>
      </c>
      <c r="B23" s="1381" t="s">
        <v>2261</v>
      </c>
      <c r="C23" s="71">
        <v>0</v>
      </c>
      <c r="D23" s="71">
        <v>0</v>
      </c>
      <c r="E23" s="1383"/>
      <c r="F23" s="1382"/>
    </row>
    <row r="24" spans="1:10" ht="14.25">
      <c r="A24" s="1381" t="s">
        <v>2255</v>
      </c>
      <c r="B24" s="1381" t="s">
        <v>2261</v>
      </c>
      <c r="C24" s="71">
        <v>4</v>
      </c>
      <c r="D24" s="71">
        <v>4</v>
      </c>
      <c r="E24" s="1383">
        <f t="shared" si="2"/>
        <v>1</v>
      </c>
      <c r="F24" s="1382">
        <f t="shared" si="1"/>
        <v>2</v>
      </c>
    </row>
    <row r="25" spans="1:10" ht="14.25">
      <c r="A25" s="1381" t="s">
        <v>2256</v>
      </c>
      <c r="B25" s="1381" t="s">
        <v>2261</v>
      </c>
      <c r="C25" s="71">
        <v>922</v>
      </c>
      <c r="D25" s="71">
        <v>922</v>
      </c>
      <c r="E25" s="1383">
        <f t="shared" si="2"/>
        <v>1</v>
      </c>
      <c r="F25" s="1382">
        <f t="shared" si="1"/>
        <v>2</v>
      </c>
    </row>
    <row r="26" spans="1:10" ht="14.25">
      <c r="A26" s="1381" t="s">
        <v>2257</v>
      </c>
      <c r="B26" s="1381" t="s">
        <v>2261</v>
      </c>
      <c r="C26" s="71">
        <v>50</v>
      </c>
      <c r="D26" s="71">
        <v>50</v>
      </c>
      <c r="E26" s="1383">
        <f t="shared" si="2"/>
        <v>1</v>
      </c>
      <c r="F26" s="1382">
        <f t="shared" si="1"/>
        <v>2</v>
      </c>
    </row>
    <row r="27" spans="1:10" ht="14.25">
      <c r="A27" s="1381" t="s">
        <v>2252</v>
      </c>
      <c r="B27" s="1381" t="s">
        <v>2262</v>
      </c>
      <c r="C27" s="71">
        <v>2355</v>
      </c>
      <c r="D27" s="71">
        <v>2377</v>
      </c>
      <c r="E27" s="1383">
        <f t="shared" si="2"/>
        <v>0.99074463609591923</v>
      </c>
      <c r="F27" s="1382">
        <f t="shared" si="1"/>
        <v>2</v>
      </c>
    </row>
    <row r="28" spans="1:10" ht="14.25">
      <c r="A28" s="1381" t="s">
        <v>2254</v>
      </c>
      <c r="B28" s="1381" t="s">
        <v>2262</v>
      </c>
      <c r="C28" s="71">
        <v>17</v>
      </c>
      <c r="D28" s="71">
        <v>17</v>
      </c>
      <c r="E28" s="1383">
        <f t="shared" si="2"/>
        <v>1</v>
      </c>
      <c r="F28" s="1382">
        <f t="shared" si="1"/>
        <v>2</v>
      </c>
    </row>
    <row r="29" spans="1:10" ht="14.25">
      <c r="A29" s="1381" t="s">
        <v>2255</v>
      </c>
      <c r="B29" s="1381" t="s">
        <v>2262</v>
      </c>
      <c r="C29" s="71">
        <v>140</v>
      </c>
      <c r="D29" s="71">
        <v>141</v>
      </c>
      <c r="E29" s="1383">
        <f t="shared" si="2"/>
        <v>0.99290780141843971</v>
      </c>
      <c r="F29" s="1382">
        <f t="shared" si="1"/>
        <v>2</v>
      </c>
    </row>
    <row r="30" spans="1:10" ht="14.25">
      <c r="A30" s="1381" t="s">
        <v>2256</v>
      </c>
      <c r="B30" s="1381" t="s">
        <v>2262</v>
      </c>
      <c r="C30" s="71">
        <v>1062</v>
      </c>
      <c r="D30" s="71">
        <v>1074</v>
      </c>
      <c r="E30" s="1383">
        <f t="shared" si="2"/>
        <v>0.98882681564245811</v>
      </c>
      <c r="F30" s="1382">
        <f t="shared" si="1"/>
        <v>2</v>
      </c>
    </row>
    <row r="31" spans="1:10" ht="14.25">
      <c r="A31" s="1381" t="s">
        <v>2257</v>
      </c>
      <c r="B31" s="1381" t="s">
        <v>2262</v>
      </c>
      <c r="C31" s="71">
        <v>62</v>
      </c>
      <c r="D31" s="71">
        <v>64</v>
      </c>
      <c r="E31" s="1383">
        <f t="shared" si="2"/>
        <v>0.96875</v>
      </c>
      <c r="F31" s="1382">
        <f t="shared" si="1"/>
        <v>2</v>
      </c>
    </row>
    <row r="32" spans="1:10" ht="14.25">
      <c r="A32" s="1381" t="s">
        <v>2178</v>
      </c>
      <c r="B32" s="1381" t="s">
        <v>2263</v>
      </c>
      <c r="C32" s="71">
        <v>470</v>
      </c>
      <c r="D32" s="71">
        <v>479</v>
      </c>
      <c r="E32" s="1383">
        <f t="shared" si="2"/>
        <v>0.98121085594989566</v>
      </c>
      <c r="F32" s="1382">
        <f t="shared" si="1"/>
        <v>2</v>
      </c>
    </row>
    <row r="33" spans="1:6" ht="14.25">
      <c r="A33" s="1381" t="s">
        <v>2179</v>
      </c>
      <c r="B33" s="1381" t="s">
        <v>2263</v>
      </c>
      <c r="C33" s="71"/>
      <c r="D33" s="71"/>
      <c r="E33" s="1383"/>
      <c r="F33" s="1382"/>
    </row>
    <row r="34" spans="1:6" ht="14.25">
      <c r="A34" s="1381" t="s">
        <v>2180</v>
      </c>
      <c r="B34" s="1381" t="s">
        <v>2263</v>
      </c>
      <c r="C34" s="71"/>
      <c r="D34" s="71"/>
      <c r="E34" s="1383"/>
      <c r="F34" s="1382"/>
    </row>
    <row r="35" spans="1:6" ht="14.25">
      <c r="A35" s="1381" t="s">
        <v>2181</v>
      </c>
      <c r="B35" s="1381" t="s">
        <v>2263</v>
      </c>
      <c r="C35" s="71"/>
      <c r="D35" s="71"/>
      <c r="E35" s="1383"/>
      <c r="F35" s="1382"/>
    </row>
    <row r="36" spans="1:6" ht="14.25">
      <c r="A36" s="1381" t="s">
        <v>2177</v>
      </c>
      <c r="B36" s="1381" t="s">
        <v>2263</v>
      </c>
      <c r="C36" s="71">
        <v>8</v>
      </c>
      <c r="D36" s="71">
        <v>8</v>
      </c>
      <c r="E36" s="1383">
        <f t="shared" si="2"/>
        <v>1</v>
      </c>
      <c r="F36" s="1382">
        <f t="shared" si="1"/>
        <v>2</v>
      </c>
    </row>
    <row r="37" spans="1:6" ht="14.25">
      <c r="A37" s="1381" t="s">
        <v>2252</v>
      </c>
      <c r="B37" s="1381" t="s">
        <v>2264</v>
      </c>
      <c r="C37" s="71">
        <v>2694</v>
      </c>
      <c r="D37" s="71">
        <v>2742</v>
      </c>
      <c r="E37" s="1383">
        <f t="shared" si="2"/>
        <v>0.98249452954048144</v>
      </c>
      <c r="F37" s="1382">
        <f t="shared" si="1"/>
        <v>2</v>
      </c>
    </row>
    <row r="38" spans="1:6" ht="14.25">
      <c r="A38" s="1381" t="s">
        <v>2254</v>
      </c>
      <c r="B38" s="1381" t="s">
        <v>2264</v>
      </c>
      <c r="C38" s="71">
        <v>2</v>
      </c>
      <c r="D38" s="71">
        <v>2</v>
      </c>
      <c r="E38" s="1383">
        <f t="shared" si="2"/>
        <v>1</v>
      </c>
      <c r="F38" s="1382">
        <f t="shared" si="1"/>
        <v>2</v>
      </c>
    </row>
    <row r="39" spans="1:6" ht="14.25">
      <c r="A39" s="1381" t="s">
        <v>2255</v>
      </c>
      <c r="B39" s="1381" t="s">
        <v>2264</v>
      </c>
      <c r="C39" s="71">
        <v>277</v>
      </c>
      <c r="D39" s="71">
        <v>283</v>
      </c>
      <c r="E39" s="1383">
        <f t="shared" si="2"/>
        <v>0.97879858657243812</v>
      </c>
      <c r="F39" s="1382">
        <f t="shared" si="1"/>
        <v>2</v>
      </c>
    </row>
    <row r="40" spans="1:6" ht="14.25">
      <c r="A40" s="1381" t="s">
        <v>2256</v>
      </c>
      <c r="B40" s="1381" t="s">
        <v>2264</v>
      </c>
      <c r="C40" s="71">
        <v>1058</v>
      </c>
      <c r="D40" s="71">
        <v>1064</v>
      </c>
      <c r="E40" s="1383">
        <f t="shared" si="2"/>
        <v>0.99436090225563911</v>
      </c>
      <c r="F40" s="1382">
        <f t="shared" si="1"/>
        <v>2</v>
      </c>
    </row>
    <row r="41" spans="1:6" ht="14.25">
      <c r="A41" s="1381" t="s">
        <v>2257</v>
      </c>
      <c r="B41" s="1381" t="s">
        <v>2264</v>
      </c>
      <c r="C41" s="71">
        <v>18</v>
      </c>
      <c r="D41" s="71">
        <v>19</v>
      </c>
      <c r="E41" s="1383">
        <f t="shared" si="2"/>
        <v>0.94736842105263153</v>
      </c>
      <c r="F41" s="1382">
        <f t="shared" si="1"/>
        <v>1</v>
      </c>
    </row>
    <row r="42" spans="1:6" ht="14.25">
      <c r="A42" s="1381" t="s">
        <v>2252</v>
      </c>
      <c r="B42" s="1381" t="s">
        <v>2265</v>
      </c>
      <c r="C42" s="71">
        <v>592</v>
      </c>
      <c r="D42" s="71">
        <v>623</v>
      </c>
      <c r="E42" s="1383">
        <f t="shared" si="2"/>
        <v>0.9502407704654896</v>
      </c>
      <c r="F42" s="1382">
        <f t="shared" si="1"/>
        <v>2</v>
      </c>
    </row>
    <row r="43" spans="1:6" ht="14.25">
      <c r="A43" s="1381" t="s">
        <v>2254</v>
      </c>
      <c r="B43" s="1381" t="s">
        <v>2265</v>
      </c>
      <c r="C43" s="71"/>
      <c r="D43" s="71"/>
      <c r="E43" s="1383"/>
      <c r="F43" s="1382"/>
    </row>
    <row r="44" spans="1:6" ht="11.25" customHeight="1">
      <c r="A44" s="1381" t="s">
        <v>2255</v>
      </c>
      <c r="B44" s="1381" t="s">
        <v>2265</v>
      </c>
      <c r="C44" s="71"/>
      <c r="D44" s="71"/>
      <c r="E44" s="1383"/>
      <c r="F44" s="1382"/>
    </row>
    <row r="45" spans="1:6" ht="14.25">
      <c r="A45" s="1381" t="s">
        <v>2256</v>
      </c>
      <c r="B45" s="1381" t="s">
        <v>2265</v>
      </c>
      <c r="C45" s="71">
        <v>114</v>
      </c>
      <c r="D45" s="71">
        <v>116</v>
      </c>
      <c r="E45" s="1383">
        <f t="shared" si="2"/>
        <v>0.98275862068965514</v>
      </c>
      <c r="F45" s="1382">
        <f t="shared" si="1"/>
        <v>2</v>
      </c>
    </row>
    <row r="46" spans="1:6" ht="14.25">
      <c r="A46" s="1381" t="s">
        <v>2257</v>
      </c>
      <c r="B46" s="1381" t="s">
        <v>2265</v>
      </c>
      <c r="C46" s="71">
        <v>4</v>
      </c>
      <c r="D46" s="71">
        <v>4</v>
      </c>
      <c r="E46" s="1383">
        <f t="shared" si="2"/>
        <v>1</v>
      </c>
      <c r="F46" s="1382">
        <f t="shared" si="1"/>
        <v>2</v>
      </c>
    </row>
    <row r="47" spans="1:6" ht="14.25">
      <c r="A47" s="1381" t="s">
        <v>2178</v>
      </c>
      <c r="B47" s="1381" t="s">
        <v>2266</v>
      </c>
      <c r="C47" s="71">
        <v>1158</v>
      </c>
      <c r="D47" s="71">
        <v>1171</v>
      </c>
      <c r="E47" s="1383">
        <f t="shared" si="2"/>
        <v>0.98889837745516651</v>
      </c>
      <c r="F47" s="1382">
        <f t="shared" si="1"/>
        <v>2</v>
      </c>
    </row>
    <row r="48" spans="1:6" ht="14.25">
      <c r="A48" s="1381" t="s">
        <v>2179</v>
      </c>
      <c r="B48" s="1381" t="s">
        <v>2266</v>
      </c>
      <c r="C48" s="71">
        <v>1</v>
      </c>
      <c r="D48" s="71">
        <v>1</v>
      </c>
      <c r="E48" s="1383">
        <f t="shared" si="2"/>
        <v>1</v>
      </c>
      <c r="F48" s="1382">
        <f t="shared" si="1"/>
        <v>2</v>
      </c>
    </row>
    <row r="49" spans="1:6" ht="14.25">
      <c r="A49" s="1381" t="s">
        <v>2180</v>
      </c>
      <c r="B49" s="1381" t="s">
        <v>2266</v>
      </c>
      <c r="C49" s="71">
        <v>2</v>
      </c>
      <c r="D49" s="71">
        <v>2</v>
      </c>
      <c r="E49" s="1383">
        <f t="shared" si="2"/>
        <v>1</v>
      </c>
      <c r="F49" s="1382">
        <f t="shared" si="1"/>
        <v>2</v>
      </c>
    </row>
    <row r="50" spans="1:6" ht="14.25">
      <c r="A50" s="1381" t="s">
        <v>2181</v>
      </c>
      <c r="B50" s="1381" t="s">
        <v>2266</v>
      </c>
      <c r="C50" s="71">
        <v>288</v>
      </c>
      <c r="D50" s="71">
        <v>298</v>
      </c>
      <c r="E50" s="1383">
        <f t="shared" si="2"/>
        <v>0.96644295302013428</v>
      </c>
      <c r="F50" s="1382">
        <f t="shared" si="1"/>
        <v>2</v>
      </c>
    </row>
    <row r="51" spans="1:6" ht="14.25">
      <c r="A51" s="1381" t="s">
        <v>2177</v>
      </c>
      <c r="B51" s="1381" t="s">
        <v>2266</v>
      </c>
      <c r="C51" s="71">
        <v>9</v>
      </c>
      <c r="D51" s="71">
        <v>9</v>
      </c>
      <c r="E51" s="1383">
        <f t="shared" si="2"/>
        <v>1</v>
      </c>
      <c r="F51" s="1382">
        <f t="shared" si="1"/>
        <v>2</v>
      </c>
    </row>
    <row r="52" spans="1:6">
      <c r="F52" s="1234"/>
    </row>
  </sheetData>
  <mergeCells count="1">
    <mergeCell ref="I1:K1"/>
  </mergeCells>
  <phoneticPr fontId="3" type="noConversion"/>
  <conditionalFormatting sqref="F2:F9 F11:F12 F15:F17 F19 F21:F22 F24:F32 F36:F42 F45:F51">
    <cfRule type="cellIs" dxfId="405" priority="1" operator="lessThan">
      <formula>2</formula>
    </cfRule>
  </conditionalFormatting>
  <hyperlinks>
    <hyperlink ref="J19" location="'总公司绩效-II'!A1" display="总公司绩效-II"/>
    <hyperlink ref="J20" location="目录!A1" display="目录"/>
    <hyperlink ref="J21" location="'OR04-分公司销售、承保、保全'!A1" display="OR0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workbookViewId="0">
      <selection activeCell="G15" sqref="G15"/>
    </sheetView>
  </sheetViews>
  <sheetFormatPr defaultRowHeight="13.5"/>
  <cols>
    <col min="1" max="1" width="12.375" style="1431" customWidth="1"/>
    <col min="2" max="2" width="9.875" style="1431" customWidth="1"/>
    <col min="3" max="3" width="16.875" style="1432" customWidth="1"/>
    <col min="6" max="7" width="9" style="1431"/>
  </cols>
  <sheetData>
    <row r="1" spans="1:7">
      <c r="A1" s="1431" t="s">
        <v>2503</v>
      </c>
      <c r="B1" s="1431">
        <v>86</v>
      </c>
      <c r="C1" s="1432">
        <v>0.45610000000000001</v>
      </c>
      <c r="E1" t="s">
        <v>2503</v>
      </c>
      <c r="F1" s="1431">
        <v>86</v>
      </c>
      <c r="G1" s="1431">
        <v>0.45610000000000001</v>
      </c>
    </row>
    <row r="2" spans="1:7">
      <c r="A2" s="1431" t="s">
        <v>2504</v>
      </c>
      <c r="B2" s="1431">
        <v>1</v>
      </c>
      <c r="C2" s="1432">
        <v>1084</v>
      </c>
      <c r="E2" t="s">
        <v>2510</v>
      </c>
      <c r="F2" s="1431">
        <v>8</v>
      </c>
      <c r="G2" s="1431">
        <v>40</v>
      </c>
    </row>
    <row r="3" spans="1:7">
      <c r="A3" s="1431" t="s">
        <v>2504</v>
      </c>
      <c r="B3" s="1431">
        <v>2</v>
      </c>
      <c r="C3" s="1432">
        <v>3784</v>
      </c>
      <c r="E3" t="s">
        <v>2510</v>
      </c>
      <c r="F3" s="1431">
        <v>7</v>
      </c>
      <c r="G3" s="1431">
        <v>5</v>
      </c>
    </row>
    <row r="4" spans="1:7">
      <c r="A4" s="1431" t="s">
        <v>2504</v>
      </c>
      <c r="B4" s="1431">
        <v>3</v>
      </c>
      <c r="C4" s="1432">
        <v>837</v>
      </c>
      <c r="E4" t="s">
        <v>2510</v>
      </c>
      <c r="F4" s="1431">
        <v>6</v>
      </c>
      <c r="G4" s="1431">
        <v>28</v>
      </c>
    </row>
    <row r="5" spans="1:7">
      <c r="A5" s="1431" t="s">
        <v>2504</v>
      </c>
      <c r="B5" s="1431">
        <v>4</v>
      </c>
      <c r="C5" s="1432">
        <v>4397</v>
      </c>
      <c r="E5" t="s">
        <v>2510</v>
      </c>
      <c r="F5" s="1431">
        <v>5</v>
      </c>
      <c r="G5" s="1431">
        <v>24</v>
      </c>
    </row>
    <row r="6" spans="1:7">
      <c r="A6" s="1431" t="s">
        <v>2504</v>
      </c>
      <c r="B6" s="1431">
        <v>5</v>
      </c>
      <c r="C6" s="1432">
        <v>4763</v>
      </c>
      <c r="E6" t="s">
        <v>2510</v>
      </c>
      <c r="F6" s="1431" t="s">
        <v>2506</v>
      </c>
      <c r="G6" s="1431">
        <v>2</v>
      </c>
    </row>
    <row r="7" spans="1:7">
      <c r="A7" s="1431" t="s">
        <v>2504</v>
      </c>
      <c r="B7" s="1431">
        <v>6</v>
      </c>
      <c r="C7" s="1432">
        <v>4792</v>
      </c>
      <c r="E7" t="s">
        <v>2510</v>
      </c>
      <c r="F7" s="1431">
        <v>3</v>
      </c>
      <c r="G7" s="1431">
        <v>5</v>
      </c>
    </row>
    <row r="8" spans="1:7">
      <c r="A8" s="1431" t="s">
        <v>2504</v>
      </c>
      <c r="B8" s="1431">
        <v>7</v>
      </c>
      <c r="C8" s="1432">
        <v>1097</v>
      </c>
      <c r="E8" t="s">
        <v>2510</v>
      </c>
      <c r="F8" s="1431">
        <v>2</v>
      </c>
      <c r="G8" s="1431">
        <v>11</v>
      </c>
    </row>
    <row r="9" spans="1:7">
      <c r="A9" s="1431" t="s">
        <v>2504</v>
      </c>
      <c r="B9" s="1431">
        <v>8</v>
      </c>
      <c r="C9" s="1432">
        <v>2767</v>
      </c>
      <c r="E9" t="s">
        <v>2510</v>
      </c>
      <c r="F9" s="1431">
        <v>1</v>
      </c>
      <c r="G9" s="1431">
        <v>6</v>
      </c>
    </row>
    <row r="10" spans="1:7">
      <c r="A10" s="1431" t="s">
        <v>2504</v>
      </c>
      <c r="B10" s="1431">
        <v>9</v>
      </c>
      <c r="C10" s="1432">
        <v>1</v>
      </c>
      <c r="E10" t="s">
        <v>2510</v>
      </c>
      <c r="F10" s="1431" t="s">
        <v>2505</v>
      </c>
      <c r="G10" s="1431">
        <v>10</v>
      </c>
    </row>
    <row r="11" spans="1:7">
      <c r="A11" s="1431" t="s">
        <v>2504</v>
      </c>
      <c r="B11" s="1431" t="s">
        <v>2505</v>
      </c>
      <c r="C11" s="1432">
        <v>1270</v>
      </c>
      <c r="E11" t="s">
        <v>2510</v>
      </c>
      <c r="F11" s="1431">
        <v>4</v>
      </c>
      <c r="G11" s="1431">
        <v>22</v>
      </c>
    </row>
    <row r="12" spans="1:7">
      <c r="A12" s="1431" t="s">
        <v>2504</v>
      </c>
      <c r="B12" s="1431" t="s">
        <v>2506</v>
      </c>
      <c r="C12" s="1432">
        <v>630</v>
      </c>
      <c r="E12" t="s">
        <v>2509</v>
      </c>
      <c r="F12" s="1431" t="s">
        <v>2507</v>
      </c>
      <c r="G12" s="1431">
        <v>37</v>
      </c>
    </row>
    <row r="13" spans="1:7">
      <c r="A13" s="1431" t="s">
        <v>2504</v>
      </c>
      <c r="B13" s="1431" t="s">
        <v>2507</v>
      </c>
      <c r="C13" s="1432">
        <v>37</v>
      </c>
      <c r="E13" t="s">
        <v>2509</v>
      </c>
      <c r="F13" s="1431" t="s">
        <v>2506</v>
      </c>
      <c r="G13" s="1431">
        <v>630</v>
      </c>
    </row>
    <row r="14" spans="1:7">
      <c r="A14" s="1431" t="s">
        <v>2508</v>
      </c>
      <c r="B14" s="1431">
        <v>1</v>
      </c>
      <c r="C14" s="1432">
        <v>1941</v>
      </c>
      <c r="E14" t="s">
        <v>2509</v>
      </c>
      <c r="F14" s="1431" t="s">
        <v>2505</v>
      </c>
      <c r="G14" s="1431">
        <v>1274</v>
      </c>
    </row>
    <row r="15" spans="1:7">
      <c r="A15" s="1431" t="s">
        <v>2508</v>
      </c>
      <c r="B15" s="1431">
        <v>2</v>
      </c>
      <c r="C15" s="1432">
        <v>5366</v>
      </c>
      <c r="E15" t="s">
        <v>2509</v>
      </c>
      <c r="F15" s="1431">
        <v>9</v>
      </c>
      <c r="G15" s="1431">
        <v>1</v>
      </c>
    </row>
    <row r="16" spans="1:7">
      <c r="A16" s="1431" t="s">
        <v>2508</v>
      </c>
      <c r="B16" s="1431">
        <v>3</v>
      </c>
      <c r="C16" s="1432">
        <v>1456</v>
      </c>
      <c r="E16" t="s">
        <v>2509</v>
      </c>
      <c r="F16" s="1431">
        <v>8</v>
      </c>
      <c r="G16" s="1431">
        <v>2779</v>
      </c>
    </row>
    <row r="17" spans="1:7">
      <c r="A17" s="1431" t="s">
        <v>2508</v>
      </c>
      <c r="B17" s="1431">
        <v>4</v>
      </c>
      <c r="C17" s="1432">
        <v>6785</v>
      </c>
      <c r="E17" t="s">
        <v>2509</v>
      </c>
      <c r="F17" s="1431">
        <v>7</v>
      </c>
      <c r="G17" s="1431">
        <v>1098</v>
      </c>
    </row>
    <row r="18" spans="1:7">
      <c r="A18" s="1431" t="s">
        <v>2508</v>
      </c>
      <c r="B18" s="1431">
        <v>5</v>
      </c>
      <c r="C18" s="1432">
        <v>6428</v>
      </c>
      <c r="E18" t="s">
        <v>2509</v>
      </c>
      <c r="F18" s="1431">
        <v>6</v>
      </c>
      <c r="G18" s="1431">
        <v>4806</v>
      </c>
    </row>
    <row r="19" spans="1:7">
      <c r="A19" s="1431" t="s">
        <v>2508</v>
      </c>
      <c r="B19" s="1431">
        <v>6</v>
      </c>
      <c r="C19" s="1432">
        <v>7852</v>
      </c>
      <c r="E19" t="s">
        <v>2509</v>
      </c>
      <c r="F19" s="1431">
        <v>5</v>
      </c>
      <c r="G19" s="1431">
        <v>4772</v>
      </c>
    </row>
    <row r="20" spans="1:7">
      <c r="A20" s="1431" t="s">
        <v>2508</v>
      </c>
      <c r="B20" s="1431">
        <v>7</v>
      </c>
      <c r="C20" s="1432">
        <v>1728</v>
      </c>
      <c r="E20" t="s">
        <v>2509</v>
      </c>
      <c r="F20" s="1431">
        <v>4</v>
      </c>
      <c r="G20" s="1431">
        <v>4401</v>
      </c>
    </row>
    <row r="21" spans="1:7">
      <c r="A21" s="1431" t="s">
        <v>2508</v>
      </c>
      <c r="B21" s="1431">
        <v>8</v>
      </c>
      <c r="C21" s="1432">
        <v>4880</v>
      </c>
      <c r="E21" t="s">
        <v>2509</v>
      </c>
      <c r="F21" s="1431">
        <v>3</v>
      </c>
      <c r="G21" s="1431">
        <v>837</v>
      </c>
    </row>
    <row r="22" spans="1:7">
      <c r="A22" s="1431" t="s">
        <v>2508</v>
      </c>
      <c r="B22" s="1431">
        <v>9</v>
      </c>
      <c r="C22" s="1432">
        <v>1</v>
      </c>
      <c r="E22" t="s">
        <v>2509</v>
      </c>
      <c r="F22" s="1431">
        <v>2</v>
      </c>
      <c r="G22" s="1431">
        <v>3787</v>
      </c>
    </row>
    <row r="23" spans="1:7">
      <c r="A23" s="1431" t="s">
        <v>2508</v>
      </c>
      <c r="B23" s="1431" t="s">
        <v>2505</v>
      </c>
      <c r="C23" s="1432">
        <v>2591</v>
      </c>
      <c r="E23" t="s">
        <v>2509</v>
      </c>
      <c r="F23" s="1431">
        <v>1</v>
      </c>
      <c r="G23" s="1431">
        <v>1084</v>
      </c>
    </row>
    <row r="24" spans="1:7">
      <c r="A24" s="1431" t="s">
        <v>2508</v>
      </c>
      <c r="B24" s="1431" t="s">
        <v>2506</v>
      </c>
      <c r="C24" s="1432">
        <v>1464</v>
      </c>
      <c r="E24" t="s">
        <v>2508</v>
      </c>
      <c r="F24" s="1431" t="s">
        <v>2505</v>
      </c>
      <c r="G24" s="1431">
        <v>1</v>
      </c>
    </row>
    <row r="25" spans="1:7">
      <c r="A25" s="1431" t="s">
        <v>2508</v>
      </c>
      <c r="B25" s="1431" t="s">
        <v>2507</v>
      </c>
      <c r="C25" s="1432">
        <v>28</v>
      </c>
      <c r="E25" t="s">
        <v>2508</v>
      </c>
      <c r="F25" s="1431">
        <v>8</v>
      </c>
      <c r="G25" s="1431">
        <v>2</v>
      </c>
    </row>
    <row r="26" spans="1:7">
      <c r="A26" s="1431" t="s">
        <v>2509</v>
      </c>
      <c r="B26" s="1431">
        <v>1</v>
      </c>
      <c r="C26" s="1432">
        <v>1084</v>
      </c>
      <c r="E26" t="s">
        <v>2508</v>
      </c>
      <c r="F26" s="1431">
        <v>7</v>
      </c>
      <c r="G26" s="1431">
        <v>2</v>
      </c>
    </row>
    <row r="27" spans="1:7">
      <c r="A27" s="1431" t="s">
        <v>2509</v>
      </c>
      <c r="B27" s="1431">
        <v>2</v>
      </c>
      <c r="C27" s="1432">
        <v>3787</v>
      </c>
      <c r="E27" t="s">
        <v>2508</v>
      </c>
      <c r="F27" s="1431">
        <v>6</v>
      </c>
      <c r="G27" s="1431">
        <v>4</v>
      </c>
    </row>
    <row r="28" spans="1:7">
      <c r="A28" s="1431" t="s">
        <v>2509</v>
      </c>
      <c r="B28" s="1431">
        <v>3</v>
      </c>
      <c r="C28" s="1432">
        <v>837</v>
      </c>
      <c r="E28" t="s">
        <v>2508</v>
      </c>
      <c r="F28" s="1431" t="s">
        <v>2506</v>
      </c>
      <c r="G28" s="1431">
        <v>2</v>
      </c>
    </row>
    <row r="29" spans="1:7">
      <c r="A29" s="1431" t="s">
        <v>2509</v>
      </c>
      <c r="B29" s="1431">
        <v>4</v>
      </c>
      <c r="C29" s="1432">
        <v>4401</v>
      </c>
      <c r="E29" t="s">
        <v>2508</v>
      </c>
      <c r="F29" s="1431">
        <v>4</v>
      </c>
      <c r="G29" s="1431">
        <v>5</v>
      </c>
    </row>
    <row r="30" spans="1:7">
      <c r="A30" s="1431" t="s">
        <v>2509</v>
      </c>
      <c r="B30" s="1431">
        <v>5</v>
      </c>
      <c r="C30" s="1432">
        <v>4772</v>
      </c>
      <c r="E30" t="s">
        <v>2508</v>
      </c>
      <c r="F30" s="1431">
        <v>3</v>
      </c>
      <c r="G30" s="1431">
        <v>2</v>
      </c>
    </row>
    <row r="31" spans="1:7">
      <c r="A31" s="1431" t="s">
        <v>2509</v>
      </c>
      <c r="B31" s="1431">
        <v>6</v>
      </c>
      <c r="C31" s="1432">
        <v>4806</v>
      </c>
      <c r="E31" t="s">
        <v>2508</v>
      </c>
      <c r="F31" s="1431">
        <v>2</v>
      </c>
      <c r="G31" s="1431">
        <v>1</v>
      </c>
    </row>
    <row r="32" spans="1:7">
      <c r="A32" s="1431" t="s">
        <v>2509</v>
      </c>
      <c r="B32" s="1431">
        <v>7</v>
      </c>
      <c r="C32" s="1432">
        <v>1098</v>
      </c>
      <c r="E32" t="s">
        <v>2508</v>
      </c>
      <c r="F32" s="1431">
        <v>1</v>
      </c>
      <c r="G32" s="1431">
        <v>1</v>
      </c>
    </row>
    <row r="33" spans="1:7">
      <c r="A33" s="1431" t="s">
        <v>2509</v>
      </c>
      <c r="B33" s="1431">
        <v>8</v>
      </c>
      <c r="C33" s="1432">
        <v>2779</v>
      </c>
      <c r="E33" t="s">
        <v>2508</v>
      </c>
      <c r="F33" s="1431">
        <v>5</v>
      </c>
      <c r="G33" s="1431">
        <v>3</v>
      </c>
    </row>
    <row r="34" spans="1:7">
      <c r="A34" s="1431" t="s">
        <v>2509</v>
      </c>
      <c r="B34" s="1431">
        <v>9</v>
      </c>
      <c r="C34" s="1432">
        <v>1</v>
      </c>
      <c r="E34" t="s">
        <v>2504</v>
      </c>
      <c r="F34" s="1431" t="s">
        <v>2507</v>
      </c>
      <c r="G34" s="1431">
        <v>37</v>
      </c>
    </row>
    <row r="35" spans="1:7">
      <c r="A35" s="1431" t="s">
        <v>2509</v>
      </c>
      <c r="B35" s="1431" t="s">
        <v>2505</v>
      </c>
      <c r="C35" s="1432">
        <v>1274</v>
      </c>
      <c r="E35" t="s">
        <v>2504</v>
      </c>
      <c r="F35" s="1431" t="s">
        <v>2506</v>
      </c>
      <c r="G35" s="1431">
        <v>630</v>
      </c>
    </row>
    <row r="36" spans="1:7">
      <c r="A36" s="1431" t="s">
        <v>2509</v>
      </c>
      <c r="B36" s="1431" t="s">
        <v>2506</v>
      </c>
      <c r="C36" s="1432">
        <v>630</v>
      </c>
      <c r="E36" t="s">
        <v>2504</v>
      </c>
      <c r="F36" s="1431" t="s">
        <v>2505</v>
      </c>
      <c r="G36" s="1431">
        <v>1270</v>
      </c>
    </row>
    <row r="37" spans="1:7">
      <c r="A37" s="1431" t="s">
        <v>2509</v>
      </c>
      <c r="B37" s="1431" t="s">
        <v>2507</v>
      </c>
      <c r="C37" s="1432">
        <v>37</v>
      </c>
      <c r="E37" t="s">
        <v>2504</v>
      </c>
      <c r="F37" s="1431">
        <v>9</v>
      </c>
      <c r="G37" s="1431">
        <v>1</v>
      </c>
    </row>
    <row r="38" spans="1:7">
      <c r="A38" s="1431" t="s">
        <v>2510</v>
      </c>
      <c r="B38" s="1431">
        <v>1</v>
      </c>
      <c r="C38" s="1432">
        <v>6</v>
      </c>
      <c r="E38" t="s">
        <v>2504</v>
      </c>
      <c r="F38" s="1431">
        <v>8</v>
      </c>
      <c r="G38" s="1431">
        <v>2767</v>
      </c>
    </row>
    <row r="39" spans="1:7">
      <c r="A39" s="1431" t="s">
        <v>2510</v>
      </c>
      <c r="B39" s="1431">
        <v>2</v>
      </c>
      <c r="C39" s="1432">
        <v>11</v>
      </c>
      <c r="E39" t="s">
        <v>2504</v>
      </c>
      <c r="F39" s="1431">
        <v>7</v>
      </c>
      <c r="G39" s="1431">
        <v>1097</v>
      </c>
    </row>
    <row r="40" spans="1:7">
      <c r="A40" s="1431" t="s">
        <v>2510</v>
      </c>
      <c r="B40" s="1431">
        <v>3</v>
      </c>
      <c r="C40" s="1432">
        <v>5</v>
      </c>
      <c r="E40" t="s">
        <v>2504</v>
      </c>
      <c r="F40" s="1431">
        <v>6</v>
      </c>
      <c r="G40" s="1431">
        <v>4792</v>
      </c>
    </row>
    <row r="41" spans="1:7">
      <c r="A41" s="1431" t="s">
        <v>2510</v>
      </c>
      <c r="B41" s="1431">
        <v>4</v>
      </c>
      <c r="C41" s="1432">
        <v>22</v>
      </c>
      <c r="E41" t="s">
        <v>2504</v>
      </c>
      <c r="F41" s="1431">
        <v>5</v>
      </c>
      <c r="G41" s="1431">
        <v>4763</v>
      </c>
    </row>
    <row r="42" spans="1:7">
      <c r="A42" s="1431" t="s">
        <v>2510</v>
      </c>
      <c r="B42" s="1431">
        <v>5</v>
      </c>
      <c r="C42" s="1432">
        <v>24</v>
      </c>
      <c r="E42" t="s">
        <v>2504</v>
      </c>
      <c r="F42" s="1431">
        <v>4</v>
      </c>
      <c r="G42" s="1431">
        <v>4397</v>
      </c>
    </row>
    <row r="43" spans="1:7">
      <c r="A43" s="1431" t="s">
        <v>2510</v>
      </c>
      <c r="B43" s="1431">
        <v>6</v>
      </c>
      <c r="C43" s="1432">
        <v>28</v>
      </c>
      <c r="E43" t="s">
        <v>2504</v>
      </c>
      <c r="F43" s="1431">
        <v>3</v>
      </c>
      <c r="G43" s="1431">
        <v>837</v>
      </c>
    </row>
    <row r="44" spans="1:7">
      <c r="A44" s="1431" t="s">
        <v>2510</v>
      </c>
      <c r="B44" s="1431">
        <v>7</v>
      </c>
      <c r="C44" s="1432">
        <v>5</v>
      </c>
      <c r="E44" t="s">
        <v>2504</v>
      </c>
      <c r="F44" s="1431">
        <v>1</v>
      </c>
      <c r="G44" s="1431">
        <v>1084</v>
      </c>
    </row>
    <row r="45" spans="1:7">
      <c r="A45" s="1431" t="s">
        <v>2510</v>
      </c>
      <c r="B45" s="1431">
        <v>8</v>
      </c>
      <c r="C45" s="1432">
        <v>40</v>
      </c>
      <c r="E45" t="s">
        <v>2504</v>
      </c>
      <c r="F45" s="1431">
        <v>2</v>
      </c>
      <c r="G45" s="1431">
        <v>3784</v>
      </c>
    </row>
    <row r="46" spans="1:7">
      <c r="A46" s="1431" t="s">
        <v>2510</v>
      </c>
      <c r="B46" s="1431" t="s">
        <v>2505</v>
      </c>
      <c r="C46" s="1432">
        <v>10</v>
      </c>
    </row>
    <row r="47" spans="1:7">
      <c r="A47" s="1431" t="s">
        <v>2510</v>
      </c>
      <c r="B47" s="1431" t="s">
        <v>2506</v>
      </c>
      <c r="C47" s="1432">
        <v>2</v>
      </c>
    </row>
    <row r="48" spans="1:7">
      <c r="A48" s="1431" t="s">
        <v>2511</v>
      </c>
      <c r="B48" s="1431">
        <v>1</v>
      </c>
      <c r="C48" s="1432">
        <v>29.17</v>
      </c>
    </row>
    <row r="49" spans="1:3">
      <c r="A49" s="1431" t="s">
        <v>2511</v>
      </c>
      <c r="B49" s="1431">
        <v>3</v>
      </c>
      <c r="C49" s="1432">
        <v>215.57</v>
      </c>
    </row>
    <row r="50" spans="1:3">
      <c r="A50" s="1431" t="s">
        <v>2511</v>
      </c>
      <c r="B50" s="1431">
        <v>6</v>
      </c>
      <c r="C50" s="1432">
        <v>3.15</v>
      </c>
    </row>
    <row r="51" spans="1:3">
      <c r="A51" s="1431" t="s">
        <v>2511</v>
      </c>
      <c r="B51" s="1431">
        <v>8</v>
      </c>
      <c r="C51" s="1432">
        <v>40.5</v>
      </c>
    </row>
    <row r="52" spans="1:3">
      <c r="A52" s="1431" t="s">
        <v>2511</v>
      </c>
      <c r="B52" s="1431">
        <v>5</v>
      </c>
      <c r="C52" s="1432">
        <v>6.46</v>
      </c>
    </row>
    <row r="53" spans="1:3">
      <c r="A53" s="1431" t="s">
        <v>2511</v>
      </c>
      <c r="B53" s="1431">
        <v>7</v>
      </c>
      <c r="C53" s="1432">
        <v>14.14</v>
      </c>
    </row>
    <row r="54" spans="1:3">
      <c r="A54" s="1431" t="s">
        <v>2511</v>
      </c>
      <c r="B54" s="1431" t="s">
        <v>2506</v>
      </c>
      <c r="C54" s="1432">
        <v>0</v>
      </c>
    </row>
    <row r="55" spans="1:3">
      <c r="A55" s="1431" t="s">
        <v>2511</v>
      </c>
      <c r="B55" s="1431">
        <v>2</v>
      </c>
      <c r="C55" s="1432">
        <v>7.04</v>
      </c>
    </row>
    <row r="56" spans="1:3">
      <c r="A56" s="1431" t="s">
        <v>2511</v>
      </c>
      <c r="B56" s="1431">
        <v>4</v>
      </c>
      <c r="C56" s="1432">
        <v>11.19</v>
      </c>
    </row>
    <row r="57" spans="1:3">
      <c r="A57" s="1431" t="s">
        <v>2512</v>
      </c>
      <c r="B57" s="1431">
        <v>1</v>
      </c>
      <c r="C57" s="1432">
        <v>6</v>
      </c>
    </row>
    <row r="58" spans="1:3">
      <c r="A58" s="1431" t="s">
        <v>2512</v>
      </c>
      <c r="B58" s="1431">
        <v>3</v>
      </c>
      <c r="C58" s="1432">
        <v>7</v>
      </c>
    </row>
    <row r="59" spans="1:3">
      <c r="A59" s="1431" t="s">
        <v>2512</v>
      </c>
      <c r="B59" s="1431">
        <v>6</v>
      </c>
      <c r="C59" s="1432">
        <v>75</v>
      </c>
    </row>
    <row r="60" spans="1:3">
      <c r="A60" s="1431" t="s">
        <v>2512</v>
      </c>
      <c r="B60" s="1431">
        <v>8</v>
      </c>
      <c r="C60" s="1432">
        <v>12</v>
      </c>
    </row>
    <row r="61" spans="1:3">
      <c r="A61" s="1431" t="s">
        <v>2512</v>
      </c>
      <c r="B61" s="1431">
        <v>5</v>
      </c>
      <c r="C61" s="1432">
        <v>658</v>
      </c>
    </row>
    <row r="62" spans="1:3">
      <c r="A62" s="1431" t="s">
        <v>2512</v>
      </c>
      <c r="B62" s="1431">
        <v>7</v>
      </c>
      <c r="C62" s="1432">
        <v>7</v>
      </c>
    </row>
    <row r="63" spans="1:3">
      <c r="A63" s="1431" t="s">
        <v>2512</v>
      </c>
      <c r="B63" s="1431" t="s">
        <v>2506</v>
      </c>
      <c r="C63" s="1432">
        <v>1</v>
      </c>
    </row>
    <row r="64" spans="1:3">
      <c r="A64" s="1431" t="s">
        <v>2512</v>
      </c>
      <c r="B64" s="1431">
        <v>2</v>
      </c>
      <c r="C64" s="1432">
        <v>26</v>
      </c>
    </row>
    <row r="65" spans="1:3">
      <c r="A65" s="1431" t="s">
        <v>2512</v>
      </c>
      <c r="B65" s="1431">
        <v>4</v>
      </c>
      <c r="C65" s="1432">
        <v>143</v>
      </c>
    </row>
    <row r="66" spans="1:3">
      <c r="A66" s="1431" t="s">
        <v>2513</v>
      </c>
      <c r="B66" s="1431">
        <v>3</v>
      </c>
      <c r="C66" s="1432">
        <v>7</v>
      </c>
    </row>
    <row r="67" spans="1:3">
      <c r="A67" s="1431" t="s">
        <v>2513</v>
      </c>
      <c r="B67" s="1431">
        <v>6</v>
      </c>
      <c r="C67" s="1432">
        <v>71</v>
      </c>
    </row>
    <row r="68" spans="1:3">
      <c r="A68" s="1431" t="s">
        <v>2513</v>
      </c>
      <c r="B68" s="1431">
        <v>8</v>
      </c>
      <c r="C68" s="1432">
        <v>2</v>
      </c>
    </row>
    <row r="69" spans="1:3">
      <c r="A69" s="1431" t="s">
        <v>2513</v>
      </c>
      <c r="B69" s="1431">
        <v>5</v>
      </c>
      <c r="C69" s="1432">
        <v>651</v>
      </c>
    </row>
    <row r="70" spans="1:3">
      <c r="A70" s="1431" t="s">
        <v>2513</v>
      </c>
      <c r="B70" s="1431">
        <v>7</v>
      </c>
      <c r="C70" s="1432">
        <v>7</v>
      </c>
    </row>
    <row r="71" spans="1:3">
      <c r="A71" s="1431" t="s">
        <v>2513</v>
      </c>
      <c r="B71" s="1431">
        <v>4</v>
      </c>
      <c r="C71" s="1432">
        <v>7</v>
      </c>
    </row>
    <row r="72" spans="1:3">
      <c r="A72" s="1431" t="s">
        <v>2513</v>
      </c>
      <c r="B72" s="1431">
        <v>2</v>
      </c>
      <c r="C72" s="1432">
        <v>13</v>
      </c>
    </row>
    <row r="73" spans="1:3">
      <c r="A73" s="1431" t="s">
        <v>2514</v>
      </c>
      <c r="B73" s="1431">
        <v>1</v>
      </c>
      <c r="C73" s="1432">
        <v>407646</v>
      </c>
    </row>
    <row r="74" spans="1:3">
      <c r="A74" s="1431" t="s">
        <v>2514</v>
      </c>
      <c r="B74" s="1431">
        <v>2</v>
      </c>
      <c r="C74" s="1432">
        <v>2179565.9</v>
      </c>
    </row>
    <row r="75" spans="1:3">
      <c r="A75" s="1431" t="s">
        <v>2514</v>
      </c>
      <c r="B75" s="1431">
        <v>3</v>
      </c>
      <c r="C75" s="1432">
        <v>136232.76</v>
      </c>
    </row>
    <row r="76" spans="1:3">
      <c r="A76" s="1431" t="s">
        <v>2514</v>
      </c>
      <c r="B76" s="1431">
        <v>4</v>
      </c>
      <c r="C76" s="1432">
        <v>3360979.07</v>
      </c>
    </row>
    <row r="77" spans="1:3">
      <c r="A77" s="1431" t="s">
        <v>2514</v>
      </c>
      <c r="B77" s="1431">
        <v>5</v>
      </c>
      <c r="C77" s="1432">
        <v>2719301.33</v>
      </c>
    </row>
    <row r="78" spans="1:3">
      <c r="A78" s="1431" t="s">
        <v>2514</v>
      </c>
      <c r="B78" s="1431">
        <v>6</v>
      </c>
      <c r="C78" s="1432">
        <v>3655266.63</v>
      </c>
    </row>
    <row r="79" spans="1:3">
      <c r="A79" s="1431" t="s">
        <v>2514</v>
      </c>
      <c r="B79" s="1431">
        <v>7</v>
      </c>
      <c r="C79" s="1432">
        <v>413496.86</v>
      </c>
    </row>
    <row r="80" spans="1:3">
      <c r="A80" s="1431" t="s">
        <v>2514</v>
      </c>
      <c r="B80" s="1431">
        <v>8</v>
      </c>
      <c r="C80" s="1432">
        <v>3886865.49</v>
      </c>
    </row>
    <row r="81" spans="1:3">
      <c r="A81" s="1431" t="s">
        <v>2514</v>
      </c>
      <c r="B81" s="1431" t="s">
        <v>2505</v>
      </c>
      <c r="C81" s="1432">
        <v>1742806.56</v>
      </c>
    </row>
    <row r="82" spans="1:3">
      <c r="A82" s="1431" t="s">
        <v>2514</v>
      </c>
      <c r="B82" s="1431" t="s">
        <v>2506</v>
      </c>
      <c r="C82" s="1432">
        <v>342152.33</v>
      </c>
    </row>
    <row r="83" spans="1:3">
      <c r="A83" s="1431" t="s">
        <v>2514</v>
      </c>
      <c r="B83" s="1431" t="s">
        <v>2507</v>
      </c>
      <c r="C83" s="1432">
        <v>34673</v>
      </c>
    </row>
    <row r="84" spans="1:3">
      <c r="A84" s="1431" t="s">
        <v>2515</v>
      </c>
      <c r="B84" s="1431">
        <v>1</v>
      </c>
      <c r="C84" s="1432">
        <v>21351675.07</v>
      </c>
    </row>
    <row r="85" spans="1:3">
      <c r="A85" s="1431" t="s">
        <v>2515</v>
      </c>
      <c r="B85" s="1431">
        <v>2</v>
      </c>
      <c r="C85" s="1432">
        <v>30623713.09</v>
      </c>
    </row>
    <row r="86" spans="1:3">
      <c r="A86" s="1431" t="s">
        <v>2515</v>
      </c>
      <c r="B86" s="1431">
        <v>3</v>
      </c>
      <c r="C86" s="1432">
        <v>6935900.2599999998</v>
      </c>
    </row>
    <row r="87" spans="1:3">
      <c r="A87" s="1431" t="s">
        <v>2515</v>
      </c>
      <c r="B87" s="1431">
        <v>4</v>
      </c>
      <c r="C87" s="1432">
        <v>23320426.629999999</v>
      </c>
    </row>
    <row r="88" spans="1:3">
      <c r="A88" s="1431" t="s">
        <v>2515</v>
      </c>
      <c r="B88" s="1431">
        <v>5</v>
      </c>
      <c r="C88" s="1432">
        <v>47507898.030000001</v>
      </c>
    </row>
    <row r="89" spans="1:3">
      <c r="A89" s="1431" t="s">
        <v>2515</v>
      </c>
      <c r="B89" s="1431">
        <v>6</v>
      </c>
      <c r="C89" s="1432">
        <v>30344987.079999998</v>
      </c>
    </row>
    <row r="90" spans="1:3">
      <c r="A90" s="1431" t="s">
        <v>2515</v>
      </c>
      <c r="B90" s="1431">
        <v>7</v>
      </c>
      <c r="C90" s="1432">
        <v>5387273.3799999999</v>
      </c>
    </row>
    <row r="91" spans="1:3">
      <c r="A91" s="1431" t="s">
        <v>2515</v>
      </c>
      <c r="B91" s="1431">
        <v>8</v>
      </c>
      <c r="C91" s="1432">
        <v>9004757</v>
      </c>
    </row>
    <row r="92" spans="1:3">
      <c r="A92" s="1431" t="s">
        <v>2515</v>
      </c>
      <c r="B92" s="1431" t="s">
        <v>2505</v>
      </c>
      <c r="C92" s="1432">
        <v>15872295.720000001</v>
      </c>
    </row>
    <row r="93" spans="1:3">
      <c r="A93" s="1431" t="s">
        <v>2515</v>
      </c>
      <c r="B93" s="1431" t="s">
        <v>2506</v>
      </c>
      <c r="C93" s="1432">
        <v>3379903.26</v>
      </c>
    </row>
    <row r="94" spans="1:3">
      <c r="A94" s="1431" t="s">
        <v>2515</v>
      </c>
      <c r="B94" s="1431" t="s">
        <v>2507</v>
      </c>
      <c r="C94" s="1432">
        <v>297</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Q121"/>
  <sheetViews>
    <sheetView workbookViewId="0">
      <selection activeCell="K14" sqref="K14"/>
    </sheetView>
  </sheetViews>
  <sheetFormatPr defaultRowHeight="13.5"/>
  <cols>
    <col min="1" max="1" width="9.875" style="1259" bestFit="1" customWidth="1"/>
    <col min="2" max="2" width="9.875" style="1259" customWidth="1"/>
    <col min="3" max="3" width="9" style="32"/>
    <col min="4" max="5" width="12.5" style="32" bestFit="1" customWidth="1"/>
    <col min="6" max="6" width="9" style="1376"/>
    <col min="7" max="7" width="13.75" style="1441" customWidth="1"/>
    <col min="9" max="9" width="9.75" customWidth="1"/>
    <col min="10" max="10" width="22" customWidth="1"/>
    <col min="11" max="11" width="15.375" customWidth="1"/>
    <col min="12" max="12" width="15.375" bestFit="1" customWidth="1"/>
  </cols>
  <sheetData>
    <row r="1" spans="1:11" ht="30" customHeight="1">
      <c r="A1" s="1368" t="s">
        <v>2425</v>
      </c>
      <c r="B1" s="1368" t="s">
        <v>2465</v>
      </c>
      <c r="C1" s="1368" t="s">
        <v>2426</v>
      </c>
      <c r="D1" s="1368" t="s">
        <v>2427</v>
      </c>
      <c r="E1" s="1368" t="s">
        <v>2428</v>
      </c>
      <c r="F1" s="1375" t="s">
        <v>2429</v>
      </c>
      <c r="G1" s="1439" t="s">
        <v>2516</v>
      </c>
      <c r="H1" s="1367" t="s">
        <v>2430</v>
      </c>
    </row>
    <row r="2" spans="1:11" ht="14.25">
      <c r="A2" s="1377">
        <v>7</v>
      </c>
      <c r="B2" s="1377" t="s">
        <v>2460</v>
      </c>
      <c r="C2" s="1378" t="s">
        <v>2461</v>
      </c>
      <c r="D2" s="1378">
        <v>5451353</v>
      </c>
      <c r="E2" s="1378">
        <v>5594623</v>
      </c>
      <c r="F2" s="1379">
        <v>0.97439148267899378</v>
      </c>
      <c r="G2" s="1440"/>
      <c r="H2" s="1378">
        <f>IF(F2&gt;0.9,3,IF(F2&gt;0.8,1.5,0))</f>
        <v>3</v>
      </c>
    </row>
    <row r="3" spans="1:11" ht="14.25">
      <c r="A3" s="1377">
        <v>7</v>
      </c>
      <c r="B3" s="1377" t="s">
        <v>2460</v>
      </c>
      <c r="C3" s="1378" t="s">
        <v>2462</v>
      </c>
      <c r="D3" s="1378">
        <v>1802618</v>
      </c>
      <c r="E3" s="1378">
        <v>1830832</v>
      </c>
      <c r="F3" s="1379">
        <v>0.98458951995595445</v>
      </c>
      <c r="G3" s="1440"/>
      <c r="H3" s="1378">
        <f t="shared" ref="H3:H66" si="0">IF(F3&gt;0.9,3,IF(F3&gt;0.8,1.5,0))</f>
        <v>3</v>
      </c>
    </row>
    <row r="4" spans="1:11" ht="14.25">
      <c r="A4" s="1377">
        <v>7</v>
      </c>
      <c r="B4" s="1377" t="s">
        <v>2460</v>
      </c>
      <c r="C4" s="1378" t="s">
        <v>2463</v>
      </c>
      <c r="D4" s="1378">
        <v>918692</v>
      </c>
      <c r="E4" s="1378">
        <v>918592</v>
      </c>
      <c r="F4" s="1379">
        <v>1</v>
      </c>
      <c r="G4" s="1440"/>
      <c r="H4" s="1378">
        <f t="shared" si="0"/>
        <v>3</v>
      </c>
    </row>
    <row r="5" spans="1:11" ht="14.25">
      <c r="A5" s="1377">
        <v>7</v>
      </c>
      <c r="B5" s="1377" t="s">
        <v>2460</v>
      </c>
      <c r="C5" s="1378" t="s">
        <v>2464</v>
      </c>
      <c r="D5" s="1378">
        <v>50262</v>
      </c>
      <c r="E5" s="1378">
        <v>50166</v>
      </c>
      <c r="F5" s="1379">
        <v>1</v>
      </c>
      <c r="G5" s="1440"/>
      <c r="H5" s="1378">
        <f t="shared" si="0"/>
        <v>3</v>
      </c>
      <c r="J5" s="1257" t="s">
        <v>2273</v>
      </c>
    </row>
    <row r="6" spans="1:11" ht="14.25">
      <c r="A6" s="1377">
        <v>7</v>
      </c>
      <c r="B6" s="1377" t="s">
        <v>2466</v>
      </c>
      <c r="C6" s="1378" t="s">
        <v>2461</v>
      </c>
      <c r="D6" s="1378">
        <v>16383604</v>
      </c>
      <c r="E6" s="1378">
        <v>17485002</v>
      </c>
      <c r="F6" s="1379">
        <v>0.93700898633011309</v>
      </c>
      <c r="G6" s="1440"/>
      <c r="H6" s="1378">
        <f t="shared" si="0"/>
        <v>3</v>
      </c>
      <c r="I6" s="1257" t="s">
        <v>2270</v>
      </c>
      <c r="J6" t="s">
        <v>2274</v>
      </c>
      <c r="K6" t="s">
        <v>2267</v>
      </c>
    </row>
    <row r="7" spans="1:11" ht="14.25">
      <c r="A7" s="1377">
        <v>7</v>
      </c>
      <c r="B7" s="1377" t="s">
        <v>2466</v>
      </c>
      <c r="C7" s="1378" t="s">
        <v>2462</v>
      </c>
      <c r="D7" s="1378">
        <v>537063</v>
      </c>
      <c r="E7" s="1378">
        <v>581117</v>
      </c>
      <c r="F7" s="1379">
        <v>0.92419082559966415</v>
      </c>
      <c r="G7" s="1440"/>
      <c r="H7" s="1378">
        <f t="shared" si="0"/>
        <v>3</v>
      </c>
      <c r="I7" s="1251" t="s">
        <v>2181</v>
      </c>
      <c r="J7" s="1145">
        <v>0.9482240104758145</v>
      </c>
      <c r="K7" s="1258">
        <v>2.6538461538461537</v>
      </c>
    </row>
    <row r="8" spans="1:11" ht="14.25">
      <c r="A8" s="1377">
        <v>7</v>
      </c>
      <c r="B8" s="1377" t="s">
        <v>2466</v>
      </c>
      <c r="C8" s="1378" t="s">
        <v>2463</v>
      </c>
      <c r="D8" s="1378">
        <v>7878302</v>
      </c>
      <c r="E8" s="1378">
        <v>7955070</v>
      </c>
      <c r="F8" s="1379">
        <v>0.99034980207590884</v>
      </c>
      <c r="G8" s="1440"/>
      <c r="H8" s="1378">
        <f t="shared" si="0"/>
        <v>3</v>
      </c>
      <c r="I8" s="1251" t="s">
        <v>2178</v>
      </c>
      <c r="J8" s="1145">
        <v>0.92438286168693484</v>
      </c>
      <c r="K8" s="1258">
        <v>2.75</v>
      </c>
    </row>
    <row r="9" spans="1:11" ht="14.25">
      <c r="A9" s="1377">
        <v>7</v>
      </c>
      <c r="B9" s="1377" t="s">
        <v>2466</v>
      </c>
      <c r="C9" s="1378" t="s">
        <v>2464</v>
      </c>
      <c r="D9" s="1378">
        <v>6151</v>
      </c>
      <c r="E9" s="1378">
        <v>32709</v>
      </c>
      <c r="F9" s="1379">
        <v>0.18805221804396344</v>
      </c>
      <c r="G9" s="1440"/>
      <c r="H9" s="1378">
        <f t="shared" si="0"/>
        <v>0</v>
      </c>
      <c r="I9" s="1251" t="s">
        <v>2272</v>
      </c>
      <c r="J9" s="1145">
        <v>0.92414960890142217</v>
      </c>
      <c r="K9" s="1258">
        <v>2.5862068965517242</v>
      </c>
    </row>
    <row r="10" spans="1:11" ht="14.25">
      <c r="A10" s="1377">
        <v>7</v>
      </c>
      <c r="B10" s="1377" t="s">
        <v>2467</v>
      </c>
      <c r="C10" s="1378" t="s">
        <v>2461</v>
      </c>
      <c r="D10" s="1378">
        <v>4526371</v>
      </c>
      <c r="E10" s="1378">
        <v>4776737</v>
      </c>
      <c r="F10" s="1379">
        <v>0.94758639632033337</v>
      </c>
      <c r="G10" s="1440"/>
      <c r="H10" s="1378">
        <f t="shared" si="0"/>
        <v>3</v>
      </c>
      <c r="I10" s="1251" t="s">
        <v>2180</v>
      </c>
      <c r="J10" s="1145">
        <v>0.95410470307018547</v>
      </c>
      <c r="K10" s="1258">
        <v>2.85</v>
      </c>
    </row>
    <row r="11" spans="1:11" ht="14.25">
      <c r="A11" s="1377">
        <v>7</v>
      </c>
      <c r="B11" s="1377" t="s">
        <v>2467</v>
      </c>
      <c r="C11" s="1378" t="s">
        <v>2462</v>
      </c>
      <c r="D11" s="1378"/>
      <c r="E11" s="1378"/>
      <c r="F11" s="1379"/>
      <c r="G11" s="1440"/>
      <c r="H11" s="1378"/>
    </row>
    <row r="12" spans="1:11" ht="14.25">
      <c r="A12" s="1377">
        <v>7</v>
      </c>
      <c r="B12" s="1377" t="s">
        <v>2467</v>
      </c>
      <c r="C12" s="1378" t="s">
        <v>2463</v>
      </c>
      <c r="D12" s="1378">
        <v>944601</v>
      </c>
      <c r="E12" s="1378">
        <v>985489</v>
      </c>
      <c r="F12" s="1379">
        <v>0.95850993770605253</v>
      </c>
      <c r="G12" s="1440"/>
      <c r="H12" s="1378">
        <f t="shared" si="0"/>
        <v>3</v>
      </c>
    </row>
    <row r="13" spans="1:11" ht="14.25">
      <c r="A13" s="1377">
        <v>7</v>
      </c>
      <c r="B13" s="1377" t="s">
        <v>2467</v>
      </c>
      <c r="C13" s="1378" t="s">
        <v>2464</v>
      </c>
      <c r="D13" s="1378">
        <v>31729</v>
      </c>
      <c r="E13" s="1378">
        <v>31729</v>
      </c>
      <c r="F13" s="1379">
        <v>1</v>
      </c>
      <c r="G13" s="1440"/>
      <c r="H13" s="1378">
        <f t="shared" si="0"/>
        <v>3</v>
      </c>
    </row>
    <row r="14" spans="1:11" ht="14.25">
      <c r="A14" s="1377">
        <v>7</v>
      </c>
      <c r="B14" s="1377" t="s">
        <v>2468</v>
      </c>
      <c r="C14" s="1378" t="s">
        <v>2461</v>
      </c>
      <c r="D14" s="1378">
        <v>15542170</v>
      </c>
      <c r="E14" s="1378">
        <v>16481284</v>
      </c>
      <c r="F14" s="1379">
        <v>0.94301936669497355</v>
      </c>
      <c r="G14" s="1440"/>
      <c r="H14" s="1378">
        <f t="shared" si="0"/>
        <v>3</v>
      </c>
    </row>
    <row r="15" spans="1:11" ht="14.25">
      <c r="A15" s="1377">
        <v>7</v>
      </c>
      <c r="B15" s="1377" t="s">
        <v>2468</v>
      </c>
      <c r="C15" s="1378" t="s">
        <v>2462</v>
      </c>
      <c r="D15" s="1378">
        <v>2396699</v>
      </c>
      <c r="E15" s="1378">
        <v>2584694</v>
      </c>
      <c r="F15" s="1379">
        <v>0.92726605160997777</v>
      </c>
      <c r="G15" s="1440"/>
      <c r="H15" s="1378">
        <f t="shared" si="0"/>
        <v>3</v>
      </c>
    </row>
    <row r="16" spans="1:11" ht="14.25">
      <c r="A16" s="1377">
        <v>7</v>
      </c>
      <c r="B16" s="1377" t="s">
        <v>2468</v>
      </c>
      <c r="C16" s="1378" t="s">
        <v>2463</v>
      </c>
      <c r="D16" s="1378">
        <v>5075683</v>
      </c>
      <c r="E16" s="1378">
        <v>5303361</v>
      </c>
      <c r="F16" s="1379">
        <v>0.95706911145592388</v>
      </c>
      <c r="G16" s="1440"/>
      <c r="H16" s="1378">
        <f t="shared" si="0"/>
        <v>3</v>
      </c>
      <c r="I16" t="s">
        <v>2281</v>
      </c>
    </row>
    <row r="17" spans="1:11" ht="14.25">
      <c r="A17" s="1377">
        <v>7</v>
      </c>
      <c r="B17" s="1377" t="s">
        <v>2468</v>
      </c>
      <c r="C17" s="1378" t="s">
        <v>2464</v>
      </c>
      <c r="D17" s="1378">
        <v>133825</v>
      </c>
      <c r="E17" s="1378">
        <v>136795</v>
      </c>
      <c r="F17" s="1379">
        <v>0.97828868014181802</v>
      </c>
      <c r="G17" s="1440"/>
      <c r="H17" s="1378">
        <f t="shared" si="0"/>
        <v>3</v>
      </c>
      <c r="I17" t="s">
        <v>2280</v>
      </c>
    </row>
    <row r="18" spans="1:11" ht="14.25">
      <c r="A18" s="1377">
        <v>7</v>
      </c>
      <c r="B18" s="1377" t="s">
        <v>2469</v>
      </c>
      <c r="C18" s="1378" t="s">
        <v>2461</v>
      </c>
      <c r="D18" s="1378">
        <v>16841120</v>
      </c>
      <c r="E18" s="1378">
        <v>17805159</v>
      </c>
      <c r="F18" s="1379">
        <v>0.94585619819514111</v>
      </c>
      <c r="G18" s="1440"/>
      <c r="H18" s="1378">
        <f t="shared" si="0"/>
        <v>3</v>
      </c>
      <c r="I18" t="s">
        <v>2278</v>
      </c>
    </row>
    <row r="19" spans="1:11" ht="14.25">
      <c r="A19" s="1377">
        <v>7</v>
      </c>
      <c r="B19" s="1377" t="s">
        <v>2469</v>
      </c>
      <c r="C19" s="1378" t="s">
        <v>2462</v>
      </c>
      <c r="D19" s="1378">
        <v>5181832</v>
      </c>
      <c r="E19" s="1378">
        <v>5421757</v>
      </c>
      <c r="F19" s="1379">
        <v>0.95574774007761687</v>
      </c>
      <c r="G19" s="1440"/>
      <c r="H19" s="1378">
        <f t="shared" si="0"/>
        <v>3</v>
      </c>
    </row>
    <row r="20" spans="1:11" ht="14.25">
      <c r="A20" s="1377">
        <v>7</v>
      </c>
      <c r="B20" s="1377" t="s">
        <v>2469</v>
      </c>
      <c r="C20" s="1378" t="s">
        <v>2463</v>
      </c>
      <c r="D20" s="1378">
        <v>771770</v>
      </c>
      <c r="E20" s="1378">
        <v>793445</v>
      </c>
      <c r="F20" s="1379">
        <v>0.97268241655061161</v>
      </c>
      <c r="G20" s="1440"/>
      <c r="H20" s="1378">
        <f t="shared" si="0"/>
        <v>3</v>
      </c>
    </row>
    <row r="21" spans="1:11" ht="14.25">
      <c r="A21" s="1377">
        <v>7</v>
      </c>
      <c r="B21" s="1377" t="s">
        <v>2469</v>
      </c>
      <c r="C21" s="1378" t="s">
        <v>2464</v>
      </c>
      <c r="D21" s="1378">
        <v>228492</v>
      </c>
      <c r="E21" s="1378">
        <v>228283</v>
      </c>
      <c r="F21" s="1379">
        <v>1</v>
      </c>
      <c r="G21" s="1440"/>
      <c r="H21" s="1378">
        <f t="shared" si="0"/>
        <v>3</v>
      </c>
    </row>
    <row r="22" spans="1:11" ht="14.25">
      <c r="A22" s="1377">
        <v>7</v>
      </c>
      <c r="B22" s="1377" t="s">
        <v>2470</v>
      </c>
      <c r="C22" s="1378" t="s">
        <v>2461</v>
      </c>
      <c r="D22" s="1378">
        <v>14608374</v>
      </c>
      <c r="E22" s="1378">
        <v>15528001</v>
      </c>
      <c r="F22" s="1379">
        <v>0.94077621453012528</v>
      </c>
      <c r="G22" s="1440"/>
      <c r="H22" s="1378">
        <f t="shared" si="0"/>
        <v>3</v>
      </c>
      <c r="K22" s="1033"/>
    </row>
    <row r="23" spans="1:11" ht="14.25">
      <c r="A23" s="1377">
        <v>7</v>
      </c>
      <c r="B23" s="1377" t="s">
        <v>2470</v>
      </c>
      <c r="C23" s="1378" t="s">
        <v>2462</v>
      </c>
      <c r="D23" s="1378">
        <v>6559740</v>
      </c>
      <c r="E23" s="1378">
        <v>7191258</v>
      </c>
      <c r="F23" s="1379">
        <v>0.91218254163596968</v>
      </c>
      <c r="G23" s="1440"/>
      <c r="H23" s="1378">
        <f t="shared" si="0"/>
        <v>3</v>
      </c>
      <c r="I23" s="843" t="s">
        <v>2340</v>
      </c>
      <c r="K23" s="1033"/>
    </row>
    <row r="24" spans="1:11" ht="14.25">
      <c r="A24" s="1377">
        <v>7</v>
      </c>
      <c r="B24" s="1377" t="s">
        <v>2470</v>
      </c>
      <c r="C24" s="1378" t="s">
        <v>2463</v>
      </c>
      <c r="D24" s="1378">
        <v>729167</v>
      </c>
      <c r="E24" s="1378">
        <v>752943</v>
      </c>
      <c r="F24" s="1379">
        <v>0.96842257647657259</v>
      </c>
      <c r="G24" s="1440"/>
      <c r="H24" s="1378">
        <f t="shared" si="0"/>
        <v>3</v>
      </c>
      <c r="I24" s="843" t="s">
        <v>2338</v>
      </c>
      <c r="K24" s="1033"/>
    </row>
    <row r="25" spans="1:11" ht="14.25">
      <c r="A25" s="1377">
        <v>7</v>
      </c>
      <c r="B25" s="1377" t="s">
        <v>2470</v>
      </c>
      <c r="C25" s="1378" t="s">
        <v>2464</v>
      </c>
      <c r="D25" s="1378">
        <v>100028</v>
      </c>
      <c r="E25" s="1378">
        <v>102961</v>
      </c>
      <c r="F25" s="1379">
        <v>0.97151348568875595</v>
      </c>
      <c r="G25" s="1440"/>
      <c r="H25" s="1378">
        <f t="shared" si="0"/>
        <v>3</v>
      </c>
      <c r="I25" s="843" t="s">
        <v>2339</v>
      </c>
      <c r="K25" s="1033"/>
    </row>
    <row r="26" spans="1:11" ht="14.25">
      <c r="A26" s="1377">
        <v>7</v>
      </c>
      <c r="B26" s="1377" t="s">
        <v>2471</v>
      </c>
      <c r="C26" s="1378" t="s">
        <v>2461</v>
      </c>
      <c r="D26" s="1378">
        <v>3208338</v>
      </c>
      <c r="E26" s="1378">
        <v>3459109</v>
      </c>
      <c r="F26" s="1379">
        <v>0.92750416364445298</v>
      </c>
      <c r="G26" s="1440"/>
      <c r="H26" s="1378">
        <f t="shared" si="0"/>
        <v>3</v>
      </c>
      <c r="K26" s="1033"/>
    </row>
    <row r="27" spans="1:11" ht="14.25">
      <c r="A27" s="1377">
        <v>7</v>
      </c>
      <c r="B27" s="1377" t="s">
        <v>2471</v>
      </c>
      <c r="C27" s="1378" t="s">
        <v>2462</v>
      </c>
      <c r="D27" s="1378">
        <v>1542524</v>
      </c>
      <c r="E27" s="1378">
        <v>1592658</v>
      </c>
      <c r="F27" s="1379">
        <v>0.96852180443007851</v>
      </c>
      <c r="G27" s="1440"/>
      <c r="H27" s="1378">
        <f t="shared" si="0"/>
        <v>3</v>
      </c>
      <c r="K27" s="193"/>
    </row>
    <row r="28" spans="1:11" ht="14.25">
      <c r="A28" s="1377">
        <v>7</v>
      </c>
      <c r="B28" s="1377" t="s">
        <v>2471</v>
      </c>
      <c r="C28" s="1378" t="s">
        <v>2463</v>
      </c>
      <c r="D28" s="1378">
        <v>1215008</v>
      </c>
      <c r="E28" s="1378">
        <v>1246896</v>
      </c>
      <c r="F28" s="1379">
        <v>0.97442609487880305</v>
      </c>
      <c r="G28" s="1440"/>
      <c r="H28" s="1378">
        <f t="shared" si="0"/>
        <v>3</v>
      </c>
      <c r="K28" s="193"/>
    </row>
    <row r="29" spans="1:11" ht="14.25">
      <c r="A29" s="1377">
        <v>7</v>
      </c>
      <c r="B29" s="1377" t="s">
        <v>2471</v>
      </c>
      <c r="C29" s="1378" t="s">
        <v>2464</v>
      </c>
      <c r="D29" s="1378">
        <v>10302</v>
      </c>
      <c r="E29" s="1378">
        <v>10308</v>
      </c>
      <c r="F29" s="1379">
        <v>0.99941792782305006</v>
      </c>
      <c r="G29" s="1440"/>
      <c r="H29" s="1378">
        <f t="shared" si="0"/>
        <v>3</v>
      </c>
      <c r="K29" s="193"/>
    </row>
    <row r="30" spans="1:11" ht="14.25">
      <c r="A30" s="1377">
        <v>7</v>
      </c>
      <c r="B30" s="1377" t="s">
        <v>2472</v>
      </c>
      <c r="C30" s="1378" t="s">
        <v>2461</v>
      </c>
      <c r="D30" s="1378">
        <v>9097651</v>
      </c>
      <c r="E30" s="1378">
        <v>9646617</v>
      </c>
      <c r="F30" s="1379">
        <v>0.94309238150535057</v>
      </c>
      <c r="G30" s="1440"/>
      <c r="H30" s="1378">
        <f t="shared" si="0"/>
        <v>3</v>
      </c>
      <c r="K30" s="1033"/>
    </row>
    <row r="31" spans="1:11" ht="14.25">
      <c r="A31" s="1377">
        <v>7</v>
      </c>
      <c r="B31" s="1377" t="s">
        <v>2472</v>
      </c>
      <c r="C31" s="1378" t="s">
        <v>2462</v>
      </c>
      <c r="D31" s="1378">
        <v>724132</v>
      </c>
      <c r="E31" s="1378">
        <v>755255</v>
      </c>
      <c r="F31" s="1379">
        <v>0.95879140157959897</v>
      </c>
      <c r="G31" s="1440"/>
      <c r="H31" s="1378">
        <f t="shared" si="0"/>
        <v>3</v>
      </c>
      <c r="K31" s="1033"/>
    </row>
    <row r="32" spans="1:11" ht="14.25">
      <c r="A32" s="1377">
        <v>7</v>
      </c>
      <c r="B32" s="1377" t="s">
        <v>2472</v>
      </c>
      <c r="C32" s="1378" t="s">
        <v>2463</v>
      </c>
      <c r="D32" s="1378">
        <v>4817821</v>
      </c>
      <c r="E32" s="1378">
        <v>5062962</v>
      </c>
      <c r="F32" s="1379">
        <v>0.95158150505573613</v>
      </c>
      <c r="G32" s="1440"/>
      <c r="H32" s="1378">
        <f t="shared" si="0"/>
        <v>3</v>
      </c>
      <c r="K32" s="1033"/>
    </row>
    <row r="33" spans="1:17" ht="14.25">
      <c r="A33" s="1377">
        <v>7</v>
      </c>
      <c r="B33" s="1377" t="s">
        <v>2472</v>
      </c>
      <c r="C33" s="1378" t="s">
        <v>2464</v>
      </c>
      <c r="D33" s="1378">
        <v>38503</v>
      </c>
      <c r="E33" s="1378">
        <v>39832</v>
      </c>
      <c r="F33" s="1379">
        <v>0.96663486643904395</v>
      </c>
      <c r="G33" s="1440"/>
      <c r="H33" s="1378">
        <f t="shared" si="0"/>
        <v>3</v>
      </c>
      <c r="K33" s="1033"/>
    </row>
    <row r="34" spans="1:17" ht="14.25">
      <c r="A34" s="1377">
        <v>7</v>
      </c>
      <c r="B34" s="1377" t="s">
        <v>2473</v>
      </c>
      <c r="C34" s="1378" t="s">
        <v>2461</v>
      </c>
      <c r="D34" s="1378">
        <v>2926104</v>
      </c>
      <c r="E34" s="1378">
        <v>3136282</v>
      </c>
      <c r="F34" s="1379">
        <v>0.93298498030470478</v>
      </c>
      <c r="G34" s="1440"/>
      <c r="H34" s="1378">
        <f t="shared" si="0"/>
        <v>3</v>
      </c>
    </row>
    <row r="35" spans="1:17" ht="14.25">
      <c r="A35" s="1377">
        <v>7</v>
      </c>
      <c r="B35" s="1377" t="s">
        <v>2473</v>
      </c>
      <c r="C35" s="1378" t="s">
        <v>2462</v>
      </c>
      <c r="D35" s="1378"/>
      <c r="E35" s="1378"/>
      <c r="F35" s="1379"/>
      <c r="G35" s="1440"/>
      <c r="H35" s="1378"/>
    </row>
    <row r="36" spans="1:17" ht="14.25">
      <c r="A36" s="1377">
        <v>7</v>
      </c>
      <c r="B36" s="1377" t="s">
        <v>2473</v>
      </c>
      <c r="C36" s="1378" t="s">
        <v>2463</v>
      </c>
      <c r="D36" s="1378">
        <v>6366055</v>
      </c>
      <c r="E36" s="1378">
        <v>6778025</v>
      </c>
      <c r="F36" s="1379">
        <v>0.93921975796784463</v>
      </c>
      <c r="G36" s="1440"/>
      <c r="H36" s="1378">
        <f t="shared" si="0"/>
        <v>3</v>
      </c>
    </row>
    <row r="37" spans="1:17" ht="14.25">
      <c r="A37" s="1377">
        <v>7</v>
      </c>
      <c r="B37" s="1377" t="s">
        <v>2473</v>
      </c>
      <c r="C37" s="1378" t="s">
        <v>2464</v>
      </c>
      <c r="D37" s="1378">
        <v>20552</v>
      </c>
      <c r="E37" s="1378">
        <v>20552</v>
      </c>
      <c r="F37" s="1379">
        <v>1</v>
      </c>
      <c r="G37" s="1440"/>
      <c r="H37" s="1378">
        <f t="shared" si="0"/>
        <v>3</v>
      </c>
      <c r="J37" s="120"/>
      <c r="K37" s="120"/>
      <c r="L37" s="120"/>
      <c r="M37" s="120"/>
      <c r="N37" s="120"/>
      <c r="O37" s="120"/>
      <c r="P37" s="120"/>
      <c r="Q37" s="120"/>
    </row>
    <row r="38" spans="1:17" ht="14.25">
      <c r="A38" s="1377">
        <v>7</v>
      </c>
      <c r="B38" s="1377" t="s">
        <v>2474</v>
      </c>
      <c r="C38" s="1378" t="s">
        <v>2461</v>
      </c>
      <c r="D38" s="1378">
        <v>2175096</v>
      </c>
      <c r="E38" s="1378">
        <v>2638275</v>
      </c>
      <c r="F38" s="1379">
        <v>0.82443869573869288</v>
      </c>
      <c r="G38" s="1440"/>
      <c r="H38" s="1378">
        <f t="shared" si="0"/>
        <v>1.5</v>
      </c>
      <c r="J38" s="120"/>
      <c r="K38" s="120"/>
      <c r="L38" s="120"/>
      <c r="M38" s="120"/>
      <c r="N38" s="120"/>
      <c r="O38" s="120"/>
      <c r="P38" s="120"/>
      <c r="Q38" s="120"/>
    </row>
    <row r="39" spans="1:17" ht="14.25">
      <c r="A39" s="1377">
        <v>7</v>
      </c>
      <c r="B39" s="1377" t="s">
        <v>2474</v>
      </c>
      <c r="C39" s="1378" t="s">
        <v>2462</v>
      </c>
      <c r="D39" s="1378">
        <v>929450</v>
      </c>
      <c r="E39" s="1378">
        <v>934880</v>
      </c>
      <c r="F39" s="1379">
        <v>0.99419176792743458</v>
      </c>
      <c r="G39" s="1440"/>
      <c r="H39" s="1378">
        <f t="shared" si="0"/>
        <v>3</v>
      </c>
      <c r="J39" s="1033"/>
      <c r="K39" s="1033"/>
      <c r="L39" s="1033"/>
      <c r="M39" s="120"/>
      <c r="N39" s="120"/>
      <c r="O39" s="120"/>
      <c r="P39" s="120"/>
      <c r="Q39" s="120"/>
    </row>
    <row r="40" spans="1:17" ht="14.25">
      <c r="A40" s="1377">
        <v>7</v>
      </c>
      <c r="B40" s="1377" t="s">
        <v>2474</v>
      </c>
      <c r="C40" s="1378" t="s">
        <v>2463</v>
      </c>
      <c r="D40" s="1378">
        <v>289252</v>
      </c>
      <c r="E40" s="1378">
        <v>360916</v>
      </c>
      <c r="F40" s="1379">
        <v>0.80143856188143503</v>
      </c>
      <c r="G40" s="1440"/>
      <c r="H40" s="1378">
        <f t="shared" si="0"/>
        <v>1.5</v>
      </c>
      <c r="J40" s="1033"/>
      <c r="K40" s="1033"/>
      <c r="L40" s="1033"/>
      <c r="M40" s="120"/>
      <c r="N40" s="120"/>
      <c r="O40" s="120"/>
      <c r="P40" s="120"/>
      <c r="Q40" s="120"/>
    </row>
    <row r="41" spans="1:17" ht="14.25">
      <c r="A41" s="1377">
        <v>7</v>
      </c>
      <c r="B41" s="1377" t="s">
        <v>2474</v>
      </c>
      <c r="C41" s="1378" t="s">
        <v>2464</v>
      </c>
      <c r="D41" s="1378">
        <v>3433</v>
      </c>
      <c r="E41" s="1378">
        <v>3433</v>
      </c>
      <c r="F41" s="1379">
        <v>1</v>
      </c>
      <c r="G41" s="1440"/>
      <c r="H41" s="1378">
        <f t="shared" si="0"/>
        <v>3</v>
      </c>
      <c r="J41" s="1033"/>
      <c r="K41" s="1033"/>
      <c r="L41" s="1033"/>
      <c r="M41" s="120"/>
      <c r="N41" s="120"/>
      <c r="O41" s="120"/>
      <c r="P41" s="120"/>
      <c r="Q41" s="120"/>
    </row>
    <row r="42" spans="1:17" ht="14.25">
      <c r="A42" s="1377">
        <v>8</v>
      </c>
      <c r="B42" s="1377" t="s">
        <v>2460</v>
      </c>
      <c r="C42" s="1378" t="s">
        <v>2461</v>
      </c>
      <c r="D42" s="1378">
        <v>6528213</v>
      </c>
      <c r="E42" s="1378">
        <v>6842855</v>
      </c>
      <c r="F42" s="1379">
        <v>0.9540189000059186</v>
      </c>
      <c r="G42" s="1440"/>
      <c r="H42" s="1378">
        <f t="shared" si="0"/>
        <v>3</v>
      </c>
      <c r="J42" s="1033"/>
      <c r="K42" s="1033"/>
      <c r="L42" s="1033"/>
      <c r="M42" s="120"/>
      <c r="N42" s="120"/>
      <c r="O42" s="120"/>
      <c r="P42" s="120"/>
      <c r="Q42" s="120"/>
    </row>
    <row r="43" spans="1:17" ht="14.25">
      <c r="A43" s="1377">
        <v>8</v>
      </c>
      <c r="B43" s="1377" t="s">
        <v>2460</v>
      </c>
      <c r="C43" s="1378" t="s">
        <v>2462</v>
      </c>
      <c r="D43" s="1378">
        <v>1854944</v>
      </c>
      <c r="E43" s="1378">
        <v>1886546</v>
      </c>
      <c r="F43" s="1379">
        <v>0.98324875195197992</v>
      </c>
      <c r="G43" s="1440"/>
      <c r="H43" s="1378">
        <f t="shared" si="0"/>
        <v>3</v>
      </c>
      <c r="J43" s="1033"/>
      <c r="K43" s="1033"/>
      <c r="L43" s="1033"/>
      <c r="M43" s="120"/>
      <c r="N43" s="120"/>
      <c r="O43" s="120"/>
      <c r="P43" s="120"/>
      <c r="Q43" s="120"/>
    </row>
    <row r="44" spans="1:17" ht="14.25">
      <c r="A44" s="1377">
        <v>8</v>
      </c>
      <c r="B44" s="1377" t="s">
        <v>2460</v>
      </c>
      <c r="C44" s="1378" t="s">
        <v>2463</v>
      </c>
      <c r="D44" s="1378">
        <v>966521</v>
      </c>
      <c r="E44" s="1378">
        <v>1021121</v>
      </c>
      <c r="F44" s="1379">
        <v>0.94652935352421508</v>
      </c>
      <c r="G44" s="1440"/>
      <c r="H44" s="1378">
        <f t="shared" si="0"/>
        <v>3</v>
      </c>
      <c r="J44" s="1033"/>
      <c r="K44" s="1033"/>
      <c r="L44" s="1033"/>
      <c r="M44" s="120"/>
      <c r="N44" s="120"/>
      <c r="O44" s="120"/>
      <c r="P44" s="120"/>
      <c r="Q44" s="120"/>
    </row>
    <row r="45" spans="1:17" ht="14.25">
      <c r="A45" s="1377">
        <v>8</v>
      </c>
      <c r="B45" s="1377" t="s">
        <v>2460</v>
      </c>
      <c r="C45" s="1378" t="s">
        <v>2464</v>
      </c>
      <c r="D45" s="1378">
        <v>124252</v>
      </c>
      <c r="E45" s="1378">
        <v>244654</v>
      </c>
      <c r="F45" s="1379">
        <v>0.50786825475978326</v>
      </c>
      <c r="G45" s="1440"/>
      <c r="H45" s="1378">
        <f t="shared" si="0"/>
        <v>0</v>
      </c>
      <c r="J45" s="1033"/>
      <c r="K45" s="1033"/>
      <c r="L45" s="1033"/>
      <c r="M45" s="120"/>
      <c r="N45" s="120"/>
      <c r="O45" s="120"/>
      <c r="P45" s="120"/>
      <c r="Q45" s="120"/>
    </row>
    <row r="46" spans="1:17" ht="14.25">
      <c r="A46" s="1377">
        <v>8</v>
      </c>
      <c r="B46" s="1377" t="s">
        <v>2466</v>
      </c>
      <c r="C46" s="1378" t="s">
        <v>2461</v>
      </c>
      <c r="D46" s="1378">
        <v>27109574</v>
      </c>
      <c r="E46" s="1378">
        <v>29094199</v>
      </c>
      <c r="F46" s="1379">
        <v>0.93178622996288707</v>
      </c>
      <c r="G46" s="1440"/>
      <c r="H46" s="1378">
        <f t="shared" si="0"/>
        <v>3</v>
      </c>
      <c r="J46" s="1033"/>
      <c r="K46" s="1033"/>
      <c r="L46" s="1033"/>
      <c r="M46" s="120"/>
      <c r="N46" s="120"/>
      <c r="O46" s="120"/>
      <c r="P46" s="120"/>
      <c r="Q46" s="120"/>
    </row>
    <row r="47" spans="1:17" ht="14.25">
      <c r="A47" s="1377">
        <v>8</v>
      </c>
      <c r="B47" s="1377" t="s">
        <v>2466</v>
      </c>
      <c r="C47" s="1378" t="s">
        <v>2462</v>
      </c>
      <c r="D47" s="1378">
        <v>710963</v>
      </c>
      <c r="E47" s="1378">
        <v>767819</v>
      </c>
      <c r="F47" s="1379">
        <v>0.92595129841798651</v>
      </c>
      <c r="G47" s="1440"/>
      <c r="H47" s="1378">
        <f t="shared" si="0"/>
        <v>3</v>
      </c>
      <c r="J47" s="1033"/>
      <c r="K47" s="1033"/>
      <c r="L47" s="1033"/>
      <c r="M47" s="120"/>
      <c r="N47" s="120"/>
      <c r="O47" s="120"/>
      <c r="P47" s="120"/>
      <c r="Q47" s="120"/>
    </row>
    <row r="48" spans="1:17" ht="14.25">
      <c r="A48" s="1377">
        <v>8</v>
      </c>
      <c r="B48" s="1377" t="s">
        <v>2466</v>
      </c>
      <c r="C48" s="1378" t="s">
        <v>2463</v>
      </c>
      <c r="D48" s="1378">
        <v>16907574</v>
      </c>
      <c r="E48" s="1378">
        <v>17323466</v>
      </c>
      <c r="F48" s="1379">
        <v>0.97599256407464885</v>
      </c>
      <c r="G48" s="1440"/>
      <c r="H48" s="1378">
        <f t="shared" si="0"/>
        <v>3</v>
      </c>
      <c r="J48" s="1033"/>
      <c r="K48" s="1033"/>
      <c r="L48" s="1033"/>
      <c r="M48" s="120"/>
      <c r="N48" s="120"/>
      <c r="O48" s="120"/>
      <c r="P48" s="120"/>
      <c r="Q48" s="120"/>
    </row>
    <row r="49" spans="1:17" ht="14.25">
      <c r="A49" s="1377">
        <v>8</v>
      </c>
      <c r="B49" s="1377" t="s">
        <v>2466</v>
      </c>
      <c r="C49" s="1378" t="s">
        <v>2464</v>
      </c>
      <c r="D49" s="1378">
        <v>135399</v>
      </c>
      <c r="E49" s="1378">
        <v>186823</v>
      </c>
      <c r="F49" s="1379">
        <v>0.72474481193429074</v>
      </c>
      <c r="G49" s="1440"/>
      <c r="H49" s="1378">
        <f t="shared" si="0"/>
        <v>0</v>
      </c>
      <c r="J49" s="1033"/>
      <c r="K49" s="1033"/>
      <c r="L49" s="1033"/>
      <c r="M49" s="120"/>
      <c r="N49" s="120"/>
      <c r="O49" s="120"/>
      <c r="P49" s="120"/>
      <c r="Q49" s="120"/>
    </row>
    <row r="50" spans="1:17" ht="14.25">
      <c r="A50" s="1377">
        <v>8</v>
      </c>
      <c r="B50" s="1377" t="s">
        <v>2467</v>
      </c>
      <c r="C50" s="1378" t="s">
        <v>2461</v>
      </c>
      <c r="D50" s="1378">
        <v>6237818</v>
      </c>
      <c r="E50" s="1378">
        <v>6920730</v>
      </c>
      <c r="F50" s="1379">
        <v>0.90132370429131026</v>
      </c>
      <c r="G50" s="1440"/>
      <c r="H50" s="1378">
        <f t="shared" si="0"/>
        <v>3</v>
      </c>
      <c r="J50" s="1033"/>
      <c r="K50" s="1033"/>
      <c r="L50" s="1033"/>
      <c r="M50" s="120"/>
      <c r="N50" s="120"/>
      <c r="O50" s="120"/>
      <c r="P50" s="120"/>
      <c r="Q50" s="120"/>
    </row>
    <row r="51" spans="1:17" ht="14.25">
      <c r="A51" s="1377">
        <v>8</v>
      </c>
      <c r="B51" s="1377" t="s">
        <v>2467</v>
      </c>
      <c r="C51" s="1378" t="s">
        <v>2462</v>
      </c>
      <c r="D51" s="1378"/>
      <c r="E51" s="1378"/>
      <c r="F51" s="1379"/>
      <c r="G51" s="1440"/>
      <c r="H51" s="1378"/>
      <c r="J51" s="1033"/>
      <c r="K51" s="1033"/>
      <c r="L51" s="1033"/>
      <c r="M51" s="120"/>
      <c r="N51" s="120"/>
      <c r="O51" s="120"/>
      <c r="P51" s="120"/>
      <c r="Q51" s="120"/>
    </row>
    <row r="52" spans="1:17" ht="14.25">
      <c r="A52" s="1377">
        <v>8</v>
      </c>
      <c r="B52" s="1377" t="s">
        <v>2467</v>
      </c>
      <c r="C52" s="1378" t="s">
        <v>2463</v>
      </c>
      <c r="D52" s="1378">
        <v>928897</v>
      </c>
      <c r="E52" s="1378">
        <v>982445</v>
      </c>
      <c r="F52" s="1379">
        <v>0.94549516766841912</v>
      </c>
      <c r="G52" s="1440"/>
      <c r="H52" s="1378">
        <f t="shared" si="0"/>
        <v>3</v>
      </c>
      <c r="J52" s="1033"/>
      <c r="K52" s="1033"/>
      <c r="L52" s="1033"/>
      <c r="M52" s="120"/>
      <c r="N52" s="120"/>
      <c r="O52" s="120"/>
      <c r="P52" s="120"/>
      <c r="Q52" s="120"/>
    </row>
    <row r="53" spans="1:17" ht="14.25">
      <c r="A53" s="1377">
        <v>8</v>
      </c>
      <c r="B53" s="1377" t="s">
        <v>2467</v>
      </c>
      <c r="C53" s="1378" t="s">
        <v>2464</v>
      </c>
      <c r="D53" s="1378">
        <v>61957</v>
      </c>
      <c r="E53" s="1378">
        <v>66202</v>
      </c>
      <c r="F53" s="1379">
        <v>0.93587807014893809</v>
      </c>
      <c r="G53" s="1440"/>
      <c r="H53" s="1378">
        <f t="shared" si="0"/>
        <v>3</v>
      </c>
      <c r="J53" s="1033"/>
      <c r="K53" s="1033"/>
      <c r="L53" s="1033"/>
      <c r="M53" s="120"/>
      <c r="N53" s="120"/>
      <c r="O53" s="120"/>
      <c r="P53" s="120"/>
      <c r="Q53" s="120"/>
    </row>
    <row r="54" spans="1:17" ht="14.25">
      <c r="A54" s="1377">
        <v>8</v>
      </c>
      <c r="B54" s="1377" t="s">
        <v>2468</v>
      </c>
      <c r="C54" s="1378" t="s">
        <v>2461</v>
      </c>
      <c r="D54" s="1378">
        <v>27126450</v>
      </c>
      <c r="E54" s="1378">
        <v>28894988</v>
      </c>
      <c r="F54" s="1379">
        <v>0.93879429885902699</v>
      </c>
      <c r="G54" s="1440"/>
      <c r="H54" s="1378">
        <f t="shared" si="0"/>
        <v>3</v>
      </c>
      <c r="J54" s="1033"/>
      <c r="K54" s="1033"/>
      <c r="L54" s="1033"/>
      <c r="M54" s="120"/>
      <c r="N54" s="120"/>
      <c r="O54" s="120"/>
      <c r="P54" s="120"/>
      <c r="Q54" s="120"/>
    </row>
    <row r="55" spans="1:17" ht="14.25">
      <c r="A55" s="1377">
        <v>8</v>
      </c>
      <c r="B55" s="1377" t="s">
        <v>2468</v>
      </c>
      <c r="C55" s="1378" t="s">
        <v>2462</v>
      </c>
      <c r="D55" s="1378">
        <v>2421055</v>
      </c>
      <c r="E55" s="1378">
        <v>2600076</v>
      </c>
      <c r="F55" s="1379">
        <v>0.93114778183406943</v>
      </c>
      <c r="G55" s="1440"/>
      <c r="H55" s="1378">
        <f t="shared" si="0"/>
        <v>3</v>
      </c>
      <c r="J55" s="1033"/>
      <c r="K55" s="1033"/>
      <c r="L55" s="1033"/>
      <c r="M55" s="120"/>
      <c r="N55" s="120"/>
      <c r="O55" s="120"/>
      <c r="P55" s="120"/>
      <c r="Q55" s="120"/>
    </row>
    <row r="56" spans="1:17" ht="14.25">
      <c r="A56" s="1377">
        <v>8</v>
      </c>
      <c r="B56" s="1377" t="s">
        <v>2468</v>
      </c>
      <c r="C56" s="1378" t="s">
        <v>2463</v>
      </c>
      <c r="D56" s="1378">
        <v>5480359</v>
      </c>
      <c r="E56" s="1378">
        <v>5945882</v>
      </c>
      <c r="F56" s="1379">
        <v>0.92170665344519109</v>
      </c>
      <c r="G56" s="1440"/>
      <c r="H56" s="1378">
        <f t="shared" si="0"/>
        <v>3</v>
      </c>
      <c r="J56" s="1033"/>
      <c r="K56" s="1033"/>
      <c r="L56" s="1033"/>
      <c r="M56" s="120"/>
      <c r="N56" s="120"/>
      <c r="O56" s="120"/>
      <c r="P56" s="120"/>
      <c r="Q56" s="120"/>
    </row>
    <row r="57" spans="1:17" ht="14.25">
      <c r="A57" s="1377">
        <v>8</v>
      </c>
      <c r="B57" s="1377" t="s">
        <v>2468</v>
      </c>
      <c r="C57" s="1378" t="s">
        <v>2464</v>
      </c>
      <c r="D57" s="1378">
        <v>353297</v>
      </c>
      <c r="E57" s="1378">
        <v>365085</v>
      </c>
      <c r="F57" s="1379">
        <v>0.96771162879877293</v>
      </c>
      <c r="G57" s="1440"/>
      <c r="H57" s="1378">
        <f t="shared" si="0"/>
        <v>3</v>
      </c>
      <c r="J57" s="1033"/>
      <c r="K57" s="1033"/>
      <c r="L57" s="1033"/>
      <c r="M57" s="120"/>
      <c r="N57" s="120"/>
      <c r="O57" s="120"/>
      <c r="P57" s="120"/>
      <c r="Q57" s="120"/>
    </row>
    <row r="58" spans="1:17" ht="14.25">
      <c r="A58" s="1377">
        <v>8</v>
      </c>
      <c r="B58" s="1377" t="s">
        <v>2469</v>
      </c>
      <c r="C58" s="1378" t="s">
        <v>2461</v>
      </c>
      <c r="D58" s="1378">
        <v>31134968</v>
      </c>
      <c r="E58" s="1378">
        <v>32876752</v>
      </c>
      <c r="F58" s="1379">
        <v>0.94702080059490057</v>
      </c>
      <c r="G58" s="1440"/>
      <c r="H58" s="1378">
        <f t="shared" si="0"/>
        <v>3</v>
      </c>
      <c r="J58" s="1033"/>
      <c r="K58" s="1033"/>
      <c r="L58" s="1033"/>
      <c r="M58" s="120"/>
      <c r="N58" s="120"/>
      <c r="O58" s="120"/>
      <c r="P58" s="120"/>
      <c r="Q58" s="120"/>
    </row>
    <row r="59" spans="1:17" ht="14.25">
      <c r="A59" s="1377">
        <v>8</v>
      </c>
      <c r="B59" s="1377" t="s">
        <v>2469</v>
      </c>
      <c r="C59" s="1378" t="s">
        <v>2462</v>
      </c>
      <c r="D59" s="1378">
        <v>4651506</v>
      </c>
      <c r="E59" s="1378">
        <v>4977607</v>
      </c>
      <c r="F59" s="1379">
        <v>0.93448639074961126</v>
      </c>
      <c r="G59" s="1440"/>
      <c r="H59" s="1378">
        <f t="shared" si="0"/>
        <v>3</v>
      </c>
      <c r="J59" s="1033"/>
      <c r="K59" s="1033"/>
      <c r="L59" s="1033"/>
      <c r="M59" s="120"/>
      <c r="N59" s="120"/>
      <c r="O59" s="120"/>
      <c r="P59" s="120"/>
      <c r="Q59" s="120"/>
    </row>
    <row r="60" spans="1:17" ht="14.25">
      <c r="A60" s="1377">
        <v>8</v>
      </c>
      <c r="B60" s="1377" t="s">
        <v>2469</v>
      </c>
      <c r="C60" s="1378" t="s">
        <v>2463</v>
      </c>
      <c r="D60" s="1378">
        <v>530128</v>
      </c>
      <c r="E60" s="1378">
        <v>567953</v>
      </c>
      <c r="F60" s="1379">
        <v>0.93340117932293698</v>
      </c>
      <c r="G60" s="1440"/>
      <c r="H60" s="1378">
        <f t="shared" si="0"/>
        <v>3</v>
      </c>
      <c r="J60" s="120"/>
      <c r="K60" s="120"/>
      <c r="L60" s="120"/>
      <c r="M60" s="120"/>
      <c r="N60" s="120"/>
      <c r="O60" s="120"/>
      <c r="P60" s="120"/>
      <c r="Q60" s="120"/>
    </row>
    <row r="61" spans="1:17" ht="14.25">
      <c r="A61" s="1377">
        <v>8</v>
      </c>
      <c r="B61" s="1377" t="s">
        <v>2469</v>
      </c>
      <c r="C61" s="1378" t="s">
        <v>2464</v>
      </c>
      <c r="D61" s="1378">
        <v>165319</v>
      </c>
      <c r="E61" s="1378">
        <v>169717</v>
      </c>
      <c r="F61" s="1379">
        <v>0.97408627303098683</v>
      </c>
      <c r="G61" s="1440"/>
      <c r="H61" s="1378">
        <f t="shared" si="0"/>
        <v>3</v>
      </c>
      <c r="J61" s="120"/>
      <c r="K61" s="120"/>
      <c r="L61" s="120"/>
      <c r="M61" s="120"/>
      <c r="N61" s="120"/>
      <c r="O61" s="120"/>
      <c r="P61" s="120"/>
      <c r="Q61" s="120"/>
    </row>
    <row r="62" spans="1:17" ht="14.25">
      <c r="A62" s="1377">
        <v>8</v>
      </c>
      <c r="B62" s="1377" t="s">
        <v>2470</v>
      </c>
      <c r="C62" s="1378" t="s">
        <v>2461</v>
      </c>
      <c r="D62" s="1378">
        <v>29049037</v>
      </c>
      <c r="E62" s="1378">
        <v>31377042</v>
      </c>
      <c r="F62" s="1379">
        <v>0.92580546630240035</v>
      </c>
      <c r="G62" s="1440"/>
      <c r="H62" s="1378">
        <f t="shared" si="0"/>
        <v>3</v>
      </c>
      <c r="J62" s="120"/>
      <c r="K62" s="120"/>
      <c r="L62" s="120"/>
      <c r="M62" s="120"/>
      <c r="N62" s="120"/>
      <c r="O62" s="120"/>
      <c r="P62" s="120"/>
      <c r="Q62" s="120"/>
    </row>
    <row r="63" spans="1:17" ht="14.25">
      <c r="A63" s="1377">
        <v>8</v>
      </c>
      <c r="B63" s="1377" t="s">
        <v>2470</v>
      </c>
      <c r="C63" s="1378" t="s">
        <v>2462</v>
      </c>
      <c r="D63" s="1378">
        <v>6439729</v>
      </c>
      <c r="E63" s="1378">
        <v>7054596</v>
      </c>
      <c r="F63" s="1379">
        <v>0.91284164252637567</v>
      </c>
      <c r="G63" s="1440"/>
      <c r="H63" s="1378">
        <f t="shared" si="0"/>
        <v>3</v>
      </c>
      <c r="J63" s="120"/>
      <c r="K63" s="120"/>
      <c r="L63" s="120"/>
      <c r="M63" s="120"/>
      <c r="N63" s="120"/>
      <c r="O63" s="120"/>
      <c r="P63" s="120"/>
      <c r="Q63" s="120"/>
    </row>
    <row r="64" spans="1:17" ht="14.25">
      <c r="A64" s="1377">
        <v>8</v>
      </c>
      <c r="B64" s="1377" t="s">
        <v>2470</v>
      </c>
      <c r="C64" s="1378" t="s">
        <v>2463</v>
      </c>
      <c r="D64" s="1378">
        <v>803315</v>
      </c>
      <c r="E64" s="1378">
        <v>818089</v>
      </c>
      <c r="F64" s="1379">
        <v>0.98194084017753569</v>
      </c>
      <c r="G64" s="1440"/>
      <c r="H64" s="1378">
        <f t="shared" si="0"/>
        <v>3</v>
      </c>
      <c r="J64" s="120"/>
      <c r="K64" s="120"/>
      <c r="L64" s="120"/>
      <c r="M64" s="120"/>
      <c r="N64" s="120"/>
      <c r="O64" s="120"/>
      <c r="P64" s="120"/>
      <c r="Q64" s="120"/>
    </row>
    <row r="65" spans="1:17" ht="14.25">
      <c r="A65" s="1377">
        <v>8</v>
      </c>
      <c r="B65" s="1377" t="s">
        <v>2470</v>
      </c>
      <c r="C65" s="1378" t="s">
        <v>2464</v>
      </c>
      <c r="D65" s="1378">
        <v>367022</v>
      </c>
      <c r="E65" s="1378">
        <v>384040</v>
      </c>
      <c r="F65" s="1379">
        <v>0.95568690761379027</v>
      </c>
      <c r="G65" s="1440"/>
      <c r="H65" s="1378">
        <f t="shared" si="0"/>
        <v>3</v>
      </c>
      <c r="J65" s="120"/>
      <c r="K65" s="120"/>
      <c r="L65" s="120"/>
      <c r="M65" s="120"/>
      <c r="N65" s="120"/>
      <c r="O65" s="120"/>
      <c r="P65" s="120"/>
      <c r="Q65" s="120"/>
    </row>
    <row r="66" spans="1:17" ht="14.25">
      <c r="A66" s="1377">
        <v>8</v>
      </c>
      <c r="B66" s="1377" t="s">
        <v>2471</v>
      </c>
      <c r="C66" s="1378" t="s">
        <v>2461</v>
      </c>
      <c r="D66" s="1378">
        <v>6300868</v>
      </c>
      <c r="E66" s="1378">
        <v>7146135</v>
      </c>
      <c r="F66" s="1379">
        <v>0.88171690011453741</v>
      </c>
      <c r="G66" s="1440"/>
      <c r="H66" s="1378">
        <f t="shared" si="0"/>
        <v>1.5</v>
      </c>
      <c r="J66" s="120"/>
      <c r="K66" s="120"/>
      <c r="L66" s="120"/>
      <c r="M66" s="120"/>
      <c r="N66" s="120"/>
      <c r="O66" s="120"/>
      <c r="P66" s="120"/>
      <c r="Q66" s="120"/>
    </row>
    <row r="67" spans="1:17" ht="14.25">
      <c r="A67" s="1377">
        <v>8</v>
      </c>
      <c r="B67" s="1377" t="s">
        <v>2471</v>
      </c>
      <c r="C67" s="1378" t="s">
        <v>2462</v>
      </c>
      <c r="D67" s="1378">
        <v>476051</v>
      </c>
      <c r="E67" s="1378">
        <v>534214</v>
      </c>
      <c r="F67" s="1379">
        <v>0.89112415623701358</v>
      </c>
      <c r="G67" s="1440"/>
      <c r="H67" s="1378">
        <f t="shared" ref="H67:H120" si="1">IF(F67&gt;0.9,3,IF(F67&gt;0.8,1.5,0))</f>
        <v>1.5</v>
      </c>
      <c r="J67" s="120"/>
      <c r="K67" s="120"/>
      <c r="L67" s="120"/>
      <c r="M67" s="120"/>
      <c r="N67" s="120"/>
      <c r="O67" s="120"/>
      <c r="P67" s="120"/>
      <c r="Q67" s="120"/>
    </row>
    <row r="68" spans="1:17" ht="14.25">
      <c r="A68" s="1377">
        <v>8</v>
      </c>
      <c r="B68" s="1377" t="s">
        <v>2471</v>
      </c>
      <c r="C68" s="1378" t="s">
        <v>2463</v>
      </c>
      <c r="D68" s="1378">
        <v>1371980</v>
      </c>
      <c r="E68" s="1378">
        <v>1457092</v>
      </c>
      <c r="F68" s="1379">
        <v>0.94158776522004106</v>
      </c>
      <c r="G68" s="1440"/>
      <c r="H68" s="1378">
        <f t="shared" si="1"/>
        <v>3</v>
      </c>
      <c r="J68" s="120"/>
      <c r="K68" s="120"/>
      <c r="L68" s="120"/>
      <c r="M68" s="120"/>
      <c r="N68" s="120"/>
      <c r="O68" s="120"/>
      <c r="P68" s="120"/>
      <c r="Q68" s="120"/>
    </row>
    <row r="69" spans="1:17" ht="14.25">
      <c r="A69" s="1377">
        <v>8</v>
      </c>
      <c r="B69" s="1377" t="s">
        <v>2471</v>
      </c>
      <c r="C69" s="1378" t="s">
        <v>2464</v>
      </c>
      <c r="D69" s="1378">
        <v>85030</v>
      </c>
      <c r="E69" s="1378">
        <v>87581</v>
      </c>
      <c r="F69" s="1379">
        <v>0.97087267786392029</v>
      </c>
      <c r="G69" s="1440"/>
      <c r="H69" s="1378">
        <f t="shared" si="1"/>
        <v>3</v>
      </c>
      <c r="J69" s="120"/>
      <c r="K69" s="120"/>
      <c r="L69" s="120"/>
      <c r="M69" s="120"/>
      <c r="N69" s="120"/>
      <c r="O69" s="120"/>
      <c r="P69" s="120"/>
      <c r="Q69" s="120"/>
    </row>
    <row r="70" spans="1:17" ht="14.25">
      <c r="A70" s="1377">
        <v>8</v>
      </c>
      <c r="B70" s="1377" t="s">
        <v>2472</v>
      </c>
      <c r="C70" s="1378" t="s">
        <v>2461</v>
      </c>
      <c r="D70" s="1378">
        <v>19481456</v>
      </c>
      <c r="E70" s="1378">
        <v>21230969</v>
      </c>
      <c r="F70" s="1379">
        <v>0.917596177546112</v>
      </c>
      <c r="G70" s="1440"/>
      <c r="H70" s="1378">
        <f t="shared" si="1"/>
        <v>3</v>
      </c>
      <c r="J70" s="120"/>
      <c r="K70" s="120"/>
      <c r="L70" s="120"/>
      <c r="M70" s="120"/>
      <c r="N70" s="120"/>
      <c r="O70" s="120"/>
      <c r="P70" s="120"/>
      <c r="Q70" s="120"/>
    </row>
    <row r="71" spans="1:17" ht="14.25">
      <c r="A71" s="1377">
        <v>8</v>
      </c>
      <c r="B71" s="1377" t="s">
        <v>2472</v>
      </c>
      <c r="C71" s="1378" t="s">
        <v>2462</v>
      </c>
      <c r="D71" s="1378">
        <v>896712</v>
      </c>
      <c r="E71" s="1378">
        <v>922827</v>
      </c>
      <c r="F71" s="1379">
        <v>0.97170108806959488</v>
      </c>
      <c r="G71" s="1440"/>
      <c r="H71" s="1378">
        <f t="shared" si="1"/>
        <v>3</v>
      </c>
      <c r="J71" s="120"/>
      <c r="K71" s="120"/>
      <c r="L71" s="120"/>
      <c r="M71" s="120"/>
      <c r="N71" s="120"/>
      <c r="O71" s="120"/>
      <c r="P71" s="120"/>
      <c r="Q71" s="120"/>
    </row>
    <row r="72" spans="1:17" ht="14.25">
      <c r="A72" s="1377">
        <v>8</v>
      </c>
      <c r="B72" s="1377" t="s">
        <v>2472</v>
      </c>
      <c r="C72" s="1378" t="s">
        <v>2463</v>
      </c>
      <c r="D72" s="1378">
        <v>5764355</v>
      </c>
      <c r="E72" s="1378">
        <v>5889736</v>
      </c>
      <c r="F72" s="1379">
        <v>0.97871194905849768</v>
      </c>
      <c r="G72" s="1440"/>
      <c r="H72" s="1378">
        <f t="shared" si="1"/>
        <v>3</v>
      </c>
    </row>
    <row r="73" spans="1:17" ht="14.25">
      <c r="A73" s="1377">
        <v>8</v>
      </c>
      <c r="B73" s="1377" t="s">
        <v>2472</v>
      </c>
      <c r="C73" s="1378" t="s">
        <v>2464</v>
      </c>
      <c r="D73" s="1378">
        <v>177756</v>
      </c>
      <c r="E73" s="1378">
        <v>182532</v>
      </c>
      <c r="F73" s="1379">
        <v>0.97383472487015976</v>
      </c>
      <c r="G73" s="1440"/>
      <c r="H73" s="1378">
        <f t="shared" si="1"/>
        <v>3</v>
      </c>
    </row>
    <row r="74" spans="1:17" ht="14.25">
      <c r="A74" s="1377">
        <v>8</v>
      </c>
      <c r="B74" s="1377" t="s">
        <v>2473</v>
      </c>
      <c r="C74" s="1378" t="s">
        <v>2461</v>
      </c>
      <c r="D74" s="1378">
        <v>5091350</v>
      </c>
      <c r="E74" s="1378">
        <v>5729393</v>
      </c>
      <c r="F74" s="1379">
        <v>0.88863689399557688</v>
      </c>
      <c r="G74" s="1440"/>
      <c r="H74" s="1378">
        <f t="shared" si="1"/>
        <v>1.5</v>
      </c>
    </row>
    <row r="75" spans="1:17" ht="14.25">
      <c r="A75" s="1377">
        <v>8</v>
      </c>
      <c r="B75" s="1377" t="s">
        <v>2473</v>
      </c>
      <c r="C75" s="1378" t="s">
        <v>2462</v>
      </c>
      <c r="D75" s="1378"/>
      <c r="E75" s="1378"/>
      <c r="F75" s="1379"/>
      <c r="G75" s="1440"/>
      <c r="H75" s="1378"/>
    </row>
    <row r="76" spans="1:17" ht="14.25">
      <c r="A76" s="1377">
        <v>8</v>
      </c>
      <c r="B76" s="1377" t="s">
        <v>2473</v>
      </c>
      <c r="C76" s="1378" t="s">
        <v>2463</v>
      </c>
      <c r="D76" s="1378">
        <v>10418063</v>
      </c>
      <c r="E76" s="1378">
        <v>10770131</v>
      </c>
      <c r="F76" s="1379">
        <v>0.96731070402022035</v>
      </c>
      <c r="G76" s="1440"/>
      <c r="H76" s="1378">
        <f t="shared" si="1"/>
        <v>3</v>
      </c>
    </row>
    <row r="77" spans="1:17" ht="14.25">
      <c r="A77" s="1377">
        <v>8</v>
      </c>
      <c r="B77" s="1377" t="s">
        <v>2473</v>
      </c>
      <c r="C77" s="1378" t="s">
        <v>2464</v>
      </c>
      <c r="D77" s="1378">
        <v>105705</v>
      </c>
      <c r="E77" s="1378">
        <v>105720</v>
      </c>
      <c r="F77" s="1379">
        <v>0.99985811577752559</v>
      </c>
      <c r="G77" s="1440"/>
      <c r="H77" s="1378">
        <f t="shared" si="1"/>
        <v>3</v>
      </c>
    </row>
    <row r="78" spans="1:17" ht="14.25">
      <c r="A78" s="1377">
        <v>8</v>
      </c>
      <c r="B78" s="1377" t="s">
        <v>2474</v>
      </c>
      <c r="C78" s="1378" t="s">
        <v>2461</v>
      </c>
      <c r="D78" s="1378">
        <v>5374208</v>
      </c>
      <c r="E78" s="1378">
        <v>6668328</v>
      </c>
      <c r="F78" s="1379">
        <v>0.80593036215375125</v>
      </c>
      <c r="G78" s="1440"/>
      <c r="H78" s="1378">
        <f t="shared" si="1"/>
        <v>1.5</v>
      </c>
    </row>
    <row r="79" spans="1:17" ht="14.25">
      <c r="A79" s="1377">
        <v>8</v>
      </c>
      <c r="B79" s="1377" t="s">
        <v>2474</v>
      </c>
      <c r="C79" s="1378" t="s">
        <v>2462</v>
      </c>
      <c r="D79" s="1378">
        <v>595859</v>
      </c>
      <c r="E79" s="1378">
        <v>595859</v>
      </c>
      <c r="F79" s="1379">
        <v>1</v>
      </c>
      <c r="G79" s="1440"/>
      <c r="H79" s="1378">
        <f t="shared" si="1"/>
        <v>3</v>
      </c>
    </row>
    <row r="80" spans="1:17" ht="14.25">
      <c r="A80" s="1377">
        <v>8</v>
      </c>
      <c r="B80" s="1377" t="s">
        <v>2474</v>
      </c>
      <c r="C80" s="1378" t="s">
        <v>2463</v>
      </c>
      <c r="D80" s="1378">
        <v>490345</v>
      </c>
      <c r="E80" s="1378">
        <v>515567</v>
      </c>
      <c r="F80" s="1379">
        <v>0.95107910320094191</v>
      </c>
      <c r="G80" s="1440"/>
      <c r="H80" s="1378">
        <f t="shared" si="1"/>
        <v>3</v>
      </c>
    </row>
    <row r="81" spans="1:8" ht="14.25">
      <c r="A81" s="1377">
        <v>8</v>
      </c>
      <c r="B81" s="1377" t="s">
        <v>2474</v>
      </c>
      <c r="C81" s="1378" t="s">
        <v>2464</v>
      </c>
      <c r="D81" s="1378">
        <v>30118</v>
      </c>
      <c r="E81" s="1378">
        <v>35570</v>
      </c>
      <c r="F81" s="1379">
        <v>0.84672476806297436</v>
      </c>
      <c r="G81" s="1440"/>
      <c r="H81" s="1378">
        <f t="shared" si="1"/>
        <v>1.5</v>
      </c>
    </row>
    <row r="82" spans="1:8" ht="14.25">
      <c r="A82" s="1377">
        <v>9</v>
      </c>
      <c r="B82" s="1377" t="s">
        <v>2460</v>
      </c>
      <c r="C82" s="1378" t="s">
        <v>2461</v>
      </c>
      <c r="D82" s="1378">
        <v>5105007</v>
      </c>
      <c r="E82" s="1378">
        <v>5232706</v>
      </c>
      <c r="F82" s="1379">
        <v>0.97559599182526213</v>
      </c>
      <c r="G82" s="1440"/>
      <c r="H82" s="1378">
        <f t="shared" si="1"/>
        <v>3</v>
      </c>
    </row>
    <row r="83" spans="1:8" ht="14.25">
      <c r="A83" s="1377">
        <v>9</v>
      </c>
      <c r="B83" s="1377" t="s">
        <v>2460</v>
      </c>
      <c r="C83" s="1378" t="s">
        <v>2462</v>
      </c>
      <c r="D83" s="1378">
        <v>1920445</v>
      </c>
      <c r="E83" s="1378">
        <v>1934072</v>
      </c>
      <c r="F83" s="1379">
        <v>0.99295424368896301</v>
      </c>
      <c r="G83" s="1440"/>
      <c r="H83" s="1378">
        <f t="shared" si="1"/>
        <v>3</v>
      </c>
    </row>
    <row r="84" spans="1:8" ht="14.25">
      <c r="A84" s="1377">
        <v>9</v>
      </c>
      <c r="B84" s="1377" t="s">
        <v>2460</v>
      </c>
      <c r="C84" s="1378" t="s">
        <v>2463</v>
      </c>
      <c r="D84" s="1378">
        <v>856702</v>
      </c>
      <c r="E84" s="1378">
        <v>856702</v>
      </c>
      <c r="F84" s="1379">
        <v>1</v>
      </c>
      <c r="G84" s="1440"/>
      <c r="H84" s="1378">
        <f t="shared" si="1"/>
        <v>3</v>
      </c>
    </row>
    <row r="85" spans="1:8" ht="14.25">
      <c r="A85" s="1377">
        <v>9</v>
      </c>
      <c r="B85" s="1377" t="s">
        <v>2460</v>
      </c>
      <c r="C85" s="1378" t="s">
        <v>2464</v>
      </c>
      <c r="D85" s="1378">
        <v>27073</v>
      </c>
      <c r="E85" s="1378">
        <v>27103</v>
      </c>
      <c r="F85" s="1379">
        <v>0.99889311146367565</v>
      </c>
      <c r="G85" s="1440"/>
      <c r="H85" s="1378">
        <f t="shared" si="1"/>
        <v>3</v>
      </c>
    </row>
    <row r="86" spans="1:8" ht="14.25">
      <c r="A86" s="1377">
        <v>9</v>
      </c>
      <c r="B86" s="1377" t="s">
        <v>2466</v>
      </c>
      <c r="C86" s="1378" t="s">
        <v>2461</v>
      </c>
      <c r="D86" s="1378">
        <v>13338080</v>
      </c>
      <c r="E86" s="1378">
        <v>14885999</v>
      </c>
      <c r="F86" s="1379">
        <v>0.89601510788761973</v>
      </c>
      <c r="G86" s="1440"/>
      <c r="H86" s="1378">
        <f t="shared" si="1"/>
        <v>1.5</v>
      </c>
    </row>
    <row r="87" spans="1:8" ht="14.25">
      <c r="A87" s="1377">
        <v>9</v>
      </c>
      <c r="B87" s="1377" t="s">
        <v>2466</v>
      </c>
      <c r="C87" s="1378" t="s">
        <v>2462</v>
      </c>
      <c r="D87" s="1378">
        <v>446620</v>
      </c>
      <c r="E87" s="1378">
        <v>485904</v>
      </c>
      <c r="F87" s="1379">
        <v>0.9191527544535546</v>
      </c>
      <c r="G87" s="1440"/>
      <c r="H87" s="1378">
        <f t="shared" si="1"/>
        <v>3</v>
      </c>
    </row>
    <row r="88" spans="1:8" ht="14.25">
      <c r="A88" s="1377">
        <v>9</v>
      </c>
      <c r="B88" s="1377" t="s">
        <v>2466</v>
      </c>
      <c r="C88" s="1378" t="s">
        <v>2463</v>
      </c>
      <c r="D88" s="1378">
        <v>8090367</v>
      </c>
      <c r="E88" s="1378">
        <v>8762559</v>
      </c>
      <c r="F88" s="1379">
        <v>0.92328816273876158</v>
      </c>
      <c r="G88" s="1440"/>
      <c r="H88" s="1378">
        <f t="shared" si="1"/>
        <v>3</v>
      </c>
    </row>
    <row r="89" spans="1:8" ht="14.25">
      <c r="A89" s="1377">
        <v>9</v>
      </c>
      <c r="B89" s="1377" t="s">
        <v>2466</v>
      </c>
      <c r="C89" s="1378" t="s">
        <v>2464</v>
      </c>
      <c r="D89" s="1378">
        <v>30565</v>
      </c>
      <c r="E89" s="1378">
        <v>30565</v>
      </c>
      <c r="F89" s="1379">
        <v>1</v>
      </c>
      <c r="G89" s="1440"/>
      <c r="H89" s="1378">
        <f t="shared" si="1"/>
        <v>3</v>
      </c>
    </row>
    <row r="90" spans="1:8" ht="14.25">
      <c r="A90" s="1377">
        <v>9</v>
      </c>
      <c r="B90" s="1377" t="s">
        <v>2467</v>
      </c>
      <c r="C90" s="1378" t="s">
        <v>2461</v>
      </c>
      <c r="D90" s="1378">
        <v>3130666</v>
      </c>
      <c r="E90" s="1378">
        <v>3465097</v>
      </c>
      <c r="F90" s="1379">
        <v>0.90348581872311218</v>
      </c>
      <c r="G90" s="1440"/>
      <c r="H90" s="1378">
        <f t="shared" si="1"/>
        <v>3</v>
      </c>
    </row>
    <row r="91" spans="1:8" ht="14.25">
      <c r="A91" s="1377">
        <v>9</v>
      </c>
      <c r="B91" s="1377" t="s">
        <v>2467</v>
      </c>
      <c r="C91" s="1378" t="s">
        <v>2462</v>
      </c>
      <c r="D91" s="1378"/>
      <c r="E91" s="1378"/>
      <c r="F91" s="1379"/>
      <c r="G91" s="1440"/>
      <c r="H91" s="1378">
        <f t="shared" si="1"/>
        <v>0</v>
      </c>
    </row>
    <row r="92" spans="1:8" ht="14.25">
      <c r="A92" s="1377">
        <v>9</v>
      </c>
      <c r="B92" s="1377" t="s">
        <v>2467</v>
      </c>
      <c r="C92" s="1378" t="s">
        <v>2463</v>
      </c>
      <c r="D92" s="1378">
        <v>1139684</v>
      </c>
      <c r="E92" s="1378">
        <v>1149684</v>
      </c>
      <c r="F92" s="1379">
        <v>0.99130195775534846</v>
      </c>
      <c r="G92" s="1440"/>
      <c r="H92" s="1378">
        <f t="shared" si="1"/>
        <v>3</v>
      </c>
    </row>
    <row r="93" spans="1:8" ht="14.25">
      <c r="A93" s="1377">
        <v>9</v>
      </c>
      <c r="B93" s="1377" t="s">
        <v>2467</v>
      </c>
      <c r="C93" s="1378" t="s">
        <v>2464</v>
      </c>
      <c r="D93" s="1378">
        <v>27323</v>
      </c>
      <c r="E93" s="1378">
        <v>27339</v>
      </c>
      <c r="F93" s="1379">
        <v>0.9994147554775229</v>
      </c>
      <c r="G93" s="1440"/>
      <c r="H93" s="1378">
        <f t="shared" si="1"/>
        <v>3</v>
      </c>
    </row>
    <row r="94" spans="1:8" ht="14.25">
      <c r="A94" s="1377">
        <v>9</v>
      </c>
      <c r="B94" s="1377" t="s">
        <v>2468</v>
      </c>
      <c r="C94" s="1378" t="s">
        <v>2461</v>
      </c>
      <c r="D94" s="1378">
        <v>13140720</v>
      </c>
      <c r="E94" s="1378">
        <v>13979115</v>
      </c>
      <c r="F94" s="1379">
        <v>0.94002517326740642</v>
      </c>
      <c r="G94" s="1440"/>
      <c r="H94" s="1378">
        <f t="shared" si="1"/>
        <v>3</v>
      </c>
    </row>
    <row r="95" spans="1:8" ht="14.25">
      <c r="A95" s="1377">
        <v>9</v>
      </c>
      <c r="B95" s="1377" t="s">
        <v>2468</v>
      </c>
      <c r="C95" s="1378" t="s">
        <v>2462</v>
      </c>
      <c r="D95" s="1378">
        <v>3505423</v>
      </c>
      <c r="E95" s="1378">
        <v>3618820</v>
      </c>
      <c r="F95" s="1379">
        <v>0.96866464759230908</v>
      </c>
      <c r="G95" s="1440"/>
      <c r="H95" s="1378">
        <f t="shared" si="1"/>
        <v>3</v>
      </c>
    </row>
    <row r="96" spans="1:8" ht="14.25">
      <c r="A96" s="1377">
        <v>9</v>
      </c>
      <c r="B96" s="1377" t="s">
        <v>2468</v>
      </c>
      <c r="C96" s="1378" t="s">
        <v>2463</v>
      </c>
      <c r="D96" s="1378">
        <v>2925021</v>
      </c>
      <c r="E96" s="1378">
        <v>3257556</v>
      </c>
      <c r="F96" s="1379">
        <v>0.89791886923816511</v>
      </c>
      <c r="G96" s="1440"/>
      <c r="H96" s="1378">
        <f t="shared" si="1"/>
        <v>1.5</v>
      </c>
    </row>
    <row r="97" spans="1:8" ht="14.25">
      <c r="A97" s="1377">
        <v>9</v>
      </c>
      <c r="B97" s="1377" t="s">
        <v>2468</v>
      </c>
      <c r="C97" s="1378" t="s">
        <v>2464</v>
      </c>
      <c r="D97" s="1378">
        <v>103763</v>
      </c>
      <c r="E97" s="1378">
        <v>103594</v>
      </c>
      <c r="F97" s="1379">
        <v>1</v>
      </c>
      <c r="G97" s="1440"/>
      <c r="H97" s="1378">
        <f t="shared" si="1"/>
        <v>3</v>
      </c>
    </row>
    <row r="98" spans="1:8" ht="14.25">
      <c r="A98" s="1377">
        <v>9</v>
      </c>
      <c r="B98" s="1377" t="s">
        <v>2469</v>
      </c>
      <c r="C98" s="1378" t="s">
        <v>2461</v>
      </c>
      <c r="D98" s="1378">
        <v>15125253</v>
      </c>
      <c r="E98" s="1378">
        <v>15900163</v>
      </c>
      <c r="F98" s="1379">
        <v>0.95126402163298573</v>
      </c>
      <c r="G98" s="1440"/>
      <c r="H98" s="1378">
        <f t="shared" si="1"/>
        <v>3</v>
      </c>
    </row>
    <row r="99" spans="1:8" ht="14.25">
      <c r="A99" s="1377">
        <v>9</v>
      </c>
      <c r="B99" s="1377" t="s">
        <v>2469</v>
      </c>
      <c r="C99" s="1378" t="s">
        <v>2462</v>
      </c>
      <c r="D99" s="1378">
        <v>4406124</v>
      </c>
      <c r="E99" s="1378">
        <v>4904696</v>
      </c>
      <c r="F99" s="1379">
        <v>0.89834803217161674</v>
      </c>
      <c r="G99" s="1440"/>
      <c r="H99" s="1378">
        <f t="shared" si="1"/>
        <v>1.5</v>
      </c>
    </row>
    <row r="100" spans="1:8" ht="14.25">
      <c r="A100" s="1377">
        <v>9</v>
      </c>
      <c r="B100" s="1377" t="s">
        <v>2469</v>
      </c>
      <c r="C100" s="1378" t="s">
        <v>2463</v>
      </c>
      <c r="D100" s="1378">
        <v>707226</v>
      </c>
      <c r="E100" s="1378">
        <v>725226</v>
      </c>
      <c r="F100" s="1379">
        <v>0.97518015073921782</v>
      </c>
      <c r="G100" s="1440"/>
      <c r="H100" s="1378">
        <f t="shared" si="1"/>
        <v>3</v>
      </c>
    </row>
    <row r="101" spans="1:8" ht="14.25">
      <c r="A101" s="1377">
        <v>9</v>
      </c>
      <c r="B101" s="1377" t="s">
        <v>2469</v>
      </c>
      <c r="C101" s="1378" t="s">
        <v>2464</v>
      </c>
      <c r="D101" s="1378">
        <v>48477</v>
      </c>
      <c r="E101" s="1378">
        <v>48479</v>
      </c>
      <c r="F101" s="1379">
        <v>0.99995874502361848</v>
      </c>
      <c r="G101" s="1440"/>
      <c r="H101" s="1378">
        <f t="shared" si="1"/>
        <v>3</v>
      </c>
    </row>
    <row r="102" spans="1:8" ht="14.25">
      <c r="A102" s="1377">
        <v>9</v>
      </c>
      <c r="B102" s="1377" t="s">
        <v>2470</v>
      </c>
      <c r="C102" s="1378" t="s">
        <v>2461</v>
      </c>
      <c r="D102" s="1378">
        <v>13801000</v>
      </c>
      <c r="E102" s="1378">
        <v>14853224</v>
      </c>
      <c r="F102" s="1379">
        <v>0.92915854497313177</v>
      </c>
      <c r="G102" s="1440"/>
      <c r="H102" s="1378">
        <f t="shared" si="1"/>
        <v>3</v>
      </c>
    </row>
    <row r="103" spans="1:8" ht="14.25">
      <c r="A103" s="1377">
        <v>9</v>
      </c>
      <c r="B103" s="1377" t="s">
        <v>2470</v>
      </c>
      <c r="C103" s="1378" t="s">
        <v>2462</v>
      </c>
      <c r="D103" s="1378">
        <v>7716087</v>
      </c>
      <c r="E103" s="1378">
        <v>8293239</v>
      </c>
      <c r="F103" s="1379">
        <v>0.93040692544854908</v>
      </c>
      <c r="G103" s="1440"/>
      <c r="H103" s="1378">
        <f t="shared" si="1"/>
        <v>3</v>
      </c>
    </row>
    <row r="104" spans="1:8" ht="14.25">
      <c r="A104" s="1377">
        <v>9</v>
      </c>
      <c r="B104" s="1377" t="s">
        <v>2470</v>
      </c>
      <c r="C104" s="1378" t="s">
        <v>2463</v>
      </c>
      <c r="D104" s="1378">
        <v>750839</v>
      </c>
      <c r="E104" s="1378">
        <v>774393</v>
      </c>
      <c r="F104" s="1379">
        <v>0.96958391927612986</v>
      </c>
      <c r="G104" s="1440"/>
      <c r="H104" s="1378">
        <f t="shared" si="1"/>
        <v>3</v>
      </c>
    </row>
    <row r="105" spans="1:8" ht="14.25">
      <c r="A105" s="1377">
        <v>9</v>
      </c>
      <c r="B105" s="1377" t="s">
        <v>2470</v>
      </c>
      <c r="C105" s="1378" t="s">
        <v>2464</v>
      </c>
      <c r="D105" s="1378">
        <v>66344</v>
      </c>
      <c r="E105" s="1378">
        <v>66215</v>
      </c>
      <c r="F105" s="1379">
        <v>1</v>
      </c>
      <c r="G105" s="1440"/>
      <c r="H105" s="1378">
        <f t="shared" si="1"/>
        <v>3</v>
      </c>
    </row>
    <row r="106" spans="1:8" ht="14.25">
      <c r="A106" s="1377">
        <v>9</v>
      </c>
      <c r="B106" s="1377" t="s">
        <v>2471</v>
      </c>
      <c r="C106" s="1378" t="s">
        <v>2461</v>
      </c>
      <c r="D106" s="1378">
        <v>2799327</v>
      </c>
      <c r="E106" s="1378">
        <v>3037636</v>
      </c>
      <c r="F106" s="1379">
        <v>0.92154787472890098</v>
      </c>
      <c r="G106" s="1440"/>
      <c r="H106" s="1378">
        <f t="shared" si="1"/>
        <v>3</v>
      </c>
    </row>
    <row r="107" spans="1:8" ht="14.25">
      <c r="A107" s="1377">
        <v>9</v>
      </c>
      <c r="B107" s="1377" t="s">
        <v>2471</v>
      </c>
      <c r="C107" s="1378" t="s">
        <v>2462</v>
      </c>
      <c r="D107" s="1378">
        <v>243152</v>
      </c>
      <c r="E107" s="1378">
        <v>258350</v>
      </c>
      <c r="F107" s="1379">
        <v>0.94117282755951226</v>
      </c>
      <c r="G107" s="1440"/>
      <c r="H107" s="1378">
        <f t="shared" si="1"/>
        <v>3</v>
      </c>
    </row>
    <row r="108" spans="1:8" ht="14.25">
      <c r="A108" s="1377">
        <v>9</v>
      </c>
      <c r="B108" s="1377" t="s">
        <v>2471</v>
      </c>
      <c r="C108" s="1378" t="s">
        <v>2463</v>
      </c>
      <c r="D108" s="1378">
        <v>975291</v>
      </c>
      <c r="E108" s="1378">
        <v>1022843</v>
      </c>
      <c r="F108" s="1379">
        <v>0.95350997171608942</v>
      </c>
      <c r="G108" s="1440"/>
      <c r="H108" s="1378">
        <f t="shared" si="1"/>
        <v>3</v>
      </c>
    </row>
    <row r="109" spans="1:8" ht="14.25">
      <c r="A109" s="1377">
        <v>9</v>
      </c>
      <c r="B109" s="1377" t="s">
        <v>2471</v>
      </c>
      <c r="C109" s="1378" t="s">
        <v>2464</v>
      </c>
      <c r="D109" s="1378">
        <v>26750</v>
      </c>
      <c r="E109" s="1378">
        <v>26555</v>
      </c>
      <c r="F109" s="1379">
        <v>1</v>
      </c>
      <c r="G109" s="1440"/>
      <c r="H109" s="1378">
        <f t="shared" si="1"/>
        <v>3</v>
      </c>
    </row>
    <row r="110" spans="1:8" ht="14.25">
      <c r="A110" s="1377">
        <v>9</v>
      </c>
      <c r="B110" s="1377" t="s">
        <v>2472</v>
      </c>
      <c r="C110" s="1378" t="s">
        <v>2461</v>
      </c>
      <c r="D110" s="1378">
        <v>8572710</v>
      </c>
      <c r="E110" s="1378">
        <v>9209045</v>
      </c>
      <c r="F110" s="1379">
        <v>0.9309010869205222</v>
      </c>
      <c r="G110" s="1440"/>
      <c r="H110" s="1378">
        <f t="shared" si="1"/>
        <v>3</v>
      </c>
    </row>
    <row r="111" spans="1:8" ht="14.25">
      <c r="A111" s="1377">
        <v>9</v>
      </c>
      <c r="B111" s="1377" t="s">
        <v>2472</v>
      </c>
      <c r="C111" s="1378" t="s">
        <v>2462</v>
      </c>
      <c r="D111" s="1378">
        <v>698336</v>
      </c>
      <c r="E111" s="1378">
        <v>727852</v>
      </c>
      <c r="F111" s="1379">
        <v>0.95944779982743744</v>
      </c>
      <c r="G111" s="1440"/>
      <c r="H111" s="1378">
        <f t="shared" si="1"/>
        <v>3</v>
      </c>
    </row>
    <row r="112" spans="1:8" ht="14.25">
      <c r="A112" s="1377">
        <v>9</v>
      </c>
      <c r="B112" s="1377" t="s">
        <v>2472</v>
      </c>
      <c r="C112" s="1378" t="s">
        <v>2463</v>
      </c>
      <c r="D112" s="1378">
        <v>6089643</v>
      </c>
      <c r="E112" s="1378">
        <v>6171352</v>
      </c>
      <c r="F112" s="1379">
        <v>0.98675995146606443</v>
      </c>
      <c r="G112" s="1440"/>
      <c r="H112" s="1378">
        <f t="shared" si="1"/>
        <v>3</v>
      </c>
    </row>
    <row r="113" spans="1:8" ht="14.25">
      <c r="A113" s="1377">
        <v>9</v>
      </c>
      <c r="B113" s="1377" t="s">
        <v>2472</v>
      </c>
      <c r="C113" s="1378" t="s">
        <v>2464</v>
      </c>
      <c r="D113" s="1378">
        <v>13709</v>
      </c>
      <c r="E113" s="1378">
        <v>13709</v>
      </c>
      <c r="F113" s="1379">
        <v>1</v>
      </c>
      <c r="G113" s="1440"/>
      <c r="H113" s="1378">
        <f t="shared" si="1"/>
        <v>3</v>
      </c>
    </row>
    <row r="114" spans="1:8" ht="14.25">
      <c r="A114" s="1377">
        <v>9</v>
      </c>
      <c r="B114" s="1377" t="s">
        <v>2473</v>
      </c>
      <c r="C114" s="1378" t="s">
        <v>2461</v>
      </c>
      <c r="D114" s="1378">
        <v>2738761</v>
      </c>
      <c r="E114" s="1378">
        <v>2872722</v>
      </c>
      <c r="F114" s="1379">
        <v>0.95336792073858867</v>
      </c>
      <c r="G114" s="1440"/>
      <c r="H114" s="1378">
        <f t="shared" si="1"/>
        <v>3</v>
      </c>
    </row>
    <row r="115" spans="1:8" ht="14.25">
      <c r="A115" s="1377">
        <v>9</v>
      </c>
      <c r="B115" s="1377" t="s">
        <v>2473</v>
      </c>
      <c r="C115" s="1378" t="s">
        <v>2462</v>
      </c>
      <c r="D115" s="1378"/>
      <c r="E115" s="1378"/>
      <c r="F115" s="1379"/>
      <c r="G115" s="1440"/>
      <c r="H115" s="1378">
        <f t="shared" si="1"/>
        <v>0</v>
      </c>
    </row>
    <row r="116" spans="1:8" ht="14.25">
      <c r="A116" s="1377">
        <v>9</v>
      </c>
      <c r="B116" s="1377" t="s">
        <v>2473</v>
      </c>
      <c r="C116" s="1378" t="s">
        <v>2463</v>
      </c>
      <c r="D116" s="1378">
        <v>4348806</v>
      </c>
      <c r="E116" s="1378">
        <v>4459582</v>
      </c>
      <c r="F116" s="1379">
        <v>0.97516000378510814</v>
      </c>
      <c r="G116" s="1440"/>
      <c r="H116" s="1378">
        <f t="shared" si="1"/>
        <v>3</v>
      </c>
    </row>
    <row r="117" spans="1:8" ht="14.25">
      <c r="A117" s="1377">
        <v>9</v>
      </c>
      <c r="B117" s="1377" t="s">
        <v>2473</v>
      </c>
      <c r="C117" s="1378" t="s">
        <v>2464</v>
      </c>
      <c r="D117" s="1378">
        <v>43868</v>
      </c>
      <c r="E117" s="1378">
        <v>52168</v>
      </c>
      <c r="F117" s="1379">
        <v>0.8408986351786536</v>
      </c>
      <c r="G117" s="1440"/>
      <c r="H117" s="1378">
        <f t="shared" si="1"/>
        <v>1.5</v>
      </c>
    </row>
    <row r="118" spans="1:8" ht="14.25">
      <c r="A118" s="1377">
        <v>9</v>
      </c>
      <c r="B118" s="1377" t="s">
        <v>2474</v>
      </c>
      <c r="C118" s="1378" t="s">
        <v>2461</v>
      </c>
      <c r="D118" s="1378">
        <v>2067883</v>
      </c>
      <c r="E118" s="1378">
        <v>2245659</v>
      </c>
      <c r="F118" s="1379">
        <v>0.92083571014121024</v>
      </c>
      <c r="G118" s="1440"/>
      <c r="H118" s="1378">
        <f t="shared" si="1"/>
        <v>3</v>
      </c>
    </row>
    <row r="119" spans="1:8" ht="14.25">
      <c r="A119" s="1377">
        <v>9</v>
      </c>
      <c r="B119" s="1377" t="s">
        <v>2474</v>
      </c>
      <c r="C119" s="1378" t="s">
        <v>2462</v>
      </c>
      <c r="D119" s="1378">
        <v>209593</v>
      </c>
      <c r="E119" s="1378">
        <v>215798</v>
      </c>
      <c r="F119" s="1379">
        <v>0.9712462580746809</v>
      </c>
      <c r="G119" s="1440"/>
      <c r="H119" s="1378">
        <f t="shared" si="1"/>
        <v>3</v>
      </c>
    </row>
    <row r="120" spans="1:8" ht="14.25">
      <c r="A120" s="1377">
        <v>9</v>
      </c>
      <c r="B120" s="1377" t="s">
        <v>2474</v>
      </c>
      <c r="C120" s="1378" t="s">
        <v>2463</v>
      </c>
      <c r="D120" s="1378">
        <v>395871</v>
      </c>
      <c r="E120" s="1378">
        <v>443313</v>
      </c>
      <c r="F120" s="1379">
        <v>0.89298306162914243</v>
      </c>
      <c r="G120" s="1440"/>
      <c r="H120" s="1378">
        <f t="shared" si="1"/>
        <v>1.5</v>
      </c>
    </row>
    <row r="121" spans="1:8" ht="14.25">
      <c r="A121" s="1377">
        <v>9</v>
      </c>
      <c r="B121" s="1377" t="s">
        <v>2474</v>
      </c>
      <c r="C121" s="1378" t="s">
        <v>2464</v>
      </c>
      <c r="D121" s="1378"/>
      <c r="E121" s="1378"/>
      <c r="F121" s="1379"/>
      <c r="G121" s="1440"/>
      <c r="H121" s="1380"/>
    </row>
  </sheetData>
  <phoneticPr fontId="3" type="noConversion"/>
  <hyperlinks>
    <hyperlink ref="I23" location="'总公司绩效-II'!A1" display="总公司绩效-II"/>
    <hyperlink ref="I24" location="目录!A1" display="目录"/>
    <hyperlink ref="I25" location="'OR04-分公司销售、承保、保全'!A1" display="OR0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Q61"/>
  <sheetViews>
    <sheetView workbookViewId="0">
      <selection activeCell="J20" sqref="J20"/>
    </sheetView>
  </sheetViews>
  <sheetFormatPr defaultRowHeight="13.5"/>
  <cols>
    <col min="8" max="8" width="5.25" style="32" bestFit="1" customWidth="1"/>
    <col min="10" max="10" width="9.75" customWidth="1"/>
    <col min="11" max="11" width="19.75" bestFit="1" customWidth="1"/>
    <col min="12" max="12" width="15.375" bestFit="1" customWidth="1"/>
  </cols>
  <sheetData>
    <row r="1" spans="1:17">
      <c r="A1" s="1368" t="s">
        <v>2480</v>
      </c>
      <c r="B1" s="1368" t="s">
        <v>2481</v>
      </c>
      <c r="C1" s="1368" t="s">
        <v>2482</v>
      </c>
      <c r="D1" s="1368" t="s">
        <v>2483</v>
      </c>
      <c r="E1" s="1368" t="s">
        <v>2427</v>
      </c>
      <c r="F1" s="1368" t="s">
        <v>2484</v>
      </c>
      <c r="G1" s="1375" t="s">
        <v>2485</v>
      </c>
      <c r="H1" s="1367" t="s">
        <v>2282</v>
      </c>
    </row>
    <row r="2" spans="1:17">
      <c r="A2" s="400" t="s">
        <v>2181</v>
      </c>
      <c r="B2" s="400" t="s">
        <v>1552</v>
      </c>
      <c r="C2" s="1203">
        <v>17120.66</v>
      </c>
      <c r="D2" s="400">
        <v>164595</v>
      </c>
      <c r="E2" s="400">
        <v>10186688.289999999</v>
      </c>
      <c r="F2" s="400">
        <v>4267304</v>
      </c>
      <c r="G2" s="1145">
        <f>(C2+D2)/(E2+F2)</f>
        <v>1.2572004768932945E-2</v>
      </c>
      <c r="H2" s="1147">
        <f>IF(G2&gt;10%,0,IF(G2&gt;5%,1.5,3))</f>
        <v>3</v>
      </c>
      <c r="K2" s="1257" t="s">
        <v>2273</v>
      </c>
    </row>
    <row r="3" spans="1:17">
      <c r="A3" s="400" t="s">
        <v>2181</v>
      </c>
      <c r="B3" s="400" t="s">
        <v>1573</v>
      </c>
      <c r="C3" s="1203">
        <v>73529.89</v>
      </c>
      <c r="D3" s="400">
        <v>45437</v>
      </c>
      <c r="E3" s="400">
        <v>2160855.13</v>
      </c>
      <c r="F3" s="400">
        <v>1118361</v>
      </c>
      <c r="G3" s="1145">
        <f t="shared" ref="G3:G61" si="0">(C3+D3)/(E3+F3)</f>
        <v>3.6279063435809583E-2</v>
      </c>
      <c r="H3" s="1147">
        <f t="shared" ref="H3:H61" si="1">IF(G3&gt;10%,0,IF(G3&gt;5%,1.5,3))</f>
        <v>3</v>
      </c>
      <c r="J3" s="1257" t="s">
        <v>2270</v>
      </c>
      <c r="K3" t="s">
        <v>2477</v>
      </c>
      <c r="L3" t="s">
        <v>2478</v>
      </c>
    </row>
    <row r="4" spans="1:17">
      <c r="A4" s="400" t="s">
        <v>2181</v>
      </c>
      <c r="B4" s="400" t="s">
        <v>2475</v>
      </c>
      <c r="C4" s="1203">
        <v>297</v>
      </c>
      <c r="D4" s="400">
        <v>46201</v>
      </c>
      <c r="E4" s="400">
        <v>1603189.83</v>
      </c>
      <c r="F4" s="400">
        <v>1766605</v>
      </c>
      <c r="G4" s="1145">
        <f t="shared" si="0"/>
        <v>1.3798466181396568E-2</v>
      </c>
      <c r="H4" s="1147">
        <f t="shared" si="1"/>
        <v>3</v>
      </c>
      <c r="J4" s="1251" t="s">
        <v>2181</v>
      </c>
      <c r="K4" s="1145">
        <v>3.6655808141832641E-2</v>
      </c>
      <c r="L4" s="1258">
        <v>2.6666666666666665</v>
      </c>
    </row>
    <row r="5" spans="1:17">
      <c r="A5" s="400" t="s">
        <v>2181</v>
      </c>
      <c r="B5" s="400" t="s">
        <v>1560</v>
      </c>
      <c r="C5" s="1203">
        <v>57184.72</v>
      </c>
      <c r="D5" s="400">
        <v>377715</v>
      </c>
      <c r="E5" s="400">
        <v>9754852.9699999988</v>
      </c>
      <c r="F5" s="400">
        <v>9013059</v>
      </c>
      <c r="G5" s="1145">
        <f t="shared" si="0"/>
        <v>2.3172514912430081E-2</v>
      </c>
      <c r="H5" s="1147">
        <f t="shared" si="1"/>
        <v>3</v>
      </c>
      <c r="J5" s="1251" t="s">
        <v>2178</v>
      </c>
      <c r="K5" s="1145">
        <v>2.734219419622741E-2</v>
      </c>
      <c r="L5" s="1258">
        <v>2.8636363636363638</v>
      </c>
    </row>
    <row r="6" spans="1:17">
      <c r="A6" s="400" t="s">
        <v>2181</v>
      </c>
      <c r="B6" s="400" t="s">
        <v>1564</v>
      </c>
      <c r="C6" s="1203">
        <v>360191.71</v>
      </c>
      <c r="D6" s="400">
        <v>679036</v>
      </c>
      <c r="E6" s="400">
        <v>14619696.060000001</v>
      </c>
      <c r="F6" s="400">
        <v>5894979</v>
      </c>
      <c r="G6" s="1145">
        <f t="shared" si="0"/>
        <v>5.0657770935222397E-2</v>
      </c>
      <c r="H6" s="1147">
        <f t="shared" si="1"/>
        <v>1.5</v>
      </c>
      <c r="J6" s="1251" t="s">
        <v>2179</v>
      </c>
      <c r="K6" s="1145">
        <v>2.803156435823692E-4</v>
      </c>
      <c r="L6" s="1258">
        <v>3</v>
      </c>
    </row>
    <row r="7" spans="1:17">
      <c r="A7" s="400" t="s">
        <v>2181</v>
      </c>
      <c r="B7" s="400" t="s">
        <v>1567</v>
      </c>
      <c r="C7" s="1203">
        <v>586551.13</v>
      </c>
      <c r="D7" s="400">
        <v>625897</v>
      </c>
      <c r="E7" s="400">
        <v>30755043.239999998</v>
      </c>
      <c r="F7" s="400">
        <v>12848843</v>
      </c>
      <c r="G7" s="1145">
        <f t="shared" si="0"/>
        <v>2.7805964893279661E-2</v>
      </c>
      <c r="H7" s="1147">
        <f t="shared" si="1"/>
        <v>3</v>
      </c>
      <c r="J7" s="1251" t="s">
        <v>2177</v>
      </c>
      <c r="K7" s="1145">
        <v>1.4518585868662901E-2</v>
      </c>
      <c r="L7" s="1258">
        <v>2.85</v>
      </c>
    </row>
    <row r="8" spans="1:17">
      <c r="A8" s="400" t="s">
        <v>2181</v>
      </c>
      <c r="B8" s="400" t="s">
        <v>1570</v>
      </c>
      <c r="C8" s="1203">
        <v>106023.31</v>
      </c>
      <c r="D8" s="400">
        <v>947101</v>
      </c>
      <c r="E8" s="400">
        <v>16502562.220000001</v>
      </c>
      <c r="F8" s="400">
        <v>6571242</v>
      </c>
      <c r="G8" s="1145">
        <f t="shared" si="0"/>
        <v>4.5641555244157313E-2</v>
      </c>
      <c r="H8" s="1147">
        <f t="shared" si="1"/>
        <v>3</v>
      </c>
      <c r="J8" s="1251" t="s">
        <v>2180</v>
      </c>
      <c r="K8" s="1145">
        <v>0.41357330306421031</v>
      </c>
      <c r="L8" s="1258">
        <v>0.3</v>
      </c>
    </row>
    <row r="9" spans="1:17">
      <c r="A9" s="400" t="s">
        <v>2181</v>
      </c>
      <c r="B9" s="400" t="s">
        <v>1354</v>
      </c>
      <c r="C9" s="1203">
        <v>101625.44</v>
      </c>
      <c r="D9" s="400">
        <v>90108</v>
      </c>
      <c r="E9" s="400">
        <v>4338071.84</v>
      </c>
      <c r="F9" s="400">
        <v>1922674</v>
      </c>
      <c r="G9" s="1145">
        <f t="shared" si="0"/>
        <v>3.0624696306151281E-2</v>
      </c>
      <c r="H9" s="1147">
        <f t="shared" si="1"/>
        <v>3</v>
      </c>
    </row>
    <row r="10" spans="1:17">
      <c r="A10" s="400" t="s">
        <v>2181</v>
      </c>
      <c r="B10" s="400" t="s">
        <v>1556</v>
      </c>
      <c r="C10" s="1203">
        <v>130362.70999999999</v>
      </c>
      <c r="D10" s="400">
        <v>0</v>
      </c>
      <c r="E10" s="400">
        <v>1459008</v>
      </c>
      <c r="F10" s="400">
        <v>0</v>
      </c>
      <c r="G10" s="1145">
        <f t="shared" si="0"/>
        <v>8.9350236599113911E-2</v>
      </c>
      <c r="H10" s="1147">
        <f t="shared" si="1"/>
        <v>1.5</v>
      </c>
    </row>
    <row r="11" spans="1:17">
      <c r="A11" s="400" t="s">
        <v>2178</v>
      </c>
      <c r="B11" s="400" t="s">
        <v>1552</v>
      </c>
      <c r="C11" s="1203">
        <v>180749.29</v>
      </c>
      <c r="D11" s="400">
        <v>81100</v>
      </c>
      <c r="E11" s="400">
        <v>22381095.699999999</v>
      </c>
      <c r="F11" s="400">
        <v>8574707</v>
      </c>
      <c r="G11" s="1145">
        <f t="shared" si="0"/>
        <v>8.4588111811424622E-3</v>
      </c>
      <c r="H11" s="1147">
        <f t="shared" si="1"/>
        <v>3</v>
      </c>
      <c r="Q11" s="843" t="s">
        <v>2337</v>
      </c>
    </row>
    <row r="12" spans="1:17">
      <c r="A12" s="400" t="s">
        <v>2178</v>
      </c>
      <c r="B12" s="400" t="s">
        <v>1554</v>
      </c>
      <c r="C12" s="1203">
        <v>364108.92</v>
      </c>
      <c r="D12" s="400">
        <v>79495</v>
      </c>
      <c r="E12" s="400">
        <v>14254034.470000001</v>
      </c>
      <c r="F12" s="400">
        <v>4170826</v>
      </c>
      <c r="G12" s="1145">
        <f t="shared" si="0"/>
        <v>2.4076378799301704E-2</v>
      </c>
      <c r="H12" s="1147">
        <f t="shared" si="1"/>
        <v>3</v>
      </c>
      <c r="Q12" s="843" t="s">
        <v>2338</v>
      </c>
    </row>
    <row r="13" spans="1:17">
      <c r="A13" s="400" t="s">
        <v>2178</v>
      </c>
      <c r="B13" s="400" t="s">
        <v>1573</v>
      </c>
      <c r="C13" s="1203">
        <v>565161.59</v>
      </c>
      <c r="D13" s="400">
        <v>72632</v>
      </c>
      <c r="E13" s="400">
        <v>13422169.440000001</v>
      </c>
      <c r="F13" s="400">
        <v>7175742</v>
      </c>
      <c r="G13" s="1145">
        <f t="shared" si="0"/>
        <v>3.0963993211536981E-2</v>
      </c>
      <c r="H13" s="1147">
        <f t="shared" si="1"/>
        <v>3</v>
      </c>
      <c r="Q13" s="843" t="s">
        <v>2339</v>
      </c>
    </row>
    <row r="14" spans="1:17">
      <c r="A14" s="400" t="s">
        <v>2178</v>
      </c>
      <c r="B14" s="400" t="s">
        <v>2475</v>
      </c>
      <c r="C14" s="400">
        <v>0</v>
      </c>
      <c r="D14" s="400">
        <v>0</v>
      </c>
      <c r="E14" s="400">
        <v>59648</v>
      </c>
      <c r="F14" s="400">
        <v>59648</v>
      </c>
      <c r="G14" s="1145">
        <f t="shared" si="0"/>
        <v>0</v>
      </c>
      <c r="H14" s="1147">
        <f t="shared" si="1"/>
        <v>3</v>
      </c>
    </row>
    <row r="15" spans="1:17">
      <c r="A15" s="400" t="s">
        <v>2178</v>
      </c>
      <c r="B15" s="400" t="s">
        <v>1560</v>
      </c>
      <c r="C15" s="1203">
        <v>778619.1</v>
      </c>
      <c r="D15" s="400">
        <v>2665828</v>
      </c>
      <c r="E15" s="400">
        <v>46014054.250000007</v>
      </c>
      <c r="F15" s="400">
        <v>22326706</v>
      </c>
      <c r="G15" s="1145">
        <f t="shared" si="0"/>
        <v>5.0401065007174839E-2</v>
      </c>
      <c r="H15" s="1147">
        <f t="shared" si="1"/>
        <v>1.5</v>
      </c>
    </row>
    <row r="16" spans="1:17">
      <c r="A16" s="400" t="s">
        <v>2178</v>
      </c>
      <c r="B16" s="400" t="s">
        <v>1564</v>
      </c>
      <c r="C16" s="1203">
        <v>1507344.53</v>
      </c>
      <c r="D16" s="400">
        <v>792873</v>
      </c>
      <c r="E16" s="400">
        <v>71383021.349999994</v>
      </c>
      <c r="F16" s="400">
        <v>20862197</v>
      </c>
      <c r="G16" s="1145">
        <f t="shared" si="0"/>
        <v>2.493589988884232E-2</v>
      </c>
      <c r="H16" s="1147">
        <f t="shared" si="1"/>
        <v>3</v>
      </c>
    </row>
    <row r="17" spans="1:8">
      <c r="A17" s="400" t="s">
        <v>2178</v>
      </c>
      <c r="B17" s="400" t="s">
        <v>1567</v>
      </c>
      <c r="C17" s="1203">
        <v>1978691.7199999997</v>
      </c>
      <c r="D17" s="400">
        <v>1740236</v>
      </c>
      <c r="E17" s="400">
        <v>76300747.760000005</v>
      </c>
      <c r="F17" s="400">
        <v>28384549</v>
      </c>
      <c r="G17" s="1145">
        <f t="shared" si="0"/>
        <v>3.5524833334770592E-2</v>
      </c>
      <c r="H17" s="1147">
        <f t="shared" si="1"/>
        <v>3</v>
      </c>
    </row>
    <row r="18" spans="1:8">
      <c r="A18" s="400" t="s">
        <v>2178</v>
      </c>
      <c r="B18" s="400" t="s">
        <v>1558</v>
      </c>
      <c r="C18" s="1203">
        <v>414992.46</v>
      </c>
      <c r="D18" s="400">
        <v>202123</v>
      </c>
      <c r="E18" s="400">
        <v>14082126.150000004</v>
      </c>
      <c r="F18" s="400">
        <v>3601583</v>
      </c>
      <c r="G18" s="1145">
        <f t="shared" si="0"/>
        <v>3.4897399338871156E-2</v>
      </c>
      <c r="H18" s="1147">
        <f t="shared" si="1"/>
        <v>3</v>
      </c>
    </row>
    <row r="19" spans="1:8">
      <c r="A19" s="400" t="s">
        <v>2178</v>
      </c>
      <c r="B19" s="400" t="s">
        <v>1570</v>
      </c>
      <c r="C19" s="1203">
        <v>1237430.8599999996</v>
      </c>
      <c r="D19" s="400">
        <v>747763</v>
      </c>
      <c r="E19" s="400">
        <v>64063850.99000001</v>
      </c>
      <c r="F19" s="400">
        <v>19173713</v>
      </c>
      <c r="G19" s="1145">
        <f t="shared" si="0"/>
        <v>2.3849735201747334E-2</v>
      </c>
      <c r="H19" s="1147">
        <f t="shared" si="1"/>
        <v>3</v>
      </c>
    </row>
    <row r="20" spans="1:8">
      <c r="A20" s="400" t="s">
        <v>2178</v>
      </c>
      <c r="B20" s="400" t="s">
        <v>1354</v>
      </c>
      <c r="C20" s="1203">
        <v>656549.99</v>
      </c>
      <c r="D20" s="400">
        <v>492244</v>
      </c>
      <c r="E20" s="400">
        <v>16514438.470000001</v>
      </c>
      <c r="F20" s="400">
        <v>9701659</v>
      </c>
      <c r="G20" s="1145">
        <f t="shared" si="0"/>
        <v>4.3820175421403026E-2</v>
      </c>
      <c r="H20" s="1147">
        <f t="shared" si="1"/>
        <v>3</v>
      </c>
    </row>
    <row r="21" spans="1:8">
      <c r="A21" s="400" t="s">
        <v>2178</v>
      </c>
      <c r="B21" s="400" t="s">
        <v>1556</v>
      </c>
      <c r="C21" s="1203">
        <v>1374855.56</v>
      </c>
      <c r="D21" s="400">
        <v>535969</v>
      </c>
      <c r="E21" s="400">
        <v>62750614.559999995</v>
      </c>
      <c r="F21" s="400">
        <v>17415395</v>
      </c>
      <c r="G21" s="1145">
        <f t="shared" si="0"/>
        <v>2.3835844773711101E-2</v>
      </c>
      <c r="H21" s="1147">
        <f t="shared" si="1"/>
        <v>3</v>
      </c>
    </row>
    <row r="22" spans="1:8">
      <c r="A22" s="400" t="s">
        <v>2179</v>
      </c>
      <c r="B22" s="400" t="s">
        <v>1552</v>
      </c>
      <c r="C22" s="1203">
        <v>863.62</v>
      </c>
      <c r="D22" s="400">
        <v>14439</v>
      </c>
      <c r="E22" s="400">
        <v>5385037.4299999997</v>
      </c>
      <c r="F22" s="400">
        <v>74030</v>
      </c>
      <c r="G22" s="1145">
        <f t="shared" si="0"/>
        <v>2.803156435823692E-3</v>
      </c>
      <c r="H22" s="1147">
        <f t="shared" si="1"/>
        <v>3</v>
      </c>
    </row>
    <row r="23" spans="1:8">
      <c r="A23" s="400" t="s">
        <v>2179</v>
      </c>
      <c r="B23" s="400" t="s">
        <v>1554</v>
      </c>
      <c r="C23" s="400">
        <v>0</v>
      </c>
      <c r="D23" s="400">
        <v>0</v>
      </c>
      <c r="E23" s="400">
        <v>95417.83</v>
      </c>
      <c r="F23" s="1037">
        <v>0</v>
      </c>
      <c r="G23" s="1145">
        <f t="shared" si="0"/>
        <v>0</v>
      </c>
      <c r="H23" s="1147">
        <f t="shared" si="1"/>
        <v>3</v>
      </c>
    </row>
    <row r="24" spans="1:8">
      <c r="A24" s="400" t="s">
        <v>2179</v>
      </c>
      <c r="B24" s="400" t="s">
        <v>1573</v>
      </c>
      <c r="C24" s="400">
        <v>0</v>
      </c>
      <c r="D24" s="400">
        <v>0</v>
      </c>
      <c r="E24" s="400">
        <v>105683.72</v>
      </c>
      <c r="F24" s="1037">
        <v>0</v>
      </c>
      <c r="G24" s="1145">
        <f t="shared" si="0"/>
        <v>0</v>
      </c>
      <c r="H24" s="1147">
        <f t="shared" si="1"/>
        <v>3</v>
      </c>
    </row>
    <row r="25" spans="1:8">
      <c r="A25" s="400" t="s">
        <v>2179</v>
      </c>
      <c r="B25" s="400" t="s">
        <v>1560</v>
      </c>
      <c r="C25" s="400">
        <v>0</v>
      </c>
      <c r="D25" s="400">
        <v>0</v>
      </c>
      <c r="E25" s="400">
        <v>826310.55</v>
      </c>
      <c r="F25" s="400">
        <v>5141</v>
      </c>
      <c r="G25" s="1145">
        <f t="shared" si="0"/>
        <v>0</v>
      </c>
      <c r="H25" s="1147">
        <f t="shared" si="1"/>
        <v>3</v>
      </c>
    </row>
    <row r="26" spans="1:8">
      <c r="A26" s="400" t="s">
        <v>2179</v>
      </c>
      <c r="B26" s="400" t="s">
        <v>1564</v>
      </c>
      <c r="C26" s="400">
        <v>0</v>
      </c>
      <c r="D26" s="400">
        <v>0</v>
      </c>
      <c r="E26" s="400">
        <v>2871257.310000001</v>
      </c>
      <c r="F26" s="400">
        <v>0</v>
      </c>
      <c r="G26" s="1145">
        <f t="shared" si="0"/>
        <v>0</v>
      </c>
      <c r="H26" s="1147">
        <f t="shared" si="1"/>
        <v>3</v>
      </c>
    </row>
    <row r="27" spans="1:8">
      <c r="A27" s="400" t="s">
        <v>2179</v>
      </c>
      <c r="B27" s="400" t="s">
        <v>1567</v>
      </c>
      <c r="C27" s="400">
        <v>0</v>
      </c>
      <c r="D27" s="400">
        <v>0</v>
      </c>
      <c r="E27" s="400">
        <v>343709.29</v>
      </c>
      <c r="F27" s="1037">
        <v>0</v>
      </c>
      <c r="G27" s="1145">
        <f t="shared" si="0"/>
        <v>0</v>
      </c>
      <c r="H27" s="1147">
        <f t="shared" si="1"/>
        <v>3</v>
      </c>
    </row>
    <row r="28" spans="1:8">
      <c r="A28" s="400" t="s">
        <v>2179</v>
      </c>
      <c r="B28" s="400" t="s">
        <v>1558</v>
      </c>
      <c r="C28" s="400">
        <v>0</v>
      </c>
      <c r="D28" s="400">
        <v>0</v>
      </c>
      <c r="E28" s="400">
        <v>1584233.11</v>
      </c>
      <c r="F28" s="400">
        <v>0</v>
      </c>
      <c r="G28" s="1145">
        <f t="shared" si="0"/>
        <v>0</v>
      </c>
      <c r="H28" s="1147">
        <f t="shared" si="1"/>
        <v>3</v>
      </c>
    </row>
    <row r="29" spans="1:8">
      <c r="A29" s="400" t="s">
        <v>2179</v>
      </c>
      <c r="B29" s="400" t="s">
        <v>1570</v>
      </c>
      <c r="C29" s="400">
        <v>0</v>
      </c>
      <c r="D29" s="400">
        <v>0</v>
      </c>
      <c r="E29" s="400">
        <v>1844965.35</v>
      </c>
      <c r="F29" s="400">
        <v>87090</v>
      </c>
      <c r="G29" s="1145">
        <f t="shared" si="0"/>
        <v>0</v>
      </c>
      <c r="H29" s="1147">
        <f t="shared" si="1"/>
        <v>3</v>
      </c>
    </row>
    <row r="30" spans="1:8">
      <c r="A30" s="400" t="s">
        <v>2179</v>
      </c>
      <c r="B30" s="400" t="s">
        <v>1354</v>
      </c>
      <c r="C30" s="400">
        <v>0</v>
      </c>
      <c r="D30" s="400">
        <v>0</v>
      </c>
      <c r="E30" s="400">
        <v>1001479.3500000001</v>
      </c>
      <c r="F30" s="400">
        <v>62097</v>
      </c>
      <c r="G30" s="1145">
        <f t="shared" si="0"/>
        <v>0</v>
      </c>
      <c r="H30" s="1147">
        <f t="shared" si="1"/>
        <v>3</v>
      </c>
    </row>
    <row r="31" spans="1:8">
      <c r="A31" s="400" t="s">
        <v>2179</v>
      </c>
      <c r="B31" s="400" t="s">
        <v>1556</v>
      </c>
      <c r="C31" s="400">
        <v>0</v>
      </c>
      <c r="D31" s="400">
        <v>0</v>
      </c>
      <c r="E31" s="400">
        <v>77581018.38000001</v>
      </c>
      <c r="F31" s="400">
        <v>188181</v>
      </c>
      <c r="G31" s="1145">
        <f t="shared" si="0"/>
        <v>0</v>
      </c>
      <c r="H31" s="1147">
        <f t="shared" si="1"/>
        <v>3</v>
      </c>
    </row>
    <row r="32" spans="1:8">
      <c r="A32" s="400" t="s">
        <v>2476</v>
      </c>
      <c r="B32" s="400" t="s">
        <v>1552</v>
      </c>
      <c r="C32" s="400">
        <v>0</v>
      </c>
      <c r="D32" s="400">
        <v>0</v>
      </c>
      <c r="E32" s="400">
        <v>1183.92</v>
      </c>
      <c r="F32" s="1037">
        <v>0</v>
      </c>
      <c r="G32" s="1145">
        <f t="shared" si="0"/>
        <v>0</v>
      </c>
      <c r="H32" s="1147">
        <f t="shared" si="1"/>
        <v>3</v>
      </c>
    </row>
    <row r="33" spans="1:8">
      <c r="A33" s="400" t="s">
        <v>2476</v>
      </c>
      <c r="B33" s="400" t="s">
        <v>1554</v>
      </c>
      <c r="C33" s="400">
        <v>0</v>
      </c>
      <c r="D33" s="400">
        <v>0</v>
      </c>
      <c r="E33" s="400">
        <v>269.79000000000002</v>
      </c>
      <c r="F33" s="1037">
        <v>0</v>
      </c>
      <c r="G33" s="1145">
        <f t="shared" si="0"/>
        <v>0</v>
      </c>
      <c r="H33" s="1147">
        <f t="shared" si="1"/>
        <v>3</v>
      </c>
    </row>
    <row r="34" spans="1:8">
      <c r="A34" s="400" t="s">
        <v>2476</v>
      </c>
      <c r="B34" s="400" t="s">
        <v>1573</v>
      </c>
      <c r="C34" s="400">
        <v>0</v>
      </c>
      <c r="D34" s="400">
        <v>0</v>
      </c>
      <c r="E34" s="400">
        <v>2479.1799999999998</v>
      </c>
      <c r="F34" s="1037">
        <v>0</v>
      </c>
      <c r="G34" s="1145">
        <f t="shared" si="0"/>
        <v>0</v>
      </c>
      <c r="H34" s="1147">
        <f t="shared" si="1"/>
        <v>3</v>
      </c>
    </row>
    <row r="35" spans="1:8">
      <c r="A35" s="400" t="s">
        <v>2476</v>
      </c>
      <c r="B35" s="400" t="s">
        <v>1560</v>
      </c>
      <c r="C35" s="400">
        <v>0</v>
      </c>
      <c r="D35" s="400">
        <v>0</v>
      </c>
      <c r="E35" s="400">
        <v>3004.9</v>
      </c>
      <c r="F35" s="400">
        <v>0</v>
      </c>
      <c r="G35" s="1145">
        <f t="shared" si="0"/>
        <v>0</v>
      </c>
      <c r="H35" s="1147">
        <f t="shared" si="1"/>
        <v>3</v>
      </c>
    </row>
    <row r="36" spans="1:8">
      <c r="A36" s="400" t="s">
        <v>2476</v>
      </c>
      <c r="B36" s="400" t="s">
        <v>1564</v>
      </c>
      <c r="C36" s="400">
        <v>0</v>
      </c>
      <c r="D36" s="400">
        <v>0</v>
      </c>
      <c r="E36" s="400">
        <v>3138.54</v>
      </c>
      <c r="F36" s="1037">
        <v>0</v>
      </c>
      <c r="G36" s="1145">
        <f t="shared" si="0"/>
        <v>0</v>
      </c>
      <c r="H36" s="1147">
        <f t="shared" si="1"/>
        <v>3</v>
      </c>
    </row>
    <row r="37" spans="1:8">
      <c r="A37" s="400" t="s">
        <v>2476</v>
      </c>
      <c r="B37" s="400" t="s">
        <v>1567</v>
      </c>
      <c r="C37" s="400">
        <v>0</v>
      </c>
      <c r="D37" s="400">
        <v>0</v>
      </c>
      <c r="E37" s="400">
        <v>2832.04</v>
      </c>
      <c r="F37" s="1037">
        <v>0</v>
      </c>
      <c r="G37" s="1145">
        <f t="shared" si="0"/>
        <v>0</v>
      </c>
      <c r="H37" s="1147">
        <f t="shared" si="1"/>
        <v>3</v>
      </c>
    </row>
    <row r="38" spans="1:8">
      <c r="A38" s="400" t="s">
        <v>2476</v>
      </c>
      <c r="B38" s="400" t="s">
        <v>1558</v>
      </c>
      <c r="C38" s="400">
        <v>0</v>
      </c>
      <c r="D38" s="400">
        <v>0</v>
      </c>
      <c r="E38" s="400">
        <v>937.72</v>
      </c>
      <c r="F38" s="1037">
        <v>0</v>
      </c>
      <c r="G38" s="1145">
        <f t="shared" si="0"/>
        <v>0</v>
      </c>
      <c r="H38" s="1147">
        <f t="shared" si="1"/>
        <v>3</v>
      </c>
    </row>
    <row r="39" spans="1:8">
      <c r="A39" s="400" t="s">
        <v>2476</v>
      </c>
      <c r="B39" s="400" t="s">
        <v>1570</v>
      </c>
      <c r="C39" s="400">
        <v>0</v>
      </c>
      <c r="D39" s="400">
        <v>0</v>
      </c>
      <c r="E39" s="400">
        <v>2926.2500000000005</v>
      </c>
      <c r="F39" s="1037">
        <v>0</v>
      </c>
      <c r="G39" s="1145">
        <f t="shared" si="0"/>
        <v>0</v>
      </c>
      <c r="H39" s="1147">
        <f t="shared" si="1"/>
        <v>3</v>
      </c>
    </row>
    <row r="40" spans="1:8">
      <c r="A40" s="400" t="s">
        <v>2476</v>
      </c>
      <c r="B40" s="400" t="s">
        <v>1354</v>
      </c>
      <c r="C40" s="400">
        <v>0</v>
      </c>
      <c r="D40" s="400">
        <v>0</v>
      </c>
      <c r="E40" s="400">
        <v>4407.22</v>
      </c>
      <c r="F40" s="1037">
        <v>0</v>
      </c>
      <c r="G40" s="1145">
        <f t="shared" si="0"/>
        <v>0</v>
      </c>
      <c r="H40" s="1147">
        <f t="shared" si="1"/>
        <v>3</v>
      </c>
    </row>
    <row r="41" spans="1:8">
      <c r="A41" s="400" t="s">
        <v>2476</v>
      </c>
      <c r="B41" s="400" t="s">
        <v>1556</v>
      </c>
      <c r="C41" s="400">
        <v>0</v>
      </c>
      <c r="D41" s="400">
        <v>0</v>
      </c>
      <c r="E41" s="400">
        <v>17070.63</v>
      </c>
      <c r="F41" s="400">
        <v>0</v>
      </c>
      <c r="G41" s="1145">
        <f t="shared" si="0"/>
        <v>0</v>
      </c>
      <c r="H41" s="1147">
        <f t="shared" si="1"/>
        <v>3</v>
      </c>
    </row>
    <row r="42" spans="1:8">
      <c r="A42" s="400" t="s">
        <v>2177</v>
      </c>
      <c r="B42" s="400" t="s">
        <v>1552</v>
      </c>
      <c r="C42" s="1203">
        <v>1564</v>
      </c>
      <c r="D42" s="400">
        <v>0</v>
      </c>
      <c r="E42" s="400">
        <v>142696.56999999998</v>
      </c>
      <c r="F42" s="400">
        <v>112542</v>
      </c>
      <c r="G42" s="1145">
        <f t="shared" si="0"/>
        <v>6.1276005425042156E-3</v>
      </c>
      <c r="H42" s="1147">
        <f t="shared" si="1"/>
        <v>3</v>
      </c>
    </row>
    <row r="43" spans="1:8">
      <c r="A43" s="400" t="s">
        <v>2177</v>
      </c>
      <c r="B43" s="400" t="s">
        <v>1554</v>
      </c>
      <c r="C43" s="400">
        <v>0</v>
      </c>
      <c r="D43" s="400">
        <v>0</v>
      </c>
      <c r="E43" s="400">
        <v>114670.29</v>
      </c>
      <c r="F43" s="400">
        <v>23484</v>
      </c>
      <c r="G43" s="1145">
        <f t="shared" si="0"/>
        <v>0</v>
      </c>
      <c r="H43" s="1147">
        <f t="shared" si="1"/>
        <v>3</v>
      </c>
    </row>
    <row r="44" spans="1:8">
      <c r="A44" s="400" t="s">
        <v>2177</v>
      </c>
      <c r="B44" s="400" t="s">
        <v>1573</v>
      </c>
      <c r="C44" s="400">
        <v>0</v>
      </c>
      <c r="D44" s="400">
        <v>0</v>
      </c>
      <c r="E44" s="400">
        <v>21592.29</v>
      </c>
      <c r="F44" s="400">
        <v>14600</v>
      </c>
      <c r="G44" s="1145">
        <f t="shared" si="0"/>
        <v>0</v>
      </c>
      <c r="H44" s="1147">
        <f t="shared" si="1"/>
        <v>3</v>
      </c>
    </row>
    <row r="45" spans="1:8">
      <c r="A45" s="400" t="s">
        <v>2177</v>
      </c>
      <c r="B45" s="400" t="s">
        <v>1560</v>
      </c>
      <c r="C45" s="400">
        <v>0</v>
      </c>
      <c r="D45" s="400">
        <v>0</v>
      </c>
      <c r="E45" s="400">
        <v>263193.63</v>
      </c>
      <c r="F45" s="400">
        <v>192154</v>
      </c>
      <c r="G45" s="1145">
        <f t="shared" si="0"/>
        <v>0</v>
      </c>
      <c r="H45" s="1147">
        <f t="shared" si="1"/>
        <v>3</v>
      </c>
    </row>
    <row r="46" spans="1:8">
      <c r="A46" s="400" t="s">
        <v>2177</v>
      </c>
      <c r="B46" s="400" t="s">
        <v>1564</v>
      </c>
      <c r="C46" s="1203">
        <v>1121.31</v>
      </c>
      <c r="D46" s="400">
        <v>5365</v>
      </c>
      <c r="E46" s="400">
        <v>531880</v>
      </c>
      <c r="F46" s="400">
        <v>258854</v>
      </c>
      <c r="G46" s="1145">
        <f t="shared" si="0"/>
        <v>8.2028975610002851E-3</v>
      </c>
      <c r="H46" s="1147">
        <f t="shared" si="1"/>
        <v>3</v>
      </c>
    </row>
    <row r="47" spans="1:8">
      <c r="A47" s="400" t="s">
        <v>2177</v>
      </c>
      <c r="B47" s="400" t="s">
        <v>1567</v>
      </c>
      <c r="C47" s="1203">
        <v>12334.010000000002</v>
      </c>
      <c r="D47" s="400">
        <v>26914</v>
      </c>
      <c r="E47" s="400">
        <v>983772.56999999983</v>
      </c>
      <c r="F47" s="400">
        <v>299582</v>
      </c>
      <c r="G47" s="1145">
        <f t="shared" si="0"/>
        <v>3.0582358856601887E-2</v>
      </c>
      <c r="H47" s="1147">
        <f t="shared" si="1"/>
        <v>3</v>
      </c>
    </row>
    <row r="48" spans="1:8">
      <c r="A48" s="400" t="s">
        <v>2177</v>
      </c>
      <c r="B48" s="400" t="s">
        <v>1558</v>
      </c>
      <c r="C48" s="400">
        <v>0</v>
      </c>
      <c r="D48" s="400">
        <v>0</v>
      </c>
      <c r="E48" s="400">
        <v>76014.289999999994</v>
      </c>
      <c r="F48" s="400">
        <v>31513</v>
      </c>
      <c r="G48" s="1145">
        <f t="shared" si="0"/>
        <v>0</v>
      </c>
      <c r="H48" s="1147">
        <f t="shared" si="1"/>
        <v>3</v>
      </c>
    </row>
    <row r="49" spans="1:8">
      <c r="A49" s="400" t="s">
        <v>2177</v>
      </c>
      <c r="B49" s="400" t="s">
        <v>1570</v>
      </c>
      <c r="C49" s="1203">
        <v>621.78</v>
      </c>
      <c r="D49" s="400">
        <v>7501</v>
      </c>
      <c r="E49" s="400">
        <v>762409.41000000015</v>
      </c>
      <c r="F49" s="400">
        <v>378766</v>
      </c>
      <c r="G49" s="1145">
        <f t="shared" si="0"/>
        <v>7.1179066152503223E-3</v>
      </c>
      <c r="H49" s="1147">
        <f t="shared" si="1"/>
        <v>3</v>
      </c>
    </row>
    <row r="50" spans="1:8">
      <c r="A50" s="400" t="s">
        <v>2177</v>
      </c>
      <c r="B50" s="400" t="s">
        <v>1354</v>
      </c>
      <c r="C50" s="400">
        <v>0</v>
      </c>
      <c r="D50" s="400">
        <v>9094</v>
      </c>
      <c r="E50" s="400">
        <v>92339.82</v>
      </c>
      <c r="F50" s="400">
        <v>53055</v>
      </c>
      <c r="G50" s="1145">
        <f t="shared" si="0"/>
        <v>6.2546932552342643E-2</v>
      </c>
      <c r="H50" s="1147">
        <f t="shared" si="1"/>
        <v>1.5</v>
      </c>
    </row>
    <row r="51" spans="1:8">
      <c r="A51" s="400" t="s">
        <v>2177</v>
      </c>
      <c r="B51" s="400" t="s">
        <v>1556</v>
      </c>
      <c r="C51" s="400">
        <v>0</v>
      </c>
      <c r="D51" s="400">
        <v>23008</v>
      </c>
      <c r="E51" s="400">
        <v>430056.91000000003</v>
      </c>
      <c r="F51" s="400">
        <v>321638</v>
      </c>
      <c r="G51" s="1145">
        <f t="shared" si="0"/>
        <v>3.0608162558929657E-2</v>
      </c>
      <c r="H51" s="1147">
        <f t="shared" si="1"/>
        <v>3</v>
      </c>
    </row>
    <row r="52" spans="1:8">
      <c r="A52" s="400" t="s">
        <v>2180</v>
      </c>
      <c r="B52" s="400" t="s">
        <v>1552</v>
      </c>
      <c r="C52" s="1203">
        <v>1162438.44</v>
      </c>
      <c r="D52" s="400">
        <v>387786</v>
      </c>
      <c r="E52" s="400">
        <v>2938594</v>
      </c>
      <c r="F52" s="400">
        <v>1263859</v>
      </c>
      <c r="G52" s="1145">
        <f t="shared" si="0"/>
        <v>0.36888561038041351</v>
      </c>
      <c r="H52" s="1147">
        <f t="shared" si="1"/>
        <v>0</v>
      </c>
    </row>
    <row r="53" spans="1:8">
      <c r="A53" s="400" t="s">
        <v>2180</v>
      </c>
      <c r="B53" s="400" t="s">
        <v>1554</v>
      </c>
      <c r="C53" s="1203">
        <v>1071731.55</v>
      </c>
      <c r="D53" s="400">
        <v>3116000</v>
      </c>
      <c r="E53" s="400">
        <v>28582926</v>
      </c>
      <c r="F53" s="400">
        <v>9841682</v>
      </c>
      <c r="G53" s="1145">
        <f t="shared" si="0"/>
        <v>0.10898566746601553</v>
      </c>
      <c r="H53" s="1147">
        <f t="shared" si="1"/>
        <v>0</v>
      </c>
    </row>
    <row r="54" spans="1:8">
      <c r="A54" s="400" t="s">
        <v>2180</v>
      </c>
      <c r="B54" s="400" t="s">
        <v>1573</v>
      </c>
      <c r="C54" s="1203">
        <v>383013.36</v>
      </c>
      <c r="D54" s="400">
        <v>0</v>
      </c>
      <c r="E54" s="400">
        <v>899393</v>
      </c>
      <c r="F54" s="400">
        <v>0</v>
      </c>
      <c r="G54" s="1145">
        <f t="shared" si="0"/>
        <v>0.42585761730411509</v>
      </c>
      <c r="H54" s="1147">
        <f t="shared" si="1"/>
        <v>0</v>
      </c>
    </row>
    <row r="55" spans="1:8">
      <c r="A55" s="400" t="s">
        <v>2180</v>
      </c>
      <c r="B55" s="400" t="s">
        <v>1560</v>
      </c>
      <c r="C55" s="1203">
        <v>2371248.52</v>
      </c>
      <c r="D55" s="400">
        <v>2766051</v>
      </c>
      <c r="E55" s="400">
        <v>21812679.91</v>
      </c>
      <c r="F55" s="400">
        <v>8867568</v>
      </c>
      <c r="G55" s="1145">
        <f t="shared" si="0"/>
        <v>0.16744648006333529</v>
      </c>
      <c r="H55" s="1147">
        <f t="shared" si="1"/>
        <v>0</v>
      </c>
    </row>
    <row r="56" spans="1:8">
      <c r="A56" s="400" t="s">
        <v>2180</v>
      </c>
      <c r="B56" s="400" t="s">
        <v>1564</v>
      </c>
      <c r="C56" s="1203">
        <v>743011.15000000014</v>
      </c>
      <c r="D56" s="400">
        <v>80000</v>
      </c>
      <c r="E56" s="400">
        <v>2530997.5700000003</v>
      </c>
      <c r="F56" s="400">
        <v>298027</v>
      </c>
      <c r="G56" s="1145">
        <f t="shared" si="0"/>
        <v>0.2909169325454109</v>
      </c>
      <c r="H56" s="1147">
        <f t="shared" si="1"/>
        <v>0</v>
      </c>
    </row>
    <row r="57" spans="1:8">
      <c r="A57" s="400" t="s">
        <v>2180</v>
      </c>
      <c r="B57" s="400" t="s">
        <v>1567</v>
      </c>
      <c r="C57" s="1203">
        <v>4380080.45</v>
      </c>
      <c r="D57" s="400">
        <v>0</v>
      </c>
      <c r="E57" s="400">
        <v>2074929</v>
      </c>
      <c r="F57" s="400">
        <v>0</v>
      </c>
      <c r="G57" s="1145">
        <f>(C57+D57)/(E57+F57)</f>
        <v>2.1109543748243915</v>
      </c>
      <c r="H57" s="1147">
        <f t="shared" si="1"/>
        <v>0</v>
      </c>
    </row>
    <row r="58" spans="1:8">
      <c r="A58" s="400" t="s">
        <v>2180</v>
      </c>
      <c r="B58" s="400" t="s">
        <v>1558</v>
      </c>
      <c r="C58" s="1203">
        <v>1026720.5</v>
      </c>
      <c r="D58" s="400">
        <v>0</v>
      </c>
      <c r="E58" s="400">
        <v>2896304</v>
      </c>
      <c r="F58" s="400">
        <v>0</v>
      </c>
      <c r="G58" s="1145">
        <f t="shared" si="0"/>
        <v>0.35449334738342386</v>
      </c>
      <c r="H58" s="1147">
        <f t="shared" si="1"/>
        <v>0</v>
      </c>
    </row>
    <row r="59" spans="1:8">
      <c r="A59" s="400" t="s">
        <v>2180</v>
      </c>
      <c r="B59" s="400" t="s">
        <v>1570</v>
      </c>
      <c r="C59" s="1203">
        <v>2518839.5100000002</v>
      </c>
      <c r="D59" s="400">
        <v>1803549</v>
      </c>
      <c r="E59" s="400">
        <v>19164954</v>
      </c>
      <c r="F59" s="400">
        <v>6178201</v>
      </c>
      <c r="G59" s="1145">
        <f t="shared" si="0"/>
        <v>0.17055447555760125</v>
      </c>
      <c r="H59" s="1147">
        <f t="shared" si="1"/>
        <v>0</v>
      </c>
    </row>
    <row r="60" spans="1:8">
      <c r="A60" s="400" t="s">
        <v>2180</v>
      </c>
      <c r="B60" s="400" t="s">
        <v>1354</v>
      </c>
      <c r="C60" s="1203">
        <v>106297.97</v>
      </c>
      <c r="D60" s="400">
        <v>0</v>
      </c>
      <c r="E60" s="400">
        <v>3202486</v>
      </c>
      <c r="F60" s="400">
        <v>51940</v>
      </c>
      <c r="G60" s="1145">
        <f t="shared" si="0"/>
        <v>3.2662586274814671E-2</v>
      </c>
      <c r="H60" s="1147">
        <f t="shared" si="1"/>
        <v>3</v>
      </c>
    </row>
    <row r="61" spans="1:8">
      <c r="A61" s="400" t="s">
        <v>2180</v>
      </c>
      <c r="B61" s="400" t="s">
        <v>1556</v>
      </c>
      <c r="C61" s="1203">
        <v>2214012.04</v>
      </c>
      <c r="D61" s="400">
        <v>2096491</v>
      </c>
      <c r="E61" s="400">
        <v>37122522.380000003</v>
      </c>
      <c r="F61" s="400">
        <v>3939297</v>
      </c>
      <c r="G61" s="1145">
        <f t="shared" si="0"/>
        <v>0.1049759388425813</v>
      </c>
      <c r="H61" s="1147">
        <f t="shared" si="1"/>
        <v>0</v>
      </c>
    </row>
  </sheetData>
  <phoneticPr fontId="3" type="noConversion"/>
  <hyperlinks>
    <hyperlink ref="Q11" location="'总公司绩效-II'!A1" display="总公司绩效-II"/>
    <hyperlink ref="Q12" location="目录!A1" display="目录"/>
    <hyperlink ref="Q13" location="'OR04-分公司销售、承保、保全'!A1" display="OR0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O96"/>
  <sheetViews>
    <sheetView workbookViewId="0">
      <pane xSplit="4" ySplit="1" topLeftCell="E33" activePane="bottomRight" state="frozenSplit"/>
      <selection pane="topRight" activeCell="F1" sqref="F1"/>
      <selection pane="bottomLeft" activeCell="A27" sqref="A27"/>
      <selection pane="bottomRight" activeCell="B44" sqref="B44"/>
    </sheetView>
  </sheetViews>
  <sheetFormatPr defaultRowHeight="13.5"/>
  <cols>
    <col min="1" max="1" width="7.75" customWidth="1"/>
    <col min="2" max="2" width="35.75" customWidth="1"/>
    <col min="3" max="3" width="10" customWidth="1"/>
    <col min="4" max="4" width="10.25" bestFit="1" customWidth="1"/>
    <col min="5" max="5" width="8.5" bestFit="1" customWidth="1"/>
    <col min="6" max="6" width="8.5" customWidth="1"/>
    <col min="7" max="10" width="8.5" bestFit="1" customWidth="1"/>
    <col min="11" max="11" width="14.125" customWidth="1"/>
    <col min="12" max="12" width="8.75" customWidth="1"/>
    <col min="13" max="13" width="12.375" customWidth="1"/>
  </cols>
  <sheetData>
    <row r="1" spans="1:15" ht="15.75" thickBot="1">
      <c r="A1" s="1110" t="s">
        <v>2055</v>
      </c>
      <c r="B1" s="668" t="s">
        <v>2056</v>
      </c>
      <c r="C1" s="668" t="s">
        <v>2057</v>
      </c>
      <c r="D1" s="668" t="s">
        <v>571</v>
      </c>
      <c r="E1" s="1087" t="s">
        <v>1627</v>
      </c>
      <c r="F1" s="1087" t="s">
        <v>1628</v>
      </c>
      <c r="G1" s="1087" t="s">
        <v>1629</v>
      </c>
      <c r="H1" s="1087" t="s">
        <v>1630</v>
      </c>
      <c r="I1" s="1087" t="s">
        <v>1631</v>
      </c>
      <c r="J1" s="1087" t="s">
        <v>1632</v>
      </c>
      <c r="K1" s="668" t="s">
        <v>2114</v>
      </c>
      <c r="L1" s="1725" t="s">
        <v>2222</v>
      </c>
      <c r="M1" s="1726"/>
    </row>
    <row r="2" spans="1:15" ht="14.25">
      <c r="A2" s="1711" t="s">
        <v>2203</v>
      </c>
      <c r="B2" s="1092" t="s">
        <v>1</v>
      </c>
      <c r="C2" s="1108">
        <f>30%*(1/18)</f>
        <v>1.6666666666666666E-2</v>
      </c>
      <c r="D2" s="1150">
        <v>9</v>
      </c>
      <c r="E2" s="1152"/>
      <c r="F2" s="1180">
        <f>(1-'OR02-销售承保'!N4)*$D$2</f>
        <v>6.6910687078284834</v>
      </c>
      <c r="G2" s="1181">
        <f>(1-'OR02-销售承保'!P4)*$D$2</f>
        <v>7.4615384615384608</v>
      </c>
      <c r="H2" s="1182">
        <f>(1-'OR02-销售承保'!R4)*$D$2</f>
        <v>6.8943396226415103</v>
      </c>
      <c r="I2" s="1183">
        <f>(1-'OR02-销售承保'!T4)*$D$2</f>
        <v>8.2941176470588243</v>
      </c>
      <c r="J2" s="1226">
        <f>(1-'OR02-销售承保'!V4)*$D$2</f>
        <v>8.3430656934306562</v>
      </c>
      <c r="K2" s="1301" t="s">
        <v>2111</v>
      </c>
      <c r="L2" s="1301"/>
      <c r="M2" s="1291"/>
    </row>
    <row r="3" spans="1:15" ht="16.5">
      <c r="A3" s="1712"/>
      <c r="B3" s="20" t="s">
        <v>2458</v>
      </c>
      <c r="C3" s="1098">
        <f>30%*(1/18)</f>
        <v>1.6666666666666666E-2</v>
      </c>
      <c r="D3" s="1278">
        <v>6</v>
      </c>
      <c r="E3" s="1119">
        <f>$D$3*('OR02-销售承保'!L9-'OR02-销售承保'!P9)/('OR02-销售承保'!L10-'OR02-销售承保'!P10)</f>
        <v>6</v>
      </c>
      <c r="F3" s="1147"/>
      <c r="G3" s="1170">
        <f>$D$3*'OR02-销售承保'!P8</f>
        <v>6</v>
      </c>
      <c r="H3" s="1147"/>
      <c r="I3" s="1147"/>
      <c r="J3" s="1175"/>
      <c r="K3" s="1244" t="s">
        <v>2111</v>
      </c>
      <c r="L3" s="1709"/>
      <c r="M3" s="1710"/>
      <c r="N3" s="1" t="s">
        <v>1627</v>
      </c>
      <c r="O3" s="1117"/>
    </row>
    <row r="4" spans="1:15" ht="16.5">
      <c r="A4" s="1712"/>
      <c r="B4" s="20" t="s">
        <v>2</v>
      </c>
      <c r="C4" s="1098">
        <f t="shared" ref="C4:C51" si="0">30%*(1/18)</f>
        <v>1.6666666666666666E-2</v>
      </c>
      <c r="D4" s="1278">
        <v>7</v>
      </c>
      <c r="E4" s="1147"/>
      <c r="F4" s="1184">
        <f>'OR02-销售承保'!N11*$D$4</f>
        <v>5.3701705788015746</v>
      </c>
      <c r="G4" s="1185">
        <f>'OR02-销售承保'!P11*D4</f>
        <v>6.6557377049180326</v>
      </c>
      <c r="H4" s="1186">
        <f>'OR02-销售承保'!R11*D4</f>
        <v>5.2080000000000002</v>
      </c>
      <c r="I4" s="1187">
        <f>'OR02-销售承保'!T11*D4</f>
        <v>6.4814814814814818</v>
      </c>
      <c r="J4" s="1188">
        <f>'OR02-销售承保'!V11*D4</f>
        <v>6.4166666666666661</v>
      </c>
      <c r="K4" s="1244" t="s">
        <v>2111</v>
      </c>
      <c r="L4" s="1244"/>
      <c r="M4" s="1292"/>
      <c r="N4" s="1" t="s">
        <v>2219</v>
      </c>
      <c r="O4" s="1034"/>
    </row>
    <row r="5" spans="1:15" ht="16.5">
      <c r="A5" s="1712"/>
      <c r="B5" s="1721" t="s">
        <v>2200</v>
      </c>
      <c r="C5" s="1098"/>
      <c r="D5" s="1278"/>
      <c r="E5" s="1147"/>
      <c r="F5" s="1162">
        <f>'OR02-销售承保'!N14</f>
        <v>0</v>
      </c>
      <c r="G5" s="1163">
        <f>'OR02-销售承保'!P14</f>
        <v>0</v>
      </c>
      <c r="H5" s="1164">
        <f>'OR02-销售承保'!R14</f>
        <v>0</v>
      </c>
      <c r="I5" s="1165">
        <f>'OR02-销售承保'!T14</f>
        <v>0</v>
      </c>
      <c r="J5" s="1166">
        <f>'OR02-销售承保'!V14</f>
        <v>0</v>
      </c>
      <c r="K5" s="1244" t="s">
        <v>2115</v>
      </c>
      <c r="L5" s="1244"/>
      <c r="M5" s="1292"/>
      <c r="N5" s="1" t="s">
        <v>2220</v>
      </c>
      <c r="O5" s="1235"/>
    </row>
    <row r="6" spans="1:15" ht="16.5">
      <c r="A6" s="1712"/>
      <c r="B6" s="1721"/>
      <c r="C6" s="1098">
        <f t="shared" si="0"/>
        <v>1.6666666666666666E-2</v>
      </c>
      <c r="D6" s="1278">
        <v>8</v>
      </c>
      <c r="E6" s="1147"/>
      <c r="F6" s="1167">
        <f>8-1*F5</f>
        <v>8</v>
      </c>
      <c r="G6" s="1170">
        <f t="shared" ref="G6:J6" si="1">8-1*G5</f>
        <v>8</v>
      </c>
      <c r="H6" s="1113">
        <f t="shared" si="1"/>
        <v>8</v>
      </c>
      <c r="I6" s="1168">
        <f t="shared" si="1"/>
        <v>8</v>
      </c>
      <c r="J6" s="1169">
        <f t="shared" si="1"/>
        <v>8</v>
      </c>
      <c r="K6" s="1244" t="s">
        <v>2117</v>
      </c>
      <c r="L6" s="1244"/>
      <c r="M6" s="1292"/>
      <c r="N6" s="1" t="s">
        <v>1630</v>
      </c>
      <c r="O6" s="1088"/>
    </row>
    <row r="7" spans="1:15" ht="16.5" customHeight="1">
      <c r="A7" s="1712"/>
      <c r="B7" s="1722" t="s">
        <v>2214</v>
      </c>
      <c r="C7" s="1098"/>
      <c r="D7" s="1278"/>
      <c r="E7" s="1356">
        <f>'OR02-销售承保'!L16</f>
        <v>0.98255074751194704</v>
      </c>
      <c r="F7" s="1176">
        <f>'OR02-销售承保'!N16</f>
        <v>0.98705948866134807</v>
      </c>
      <c r="G7" s="1366">
        <f>'OR02-销售承保'!P16</f>
        <v>1</v>
      </c>
      <c r="H7" s="1177">
        <f>'OR02-销售承保'!R16</f>
        <v>0.96816976127320953</v>
      </c>
      <c r="I7" s="1178">
        <f>'OR02-销售承保'!T16</f>
        <v>0.97233134073441507</v>
      </c>
      <c r="J7" s="1179">
        <f>'OR02-销售承保'!V16</f>
        <v>0.97530864197530864</v>
      </c>
      <c r="K7" s="1244" t="s">
        <v>2216</v>
      </c>
      <c r="L7" s="1730" t="s">
        <v>2221</v>
      </c>
      <c r="M7" s="1731"/>
      <c r="N7" s="1" t="s">
        <v>1631</v>
      </c>
      <c r="O7" s="1090"/>
    </row>
    <row r="8" spans="1:15" ht="16.5">
      <c r="A8" s="1712"/>
      <c r="B8" s="1722"/>
      <c r="C8" s="1072">
        <f t="shared" si="0"/>
        <v>1.6666666666666666E-2</v>
      </c>
      <c r="D8" s="1278">
        <v>7</v>
      </c>
      <c r="E8" s="1119">
        <f>IF(E7&gt;0.95,7,IF(E7&gt;0.9,7*E7-63,0))</f>
        <v>7</v>
      </c>
      <c r="F8" s="1167">
        <f t="shared" ref="F8:J8" si="2">IF(F7&gt;0.95,7,IF(F7&gt;0.9,7*F7-63,0))</f>
        <v>7</v>
      </c>
      <c r="G8" s="1170">
        <v>7</v>
      </c>
      <c r="H8" s="1113">
        <f t="shared" si="2"/>
        <v>7</v>
      </c>
      <c r="I8" s="1168">
        <f t="shared" si="2"/>
        <v>7</v>
      </c>
      <c r="J8" s="1169">
        <f t="shared" si="2"/>
        <v>7</v>
      </c>
      <c r="K8" s="1244" t="s">
        <v>2111</v>
      </c>
      <c r="L8" s="1244"/>
      <c r="M8" s="1292"/>
      <c r="N8" s="1" t="s">
        <v>1632</v>
      </c>
      <c r="O8" s="1089"/>
    </row>
    <row r="9" spans="1:15" ht="14.25">
      <c r="A9" s="1712"/>
      <c r="B9" s="1148" t="s">
        <v>2201</v>
      </c>
      <c r="C9" s="1098">
        <f t="shared" si="0"/>
        <v>1.6666666666666666E-2</v>
      </c>
      <c r="D9" s="1278">
        <v>7</v>
      </c>
      <c r="E9" s="1198"/>
      <c r="F9" s="1199">
        <f>(1-'OR02-销售承保'!N19)*7</f>
        <v>6.8842875070318925</v>
      </c>
      <c r="G9" s="1199">
        <f>(1-'OR02-销售承保'!P19)*7</f>
        <v>6.6557377049180326</v>
      </c>
      <c r="H9" s="1200">
        <f>(1-'OR02-销售承保'!R19)*7</f>
        <v>6.8282208588957056</v>
      </c>
      <c r="I9" s="1201">
        <f>(1-'OR02-销售承保'!T19)*7</f>
        <v>6.8652854511970531</v>
      </c>
      <c r="J9" s="1202">
        <f>(1-'OR02-销售承保'!V19)*7</f>
        <v>6.96100278551532</v>
      </c>
      <c r="K9" s="1244" t="s">
        <v>2111</v>
      </c>
      <c r="L9" s="1244"/>
      <c r="M9" s="1292"/>
    </row>
    <row r="10" spans="1:15" ht="28.5">
      <c r="A10" s="1712"/>
      <c r="B10" s="1148" t="s">
        <v>2202</v>
      </c>
      <c r="C10" s="1098">
        <f t="shared" si="0"/>
        <v>1.6666666666666666E-2</v>
      </c>
      <c r="D10" s="1278">
        <v>4</v>
      </c>
      <c r="E10" s="1203"/>
      <c r="F10" s="1162">
        <f>4-'OR02-销售承保'!N22*0.5</f>
        <v>0.5</v>
      </c>
      <c r="G10" s="1163">
        <f>4-'OR02-销售承保'!P22*0.5</f>
        <v>4</v>
      </c>
      <c r="H10" s="1164">
        <f>4-'OR02-销售承保'!R22*0.5</f>
        <v>4</v>
      </c>
      <c r="I10" s="1165">
        <f>4-'OR02-销售承保'!T22*0.5</f>
        <v>4</v>
      </c>
      <c r="J10" s="1166">
        <f>4-'OR02-销售承保'!V22*0.5</f>
        <v>4</v>
      </c>
      <c r="K10" s="1244" t="s">
        <v>2111</v>
      </c>
      <c r="L10" s="1244"/>
      <c r="M10" s="1292"/>
    </row>
    <row r="11" spans="1:15" ht="28.5">
      <c r="A11" s="1712"/>
      <c r="B11" s="1148" t="s">
        <v>551</v>
      </c>
      <c r="C11" s="1098">
        <f t="shared" si="0"/>
        <v>1.6666666666666666E-2</v>
      </c>
      <c r="D11" s="1278">
        <v>4</v>
      </c>
      <c r="E11" s="1203"/>
      <c r="F11" s="1162">
        <f>4-'OR02-销售承保'!N23*0.5</f>
        <v>3</v>
      </c>
      <c r="G11" s="1163">
        <f>4-'OR02-销售承保'!P23*0.5</f>
        <v>4</v>
      </c>
      <c r="H11" s="1164">
        <f>4-'OR02-销售承保'!R23*0.5</f>
        <v>4</v>
      </c>
      <c r="I11" s="1165">
        <f>4-'OR02-销售承保'!T23*0.5</f>
        <v>4</v>
      </c>
      <c r="J11" s="1166">
        <f>4-'OR02-销售承保'!V23*0.5</f>
        <v>4</v>
      </c>
      <c r="K11" s="1244" t="s">
        <v>2111</v>
      </c>
      <c r="L11" s="1244"/>
      <c r="M11" s="1292"/>
    </row>
    <row r="12" spans="1:15" ht="28.5">
      <c r="A12" s="1712"/>
      <c r="B12" s="1148" t="s">
        <v>2215</v>
      </c>
      <c r="C12" s="1098">
        <f t="shared" si="0"/>
        <v>1.6666666666666666E-2</v>
      </c>
      <c r="D12" s="1278">
        <v>5</v>
      </c>
      <c r="E12" s="1203"/>
      <c r="F12" s="1162">
        <f>5-'OR02-销售承保'!N27*0.5</f>
        <v>4.5</v>
      </c>
      <c r="G12" s="1163">
        <f>5-'OR02-销售承保'!P27*0.5</f>
        <v>5</v>
      </c>
      <c r="H12" s="1164">
        <f>5-'OR02-销售承保'!R27*0.5</f>
        <v>5</v>
      </c>
      <c r="I12" s="1165">
        <f>5-'OR02-销售承保'!T27*0.5</f>
        <v>5</v>
      </c>
      <c r="J12" s="1166">
        <f>5-'OR02-销售承保'!V27*0.5</f>
        <v>5</v>
      </c>
      <c r="K12" s="1244" t="s">
        <v>2111</v>
      </c>
      <c r="L12" s="1244"/>
      <c r="M12" s="1292"/>
    </row>
    <row r="13" spans="1:15" ht="28.5">
      <c r="A13" s="1712"/>
      <c r="B13" s="1148" t="s">
        <v>552</v>
      </c>
      <c r="C13" s="1098">
        <f t="shared" si="0"/>
        <v>1.6666666666666666E-2</v>
      </c>
      <c r="D13" s="1278">
        <v>5</v>
      </c>
      <c r="E13" s="1203"/>
      <c r="F13" s="1162">
        <f>5-0.5*'OR02-销售承保'!N28</f>
        <v>5</v>
      </c>
      <c r="G13" s="1163">
        <f>5-0.5*'OR02-销售承保'!P28</f>
        <v>5</v>
      </c>
      <c r="H13" s="1164">
        <f>5-0.5*'OR02-销售承保'!R28</f>
        <v>5</v>
      </c>
      <c r="I13" s="1165">
        <f>5-0.5*'OR02-销售承保'!T28</f>
        <v>5</v>
      </c>
      <c r="J13" s="1166">
        <f>5-0.5*'OR02-销售承保'!V28</f>
        <v>5</v>
      </c>
      <c r="K13" s="1244" t="s">
        <v>2111</v>
      </c>
      <c r="L13" s="1244"/>
      <c r="M13" s="1292"/>
    </row>
    <row r="14" spans="1:15" ht="28.5">
      <c r="A14" s="1712"/>
      <c r="B14" s="1148" t="s">
        <v>553</v>
      </c>
      <c r="C14" s="1098">
        <f t="shared" si="0"/>
        <v>1.6666666666666666E-2</v>
      </c>
      <c r="D14" s="1278">
        <v>5</v>
      </c>
      <c r="E14" s="1203"/>
      <c r="F14" s="1162">
        <f>5-0.5*'OR02-销售承保'!N29</f>
        <v>5</v>
      </c>
      <c r="G14" s="1163">
        <f>5-0.5*'OR02-销售承保'!P29</f>
        <v>5</v>
      </c>
      <c r="H14" s="1164">
        <f>5-0.5*'OR02-销售承保'!R29</f>
        <v>5</v>
      </c>
      <c r="I14" s="1165">
        <f>5-0.5*'OR02-销售承保'!T29</f>
        <v>5</v>
      </c>
      <c r="J14" s="1166">
        <f>5-0.5*'OR02-销售承保'!V29</f>
        <v>5</v>
      </c>
      <c r="K14" s="1244" t="s">
        <v>2111</v>
      </c>
      <c r="L14" s="1244"/>
      <c r="M14" s="1292"/>
    </row>
    <row r="15" spans="1:15" ht="14.25">
      <c r="A15" s="1712"/>
      <c r="B15" s="1148" t="s">
        <v>554</v>
      </c>
      <c r="C15" s="1098">
        <f t="shared" si="0"/>
        <v>1.6666666666666666E-2</v>
      </c>
      <c r="D15" s="1278">
        <v>5</v>
      </c>
      <c r="E15" s="1203"/>
      <c r="F15" s="1162">
        <f>5-0.5*'OR02-销售承保'!N30</f>
        <v>5</v>
      </c>
      <c r="G15" s="1163">
        <f>5-0.5*'OR02-销售承保'!P30</f>
        <v>5</v>
      </c>
      <c r="H15" s="1164">
        <f>5-0.5*'OR02-销售承保'!R30</f>
        <v>5</v>
      </c>
      <c r="I15" s="1165">
        <f>5-0.5*'OR02-销售承保'!T30</f>
        <v>5</v>
      </c>
      <c r="J15" s="1166">
        <f>5-0.5*'OR02-销售承保'!V30</f>
        <v>5</v>
      </c>
      <c r="K15" s="1244" t="s">
        <v>2111</v>
      </c>
      <c r="L15" s="1244"/>
      <c r="M15" s="1292"/>
    </row>
    <row r="16" spans="1:15" ht="15" thickBot="1">
      <c r="A16" s="1713"/>
      <c r="B16" s="1014" t="s">
        <v>16</v>
      </c>
      <c r="C16" s="1105">
        <f t="shared" si="0"/>
        <v>1.6666666666666666E-2</v>
      </c>
      <c r="D16" s="1151">
        <v>5</v>
      </c>
      <c r="E16" s="1302">
        <f>'OR02-销售承保'!Y33</f>
        <v>5</v>
      </c>
      <c r="F16" s="1303"/>
      <c r="G16" s="1303"/>
      <c r="H16" s="1303"/>
      <c r="I16" s="1303"/>
      <c r="J16" s="1304"/>
      <c r="K16" s="1305" t="s">
        <v>2111</v>
      </c>
      <c r="L16" s="1305"/>
      <c r="M16" s="1293"/>
    </row>
    <row r="17" spans="1:13" ht="14.25">
      <c r="A17" s="1714" t="s">
        <v>2182</v>
      </c>
      <c r="B17" s="1189" t="s">
        <v>2035</v>
      </c>
      <c r="C17" s="1093">
        <f>70%*(1/18)</f>
        <v>3.8888888888888883E-2</v>
      </c>
      <c r="D17" s="1150">
        <v>3</v>
      </c>
      <c r="E17" s="1228">
        <f>GETPIVOTDATA("平均值项:得分",员工流失率!$K$2,"渠道","客服")</f>
        <v>2.4</v>
      </c>
      <c r="F17" s="1171">
        <f>GETPIVOTDATA("平均值项:得分",员工流失率!$K$2,"渠道","个险")</f>
        <v>1.2</v>
      </c>
      <c r="G17" s="1172">
        <f>GETPIVOTDATA("平均值项:得分",员工流失率!$K$2,"渠道","团险")</f>
        <v>1.3125</v>
      </c>
      <c r="H17" s="1173">
        <f>GETPIVOTDATA("平均值项:得分",员工流失率!$K$2,"渠道","银保")</f>
        <v>0.9</v>
      </c>
      <c r="I17" s="1174">
        <f>GETPIVOTDATA("平均值项:得分",员工流失率!$K$2,"渠道","多元")</f>
        <v>2.3571428571428572</v>
      </c>
      <c r="J17" s="1256">
        <f>GETPIVOTDATA("平均值项:得分",员工流失率!$K$2,"渠道","续期")</f>
        <v>2.25</v>
      </c>
      <c r="K17" s="1301" t="s">
        <v>2111</v>
      </c>
      <c r="L17" s="1723" t="s">
        <v>2423</v>
      </c>
      <c r="M17" s="1724"/>
    </row>
    <row r="18" spans="1:13" ht="14.25">
      <c r="A18" s="1715"/>
      <c r="B18" s="1276" t="s">
        <v>2183</v>
      </c>
      <c r="C18" s="1072">
        <f>70%*(1/18)</f>
        <v>3.8888888888888883E-2</v>
      </c>
      <c r="D18" s="1278">
        <v>2</v>
      </c>
      <c r="E18" s="1275">
        <f>'OR04-分公司销售、承保、保全'!M7</f>
        <v>2</v>
      </c>
      <c r="F18" s="1205">
        <f>'OR04-分公司销售、承保、保全'!M7</f>
        <v>2</v>
      </c>
      <c r="G18" s="1206">
        <f>'OR04-分公司销售、承保、保全'!M7</f>
        <v>2</v>
      </c>
      <c r="H18" s="1207">
        <f>'OR04-分公司销售、承保、保全'!M7</f>
        <v>2</v>
      </c>
      <c r="I18" s="1211"/>
      <c r="J18" s="1209">
        <f>'OR04-分公司销售、承保、保全'!M7</f>
        <v>2</v>
      </c>
      <c r="K18" s="1244" t="s">
        <v>2111</v>
      </c>
      <c r="L18" s="1244"/>
      <c r="M18" s="1292"/>
    </row>
    <row r="19" spans="1:13" ht="14.25">
      <c r="A19" s="1715"/>
      <c r="B19" s="1276" t="s">
        <v>2191</v>
      </c>
      <c r="C19" s="1072"/>
      <c r="D19" s="1278"/>
      <c r="E19" s="1212"/>
      <c r="F19" s="1212"/>
      <c r="G19" s="1206">
        <f>'OR04-分公司销售、承保、保全'!M16</f>
        <v>1</v>
      </c>
      <c r="H19" s="1207">
        <f>'OR04-分公司销售、承保、保全'!M16</f>
        <v>1</v>
      </c>
      <c r="I19" s="1208">
        <f>'OR04-分公司销售、承保、保全'!M16</f>
        <v>1</v>
      </c>
      <c r="J19" s="1213"/>
      <c r="K19" s="1244" t="s">
        <v>2111</v>
      </c>
      <c r="L19" s="1244"/>
      <c r="M19" s="1292"/>
    </row>
    <row r="20" spans="1:13" ht="14.25">
      <c r="A20" s="1715"/>
      <c r="B20" s="1276" t="s">
        <v>1216</v>
      </c>
      <c r="C20" s="1072">
        <f t="shared" ref="C20:C26" si="3">70%*(1/18)</f>
        <v>3.8888888888888883E-2</v>
      </c>
      <c r="D20" s="1278">
        <v>2</v>
      </c>
      <c r="E20" s="1212"/>
      <c r="F20" s="1205">
        <f>'OR04-分公司销售、承保、保全'!M19</f>
        <v>2</v>
      </c>
      <c r="G20" s="1206">
        <f>'OR04-分公司销售、承保、保全'!M19</f>
        <v>2</v>
      </c>
      <c r="H20" s="1207">
        <f>'OR04-分公司销售、承保、保全'!M19</f>
        <v>2</v>
      </c>
      <c r="I20" s="1208">
        <f>'OR04-分公司销售、承保、保全'!M19</f>
        <v>2</v>
      </c>
      <c r="J20" s="1209">
        <f>'OR04-分公司销售、承保、保全'!M19</f>
        <v>2</v>
      </c>
      <c r="K20" s="1244" t="s">
        <v>2111</v>
      </c>
      <c r="L20" s="1244"/>
      <c r="M20" s="1292"/>
    </row>
    <row r="21" spans="1:13" ht="14.25">
      <c r="A21" s="1715"/>
      <c r="B21" s="1276" t="s">
        <v>2184</v>
      </c>
      <c r="C21" s="1072">
        <f t="shared" si="3"/>
        <v>3.8888888888888883E-2</v>
      </c>
      <c r="D21" s="1278">
        <v>2</v>
      </c>
      <c r="E21" s="1275">
        <f>'OR04-分公司销售、承保、保全'!M22</f>
        <v>2</v>
      </c>
      <c r="F21" s="1205">
        <f>'OR04-分公司销售、承保、保全'!M22</f>
        <v>2</v>
      </c>
      <c r="G21" s="1206">
        <f>'OR04-分公司销售、承保、保全'!M22</f>
        <v>2</v>
      </c>
      <c r="H21" s="1207">
        <f>'OR04-分公司销售、承保、保全'!M22</f>
        <v>2</v>
      </c>
      <c r="I21" s="1208">
        <f>'OR04-分公司销售、承保、保全'!M22</f>
        <v>2</v>
      </c>
      <c r="J21" s="1209">
        <f>'OR04-分公司销售、承保、保全'!M22</f>
        <v>2</v>
      </c>
      <c r="K21" s="1244" t="s">
        <v>2111</v>
      </c>
      <c r="L21" s="1244"/>
      <c r="M21" s="1292"/>
    </row>
    <row r="22" spans="1:13" ht="14.25">
      <c r="A22" s="1715"/>
      <c r="B22" s="1276" t="s">
        <v>2036</v>
      </c>
      <c r="C22" s="1072">
        <f t="shared" si="3"/>
        <v>3.8888888888888883E-2</v>
      </c>
      <c r="D22" s="1278">
        <v>2</v>
      </c>
      <c r="E22" s="1212"/>
      <c r="F22" s="1214">
        <f>'OR04-分公司销售、承保、保全'!M25</f>
        <v>0.57179282828241473</v>
      </c>
      <c r="G22" s="1211"/>
      <c r="H22" s="1211"/>
      <c r="I22" s="1211"/>
      <c r="J22" s="1213"/>
      <c r="K22" s="1244" t="s">
        <v>2111</v>
      </c>
      <c r="L22" s="1244"/>
      <c r="M22" s="1292"/>
    </row>
    <row r="23" spans="1:13" ht="14.25">
      <c r="A23" s="1715"/>
      <c r="B23" s="1410" t="s">
        <v>2417</v>
      </c>
      <c r="C23" s="1072">
        <f t="shared" si="3"/>
        <v>3.8888888888888883E-2</v>
      </c>
      <c r="D23" s="1278">
        <v>6</v>
      </c>
      <c r="E23" s="1212"/>
      <c r="F23" s="1205">
        <f>'OR04-分公司销售、承保、保全'!M28</f>
        <v>4.8499999999999996</v>
      </c>
      <c r="G23" s="1206">
        <f>D23</f>
        <v>6</v>
      </c>
      <c r="H23" s="1207">
        <f>D23</f>
        <v>6</v>
      </c>
      <c r="I23" s="1208">
        <f>D23</f>
        <v>6</v>
      </c>
      <c r="J23" s="1209">
        <f>D23</f>
        <v>6</v>
      </c>
      <c r="K23" s="1244" t="s">
        <v>2111</v>
      </c>
      <c r="L23" s="1244"/>
      <c r="M23" s="1292"/>
    </row>
    <row r="24" spans="1:13" ht="14.25">
      <c r="A24" s="1715"/>
      <c r="B24" s="1410" t="s">
        <v>2418</v>
      </c>
      <c r="C24" s="1072">
        <f t="shared" si="3"/>
        <v>3.8888888888888883E-2</v>
      </c>
      <c r="D24" s="1278">
        <v>6</v>
      </c>
      <c r="E24" s="1212"/>
      <c r="F24" s="1212"/>
      <c r="G24" s="1206">
        <f>'OR04-分公司销售、承保、保全'!M30</f>
        <v>6</v>
      </c>
      <c r="H24" s="1207">
        <f>'OR04-分公司销售、承保、保全'!M30</f>
        <v>6</v>
      </c>
      <c r="I24" s="1208">
        <f>'OR04-分公司销售、承保、保全'!M30</f>
        <v>6</v>
      </c>
      <c r="J24" s="1210"/>
      <c r="K24" s="1244" t="s">
        <v>2111</v>
      </c>
      <c r="L24" s="1244"/>
      <c r="M24" s="1292"/>
    </row>
    <row r="25" spans="1:13" ht="14.25">
      <c r="A25" s="1715"/>
      <c r="B25" s="1410" t="s">
        <v>2419</v>
      </c>
      <c r="C25" s="1072">
        <f t="shared" si="3"/>
        <v>3.8888888888888883E-2</v>
      </c>
      <c r="D25" s="1278">
        <v>6</v>
      </c>
      <c r="E25" s="1212"/>
      <c r="F25" s="1205">
        <f>'OR04-分公司销售、承保、保全'!M32</f>
        <v>5.7</v>
      </c>
      <c r="G25" s="1206">
        <f>D25</f>
        <v>6</v>
      </c>
      <c r="H25" s="1207">
        <f>D25</f>
        <v>6</v>
      </c>
      <c r="I25" s="1208">
        <f>D25</f>
        <v>6</v>
      </c>
      <c r="J25" s="1209">
        <f>D25</f>
        <v>6</v>
      </c>
      <c r="K25" s="1244" t="s">
        <v>2111</v>
      </c>
      <c r="L25" s="1244"/>
      <c r="M25" s="1292"/>
    </row>
    <row r="26" spans="1:13" ht="14.25">
      <c r="A26" s="1715"/>
      <c r="B26" s="1276" t="s">
        <v>2185</v>
      </c>
      <c r="C26" s="1072">
        <f t="shared" si="3"/>
        <v>3.8888888888888883E-2</v>
      </c>
      <c r="D26" s="1278">
        <v>1</v>
      </c>
      <c r="E26" s="1275">
        <f>'OR04-分公司销售、承保、保全'!M34</f>
        <v>1</v>
      </c>
      <c r="F26" s="1217"/>
      <c r="G26" s="1217"/>
      <c r="H26" s="1217"/>
      <c r="I26" s="1217"/>
      <c r="J26" s="1231"/>
      <c r="K26" s="1244" t="s">
        <v>2111</v>
      </c>
      <c r="L26" s="1244"/>
      <c r="M26" s="1292"/>
    </row>
    <row r="27" spans="1:13" ht="14.25">
      <c r="A27" s="1715"/>
      <c r="B27" s="1276" t="s">
        <v>2226</v>
      </c>
      <c r="C27" s="1072">
        <f t="shared" ref="C27:C41" si="4">70%*(1/18)</f>
        <v>3.8888888888888883E-2</v>
      </c>
      <c r="D27" s="1278">
        <v>2</v>
      </c>
      <c r="E27" s="1275">
        <f>'OR04-分公司销售、承保、保全'!M35</f>
        <v>2</v>
      </c>
      <c r="F27" s="1216">
        <f>GETPIVOTDATA("平均值项:得分",犹豫期内电话回访成功率!$I$2,"渠道","个险")</f>
        <v>2</v>
      </c>
      <c r="G27" s="1216">
        <f>GETPIVOTDATA("平均值项:得分",犹豫期内电话回访成功率!$I$2,"渠道","团险")</f>
        <v>2</v>
      </c>
      <c r="H27" s="1195">
        <f>GETPIVOTDATA("平均值项:得分",犹豫期内电话回访成功率!$I$2,"渠道","银保")</f>
        <v>2</v>
      </c>
      <c r="I27" s="1196">
        <f>GETPIVOTDATA("平均值项:得分",犹豫期内电话回访成功率!$I$2,"渠道","多元")</f>
        <v>2</v>
      </c>
      <c r="J27" s="1197">
        <f>GETPIVOTDATA("平均值项:得分",犹豫期内电话回访成功率!$I$2,"渠道","续期")</f>
        <v>1.8</v>
      </c>
      <c r="K27" s="1244" t="s">
        <v>2111</v>
      </c>
      <c r="L27" s="1727" t="s">
        <v>2421</v>
      </c>
      <c r="M27" s="1728"/>
    </row>
    <row r="28" spans="1:13" ht="14.25">
      <c r="A28" s="1715"/>
      <c r="B28" s="1276" t="s">
        <v>2186</v>
      </c>
      <c r="C28" s="1072">
        <f t="shared" si="4"/>
        <v>3.8888888888888883E-2</v>
      </c>
      <c r="D28" s="1278">
        <v>2</v>
      </c>
      <c r="E28" s="1355">
        <f>'OR04-分公司销售、承保、保全'!M38</f>
        <v>2</v>
      </c>
      <c r="F28" s="1216">
        <f>GETPIVOTDATA("平均值项:得分",新契约回访完成率!$I$2,"渠道","个险")</f>
        <v>2</v>
      </c>
      <c r="G28" s="1216">
        <f>GETPIVOTDATA("平均值项:得分",新契约回访完成率!$I$2,"渠道","团险")</f>
        <v>2</v>
      </c>
      <c r="H28" s="1195">
        <f>GETPIVOTDATA("平均值项:得分",犹豫期内电话回访成功率!$I$2,"渠道","银保")</f>
        <v>2</v>
      </c>
      <c r="I28" s="1196">
        <f>GETPIVOTDATA("平均值项:得分",犹豫期内电话回访成功率!$I$2,"渠道","多元")</f>
        <v>2</v>
      </c>
      <c r="J28" s="1197">
        <f>GETPIVOTDATA("平均值项:得分",犹豫期内电话回访成功率!$I$2,"渠道","续期")</f>
        <v>1.8</v>
      </c>
      <c r="K28" s="1244" t="s">
        <v>2111</v>
      </c>
      <c r="L28" s="1727" t="s">
        <v>2422</v>
      </c>
      <c r="M28" s="1728"/>
    </row>
    <row r="29" spans="1:13" ht="14.25">
      <c r="A29" s="1715"/>
      <c r="B29" s="1410" t="s">
        <v>2420</v>
      </c>
      <c r="C29" s="1072">
        <f t="shared" si="4"/>
        <v>3.8888888888888883E-2</v>
      </c>
      <c r="D29" s="1278">
        <v>6</v>
      </c>
      <c r="E29" s="1275">
        <f>'OR04-分公司销售、承保、保全'!M43</f>
        <v>6</v>
      </c>
      <c r="F29" s="1205">
        <f>'OR04-分公司销售、承保、保全'!M43</f>
        <v>6</v>
      </c>
      <c r="G29" s="1206">
        <f>'OR04-分公司销售、承保、保全'!M43</f>
        <v>6</v>
      </c>
      <c r="H29" s="1207">
        <f>'OR04-分公司销售、承保、保全'!M43</f>
        <v>6</v>
      </c>
      <c r="I29" s="1208">
        <f>'OR04-分公司销售、承保、保全'!M43</f>
        <v>6</v>
      </c>
      <c r="J29" s="1209">
        <f>'OR04-分公司销售、承保、保全'!M43</f>
        <v>6</v>
      </c>
      <c r="K29" s="1244" t="s">
        <v>2111</v>
      </c>
      <c r="L29" s="1244"/>
      <c r="M29" s="1292"/>
    </row>
    <row r="30" spans="1:13" ht="14.25">
      <c r="A30" s="1715"/>
      <c r="B30" s="1276" t="s">
        <v>2039</v>
      </c>
      <c r="C30" s="1072">
        <f t="shared" si="4"/>
        <v>3.8888888888888883E-2</v>
      </c>
      <c r="D30" s="1278">
        <v>3</v>
      </c>
      <c r="E30" s="1191"/>
      <c r="F30" s="1214">
        <f>GETPIVOTDATA("平均值项:得分",续期收费率!$I$5,"业务渠道","个险")</f>
        <v>2.75</v>
      </c>
      <c r="G30" s="1260"/>
      <c r="H30" s="1261">
        <f>GETPIVOTDATA("平均值项:得分",续期收费率!$I$5,"业务渠道","银保")</f>
        <v>2.85</v>
      </c>
      <c r="I30" s="1262">
        <f>GETPIVOTDATA("平均值项:得分",续期收费率!$I$5,"业务渠道","多元")</f>
        <v>2.6538461538461537</v>
      </c>
      <c r="J30" s="1263">
        <f>GETPIVOTDATA("平均值项:得分",续期收费率!$I$5,"业务渠道","收展")</f>
        <v>2.5862068965517242</v>
      </c>
      <c r="K30" s="1244" t="s">
        <v>2111</v>
      </c>
      <c r="L30" s="1727" t="s">
        <v>2431</v>
      </c>
      <c r="M30" s="1728"/>
    </row>
    <row r="31" spans="1:13" ht="14.25">
      <c r="A31" s="1715"/>
      <c r="B31" s="1276" t="s">
        <v>1251</v>
      </c>
      <c r="C31" s="1072">
        <f t="shared" si="4"/>
        <v>3.8888888888888883E-2</v>
      </c>
      <c r="D31" s="1278">
        <v>2</v>
      </c>
      <c r="E31" s="1275">
        <f>'OR04-分公司销售、承保、保全'!M63</f>
        <v>2</v>
      </c>
      <c r="F31" s="1217"/>
      <c r="G31" s="1217"/>
      <c r="H31" s="1217"/>
      <c r="I31" s="1217"/>
      <c r="J31" s="1231"/>
      <c r="K31" s="1244" t="s">
        <v>2111</v>
      </c>
      <c r="L31" s="1244"/>
      <c r="M31" s="1292"/>
    </row>
    <row r="32" spans="1:13" ht="14.25">
      <c r="A32" s="1715"/>
      <c r="B32" s="1276" t="s">
        <v>2040</v>
      </c>
      <c r="C32" s="1072">
        <f t="shared" si="4"/>
        <v>3.8888888888888883E-2</v>
      </c>
      <c r="D32" s="1278">
        <v>3</v>
      </c>
      <c r="E32" s="1191"/>
      <c r="F32" s="1214">
        <f>GETPIVOTDATA("平均值项:分数",退撤保率!$J$2,"渠道","个险")</f>
        <v>2.8636363636363638</v>
      </c>
      <c r="G32" s="1420">
        <f>GETPIVOTDATA("平均值项:分数",退撤保率!$J$2,"渠道","团险")</f>
        <v>3</v>
      </c>
      <c r="H32" s="1261">
        <f>GETPIVOTDATA("平均值项:分数",退撤保率!$J$2,"渠道","银保")</f>
        <v>0.3</v>
      </c>
      <c r="I32" s="1262">
        <f>GETPIVOTDATA("平均值项:分数",退撤保率!$J$2,"渠道","多元")</f>
        <v>2.6666666666666665</v>
      </c>
      <c r="J32" s="1263">
        <f>GETPIVOTDATA("平均值项:分数",退撤保率!$J$2,"渠道","续期")</f>
        <v>2.85</v>
      </c>
      <c r="K32" s="1244" t="s">
        <v>2111</v>
      </c>
      <c r="L32" s="1727" t="s">
        <v>2479</v>
      </c>
      <c r="M32" s="1728"/>
    </row>
    <row r="33" spans="1:13" ht="14.25">
      <c r="A33" s="1715"/>
      <c r="B33" s="1276" t="s">
        <v>2189</v>
      </c>
      <c r="C33" s="1072">
        <f t="shared" si="4"/>
        <v>3.8888888888888883E-2</v>
      </c>
      <c r="D33" s="1278">
        <v>3</v>
      </c>
      <c r="E33" s="1191"/>
      <c r="F33" s="1350">
        <f>'OR04-分公司销售、承保、保全'!M57</f>
        <v>2.85</v>
      </c>
      <c r="G33" s="1206">
        <f>'OR04-分公司销售、承保、保全'!M57</f>
        <v>2.85</v>
      </c>
      <c r="H33" s="1207">
        <f>'OR04-分公司销售、承保、保全'!M57</f>
        <v>2.85</v>
      </c>
      <c r="I33" s="1208">
        <f>'OR04-分公司销售、承保、保全'!M57</f>
        <v>2.85</v>
      </c>
      <c r="J33" s="1209">
        <f>'OR04-分公司销售、承保、保全'!M57</f>
        <v>2.85</v>
      </c>
      <c r="K33" s="1244" t="s">
        <v>2111</v>
      </c>
      <c r="L33" s="1244"/>
      <c r="M33" s="1292"/>
    </row>
    <row r="34" spans="1:13" ht="14.25">
      <c r="A34" s="1715"/>
      <c r="B34" s="1276" t="s">
        <v>1271</v>
      </c>
      <c r="C34" s="1072">
        <f t="shared" si="4"/>
        <v>3.8888888888888883E-2</v>
      </c>
      <c r="D34" s="1278">
        <v>2</v>
      </c>
      <c r="E34" s="1275">
        <f>'OR04-分公司销售、承保、保全'!M63</f>
        <v>2</v>
      </c>
      <c r="F34" s="1217"/>
      <c r="G34" s="1217"/>
      <c r="H34" s="1217"/>
      <c r="I34" s="1217"/>
      <c r="J34" s="1231"/>
      <c r="K34" s="1244" t="s">
        <v>2111</v>
      </c>
      <c r="L34" s="1244"/>
      <c r="M34" s="1292"/>
    </row>
    <row r="35" spans="1:13" ht="14.25">
      <c r="A35" s="1715"/>
      <c r="B35" s="1276" t="s">
        <v>1276</v>
      </c>
      <c r="C35" s="1072">
        <f t="shared" si="4"/>
        <v>3.8888888888888883E-2</v>
      </c>
      <c r="D35" s="1278">
        <v>1</v>
      </c>
      <c r="E35" s="1275">
        <f>'OR04-分公司销售、承保、保全'!M66</f>
        <v>1</v>
      </c>
      <c r="F35" s="1217"/>
      <c r="G35" s="1217"/>
      <c r="H35" s="1217"/>
      <c r="I35" s="1217"/>
      <c r="J35" s="1231"/>
      <c r="K35" s="1244" t="s">
        <v>2111</v>
      </c>
      <c r="L35" s="1244"/>
      <c r="M35" s="1292"/>
    </row>
    <row r="36" spans="1:13" ht="14.25">
      <c r="A36" s="1715"/>
      <c r="B36" s="1410" t="s">
        <v>2424</v>
      </c>
      <c r="C36" s="1072">
        <f t="shared" si="4"/>
        <v>3.8888888888888883E-2</v>
      </c>
      <c r="D36" s="1278">
        <v>6</v>
      </c>
      <c r="E36" s="1275">
        <f>'OR04-分公司销售、承保、保全'!M67</f>
        <v>6</v>
      </c>
      <c r="F36" s="1217"/>
      <c r="G36" s="1217"/>
      <c r="H36" s="1217"/>
      <c r="I36" s="1217"/>
      <c r="J36" s="1231"/>
      <c r="K36" s="1244" t="s">
        <v>2111</v>
      </c>
      <c r="L36" s="1244"/>
      <c r="M36" s="1292"/>
    </row>
    <row r="37" spans="1:13" ht="14.25">
      <c r="A37" s="1715"/>
      <c r="B37" s="1276" t="s">
        <v>2188</v>
      </c>
      <c r="C37" s="1072">
        <f t="shared" si="4"/>
        <v>3.8888888888888883E-2</v>
      </c>
      <c r="D37" s="1278">
        <v>0</v>
      </c>
      <c r="E37" s="1219">
        <v>0</v>
      </c>
      <c r="F37" s="1220">
        <v>0</v>
      </c>
      <c r="G37" s="1221">
        <v>0</v>
      </c>
      <c r="H37" s="1222">
        <v>0</v>
      </c>
      <c r="I37" s="1223">
        <v>0</v>
      </c>
      <c r="J37" s="1224">
        <v>0</v>
      </c>
      <c r="K37" s="1244" t="s">
        <v>2118</v>
      </c>
      <c r="L37" s="1244"/>
      <c r="M37" s="1292"/>
    </row>
    <row r="38" spans="1:13" ht="14.25">
      <c r="A38" s="1715"/>
      <c r="B38" s="1721" t="s">
        <v>1287</v>
      </c>
      <c r="C38" s="1072"/>
      <c r="D38" s="1278"/>
      <c r="E38" s="1215">
        <f>'OR04-分公司销售、承保、保全'!$L$70*10</f>
        <v>0</v>
      </c>
      <c r="F38" s="1216">
        <f>'OR04-分公司销售、承保、保全'!$L$70*10</f>
        <v>0</v>
      </c>
      <c r="G38" s="1194">
        <f>'OR04-分公司销售、承保、保全'!$L$70*10</f>
        <v>0</v>
      </c>
      <c r="H38" s="1195">
        <f>'OR04-分公司销售、承保、保全'!$L$70*10</f>
        <v>0</v>
      </c>
      <c r="I38" s="1196">
        <f>'OR04-分公司销售、承保、保全'!$L$70*10</f>
        <v>0</v>
      </c>
      <c r="J38" s="1197">
        <f>'OR04-分公司销售、承保、保全'!$L$70*10</f>
        <v>0</v>
      </c>
      <c r="K38" s="1244" t="s">
        <v>2225</v>
      </c>
      <c r="L38" s="1244"/>
      <c r="M38" s="1292"/>
    </row>
    <row r="39" spans="1:13" ht="14.25">
      <c r="A39" s="1715"/>
      <c r="B39" s="1721"/>
      <c r="C39" s="1072">
        <f t="shared" si="4"/>
        <v>3.8888888888888883E-2</v>
      </c>
      <c r="D39" s="1278">
        <v>3</v>
      </c>
      <c r="E39" s="1275">
        <f>'OR04-分公司销售、承保、保全'!M70</f>
        <v>3</v>
      </c>
      <c r="F39" s="1205">
        <f>'OR04-分公司销售、承保、保全'!M70</f>
        <v>3</v>
      </c>
      <c r="G39" s="1206">
        <f>'OR04-分公司销售、承保、保全'!M70</f>
        <v>3</v>
      </c>
      <c r="H39" s="1207">
        <f>'OR04-分公司销售、承保、保全'!M70</f>
        <v>3</v>
      </c>
      <c r="I39" s="1208">
        <f>'OR04-分公司销售、承保、保全'!M70</f>
        <v>3</v>
      </c>
      <c r="J39" s="1209">
        <f>'OR04-分公司销售、承保、保全'!M70</f>
        <v>3</v>
      </c>
      <c r="K39" s="1244" t="s">
        <v>2111</v>
      </c>
      <c r="L39" s="1244"/>
      <c r="M39" s="1292"/>
    </row>
    <row r="40" spans="1:13" ht="14.25">
      <c r="A40" s="1715"/>
      <c r="B40" s="1277" t="s">
        <v>2190</v>
      </c>
      <c r="C40" s="1072">
        <f t="shared" si="4"/>
        <v>3.8888888888888883E-2</v>
      </c>
      <c r="D40" s="1278">
        <v>2</v>
      </c>
      <c r="E40" s="1212"/>
      <c r="F40" s="1205">
        <f>'OR04-分公司销售、承保、保全'!M72</f>
        <v>2</v>
      </c>
      <c r="G40" s="1206">
        <f>'OR04-分公司销售、承保、保全'!M72</f>
        <v>2</v>
      </c>
      <c r="H40" s="1207">
        <f>'OR04-分公司销售、承保、保全'!M72</f>
        <v>2</v>
      </c>
      <c r="I40" s="1208">
        <f>'OR04-分公司销售、承保、保全'!M72</f>
        <v>2</v>
      </c>
      <c r="J40" s="1209">
        <f>'OR04-分公司销售、承保、保全'!M72</f>
        <v>2</v>
      </c>
      <c r="K40" s="1244" t="s">
        <v>2111</v>
      </c>
      <c r="L40" s="1244"/>
      <c r="M40" s="1292"/>
    </row>
    <row r="41" spans="1:13" ht="15" thickBot="1">
      <c r="A41" s="1716"/>
      <c r="B41" s="1409" t="s">
        <v>2187</v>
      </c>
      <c r="C41" s="1096">
        <f t="shared" si="4"/>
        <v>3.8888888888888883E-2</v>
      </c>
      <c r="D41" s="1151">
        <v>10</v>
      </c>
      <c r="E41" s="1306">
        <f>MAX($D$41-($D$29-E29)-($D$36-E36),0)</f>
        <v>10</v>
      </c>
      <c r="F41" s="1306">
        <f>MAX($D$41-($D$23-F23)-($D$25-F25)-($D$29-F29),0)</f>
        <v>8.5500000000000007</v>
      </c>
      <c r="G41" s="1306">
        <f>MAX($D$41-($D$23-G23)-($D$24-G24)-($D$25-G25)-($D$29-G29),0)</f>
        <v>10</v>
      </c>
      <c r="H41" s="1306">
        <f>MAX($D$41-($D$23-H23)-($D$24-H24)-($D$25-H25)-($D$29-H29),0)</f>
        <v>10</v>
      </c>
      <c r="I41" s="1306">
        <f>MAX($D$41-($D$23-I23)-($D$24-I24)-($D$25-I25)-($D$29-I29),0)</f>
        <v>10</v>
      </c>
      <c r="J41" s="1306">
        <f>MAX($D$41-($D$23-J23)-($D$25-J25)-($D$29-J29),0)</f>
        <v>10</v>
      </c>
      <c r="K41" s="1305" t="s">
        <v>2117</v>
      </c>
      <c r="L41" s="1707" t="s">
        <v>2497</v>
      </c>
      <c r="M41" s="1708"/>
    </row>
    <row r="42" spans="1:13" ht="14.25">
      <c r="A42" s="1718" t="s">
        <v>2192</v>
      </c>
      <c r="B42" s="1156" t="s">
        <v>2193</v>
      </c>
      <c r="C42" s="1093">
        <f t="shared" si="0"/>
        <v>1.6666666666666666E-2</v>
      </c>
      <c r="D42" s="1150">
        <v>10</v>
      </c>
      <c r="E42" s="1204">
        <f>'OR06-理赔保全'!L4*D42</f>
        <v>8.75</v>
      </c>
      <c r="F42" s="1264"/>
      <c r="G42" s="1264"/>
      <c r="H42" s="1264"/>
      <c r="I42" s="1264"/>
      <c r="J42" s="1265"/>
      <c r="K42" s="1301" t="s">
        <v>2111</v>
      </c>
      <c r="L42" s="1301"/>
      <c r="M42" s="1291"/>
    </row>
    <row r="43" spans="1:13" ht="28.5">
      <c r="A43" s="1719"/>
      <c r="B43" s="1148" t="s">
        <v>2194</v>
      </c>
      <c r="C43" s="1072">
        <f t="shared" si="0"/>
        <v>1.6666666666666666E-2</v>
      </c>
      <c r="D43" s="1278">
        <v>10</v>
      </c>
      <c r="E43" s="1229">
        <f>'OR06-理赔保全'!L7*D43</f>
        <v>5.9090909090909092</v>
      </c>
      <c r="F43" s="1217"/>
      <c r="G43" s="1217"/>
      <c r="H43" s="1217"/>
      <c r="I43" s="1217"/>
      <c r="J43" s="1231"/>
      <c r="K43" s="1244" t="s">
        <v>2111</v>
      </c>
      <c r="L43" s="1244"/>
      <c r="M43" s="1292"/>
    </row>
    <row r="44" spans="1:13" ht="14.25">
      <c r="A44" s="1719"/>
      <c r="B44" s="1148" t="s">
        <v>2195</v>
      </c>
      <c r="C44" s="1072">
        <f t="shared" si="0"/>
        <v>1.6666666666666666E-2</v>
      </c>
      <c r="D44" s="1278">
        <v>4</v>
      </c>
      <c r="E44" s="1215">
        <f>IF('OR06-理赔保全'!L11&lt;M44,D44,4*(1-'OR06-理赔保全'!L11))</f>
        <v>4</v>
      </c>
      <c r="F44" s="1217"/>
      <c r="G44" s="1217"/>
      <c r="H44" s="1217"/>
      <c r="I44" s="1217"/>
      <c r="J44" s="1231"/>
      <c r="K44" s="1244" t="s">
        <v>2117</v>
      </c>
      <c r="L44" s="1411" t="s">
        <v>2217</v>
      </c>
      <c r="M44" s="1412">
        <v>0.8</v>
      </c>
    </row>
    <row r="45" spans="1:13" ht="14.25">
      <c r="A45" s="1719"/>
      <c r="B45" s="1148" t="s">
        <v>2196</v>
      </c>
      <c r="C45" s="1072">
        <f t="shared" si="0"/>
        <v>1.6666666666666666E-2</v>
      </c>
      <c r="D45" s="1278">
        <v>6</v>
      </c>
      <c r="E45" s="1215">
        <f>IF('OR06-理赔保全'!L12&lt;M45,D45,4*(1-'OR06-理赔保全'!L12))</f>
        <v>6</v>
      </c>
      <c r="F45" s="1217"/>
      <c r="G45" s="1217"/>
      <c r="H45" s="1217"/>
      <c r="I45" s="1217"/>
      <c r="J45" s="1231"/>
      <c r="K45" s="1244" t="s">
        <v>2117</v>
      </c>
      <c r="L45" s="1411" t="s">
        <v>2217</v>
      </c>
      <c r="M45" s="1412">
        <v>0.5</v>
      </c>
    </row>
    <row r="46" spans="1:13" ht="14.25">
      <c r="A46" s="1719"/>
      <c r="B46" s="1148" t="s">
        <v>2197</v>
      </c>
      <c r="C46" s="1072">
        <f t="shared" si="0"/>
        <v>1.6666666666666666E-2</v>
      </c>
      <c r="D46" s="1278">
        <v>10</v>
      </c>
      <c r="E46" s="1215">
        <f>IF('OR06-理赔保全'!L13&lt;M46,D46,4*(1-'OR06-理赔保全'!L13))</f>
        <v>10</v>
      </c>
      <c r="F46" s="1217"/>
      <c r="G46" s="1217"/>
      <c r="H46" s="1217"/>
      <c r="I46" s="1217"/>
      <c r="J46" s="1231"/>
      <c r="K46" s="1244" t="s">
        <v>2117</v>
      </c>
      <c r="L46" s="1411" t="s">
        <v>2217</v>
      </c>
      <c r="M46" s="1412">
        <v>0.3</v>
      </c>
    </row>
    <row r="47" spans="1:13" ht="14.25">
      <c r="A47" s="1719"/>
      <c r="B47" s="1148" t="s">
        <v>2198</v>
      </c>
      <c r="C47" s="1072">
        <f t="shared" si="0"/>
        <v>1.6666666666666666E-2</v>
      </c>
      <c r="D47" s="1278">
        <v>7</v>
      </c>
      <c r="E47" s="1215">
        <f>IF('OR06-理赔保全'!L14&lt;M47,D47,4*(1-'OR06-理赔保全'!L14))</f>
        <v>7</v>
      </c>
      <c r="F47" s="1217"/>
      <c r="G47" s="1217"/>
      <c r="H47" s="1217"/>
      <c r="I47" s="1217"/>
      <c r="J47" s="1231"/>
      <c r="K47" s="1244" t="s">
        <v>2117</v>
      </c>
      <c r="L47" s="1411" t="s">
        <v>2217</v>
      </c>
      <c r="M47" s="1412">
        <v>5</v>
      </c>
    </row>
    <row r="48" spans="1:13" ht="28.5">
      <c r="A48" s="1719"/>
      <c r="B48" s="1148" t="s">
        <v>555</v>
      </c>
      <c r="C48" s="1072">
        <f t="shared" si="0"/>
        <v>1.6666666666666666E-2</v>
      </c>
      <c r="D48" s="1278">
        <v>8</v>
      </c>
      <c r="E48" s="1275">
        <f>'OR06-理赔保全'!O15</f>
        <v>8</v>
      </c>
      <c r="F48" s="1217"/>
      <c r="G48" s="1217"/>
      <c r="H48" s="1217"/>
      <c r="I48" s="1217"/>
      <c r="J48" s="1231"/>
      <c r="K48" s="1244" t="s">
        <v>2111</v>
      </c>
      <c r="L48" s="1244"/>
      <c r="M48" s="1292"/>
    </row>
    <row r="49" spans="1:13" ht="14.25">
      <c r="A49" s="1719"/>
      <c r="B49" s="1148" t="s">
        <v>556</v>
      </c>
      <c r="C49" s="1072">
        <f t="shared" si="0"/>
        <v>1.6666666666666666E-2</v>
      </c>
      <c r="D49" s="1278">
        <v>5</v>
      </c>
      <c r="E49" s="1275">
        <f>'OR06-理赔保全'!O16</f>
        <v>5</v>
      </c>
      <c r="F49" s="1217"/>
      <c r="G49" s="1217"/>
      <c r="H49" s="1217"/>
      <c r="I49" s="1217"/>
      <c r="J49" s="1231"/>
      <c r="K49" s="1244" t="s">
        <v>2111</v>
      </c>
      <c r="L49" s="1244"/>
      <c r="M49" s="1292"/>
    </row>
    <row r="50" spans="1:13" ht="14.25">
      <c r="A50" s="1719"/>
      <c r="B50" s="1148" t="s">
        <v>557</v>
      </c>
      <c r="C50" s="1072">
        <f t="shared" si="0"/>
        <v>1.6666666666666666E-2</v>
      </c>
      <c r="D50" s="1278">
        <v>5</v>
      </c>
      <c r="E50" s="1275">
        <f>'OR06-理赔保全'!O17</f>
        <v>5</v>
      </c>
      <c r="F50" s="1217"/>
      <c r="G50" s="1217"/>
      <c r="H50" s="1217"/>
      <c r="I50" s="1217"/>
      <c r="J50" s="1231"/>
      <c r="K50" s="1244" t="s">
        <v>2111</v>
      </c>
      <c r="L50" s="1244"/>
      <c r="M50" s="1292"/>
    </row>
    <row r="51" spans="1:13" ht="15" thickBot="1">
      <c r="A51" s="1720"/>
      <c r="B51" s="1153" t="s">
        <v>2199</v>
      </c>
      <c r="C51" s="1096">
        <f t="shared" si="0"/>
        <v>1.6666666666666666E-2</v>
      </c>
      <c r="D51" s="1151">
        <v>12</v>
      </c>
      <c r="E51" s="1307">
        <f>'OR06-理赔保全'!O21</f>
        <v>12</v>
      </c>
      <c r="F51" s="1308"/>
      <c r="G51" s="1308"/>
      <c r="H51" s="1308"/>
      <c r="I51" s="1308"/>
      <c r="J51" s="1309"/>
      <c r="K51" s="1305" t="s">
        <v>2111</v>
      </c>
      <c r="L51" s="1305"/>
      <c r="M51" s="1293"/>
    </row>
    <row r="52" spans="1:13" ht="14.25">
      <c r="A52" s="1718" t="s">
        <v>2208</v>
      </c>
      <c r="B52" s="1155" t="s">
        <v>2082</v>
      </c>
      <c r="C52" s="1093">
        <f t="shared" ref="C52:C70" si="5">70%*(1/18)</f>
        <v>3.8888888888888883E-2</v>
      </c>
      <c r="D52" s="1150">
        <v>5</v>
      </c>
      <c r="E52" s="1204">
        <f>D52</f>
        <v>5</v>
      </c>
      <c r="F52" s="1264"/>
      <c r="G52" s="1264"/>
      <c r="H52" s="1264"/>
      <c r="I52" s="1264"/>
      <c r="J52" s="1265"/>
      <c r="K52" s="1301" t="s">
        <v>2275</v>
      </c>
      <c r="L52" s="1301"/>
      <c r="M52" s="1291"/>
    </row>
    <row r="53" spans="1:13" ht="14.25">
      <c r="A53" s="1719"/>
      <c r="B53" s="1277" t="s">
        <v>2083</v>
      </c>
      <c r="C53" s="1072">
        <f t="shared" si="5"/>
        <v>3.8888888888888883E-2</v>
      </c>
      <c r="D53" s="1278">
        <v>3</v>
      </c>
      <c r="E53" s="1275">
        <f>'OR08-分公司理赔'!M7</f>
        <v>2.1</v>
      </c>
      <c r="F53" s="1217"/>
      <c r="G53" s="1217"/>
      <c r="H53" s="1217"/>
      <c r="I53" s="1217"/>
      <c r="J53" s="1231"/>
      <c r="K53" s="1244" t="s">
        <v>2111</v>
      </c>
      <c r="L53" s="1244"/>
      <c r="M53" s="1292"/>
    </row>
    <row r="54" spans="1:13" ht="14.25">
      <c r="A54" s="1719"/>
      <c r="B54" s="1277" t="s">
        <v>1205</v>
      </c>
      <c r="C54" s="1072">
        <f t="shared" si="5"/>
        <v>3.8888888888888883E-2</v>
      </c>
      <c r="D54" s="1278">
        <v>3</v>
      </c>
      <c r="E54" s="1275">
        <f>'OR08-分公司理赔'!M11</f>
        <v>3</v>
      </c>
      <c r="F54" s="1217"/>
      <c r="G54" s="1217"/>
      <c r="H54" s="1217"/>
      <c r="I54" s="1217"/>
      <c r="J54" s="1231"/>
      <c r="K54" s="1244" t="s">
        <v>2111</v>
      </c>
      <c r="L54" s="1244"/>
      <c r="M54" s="1292"/>
    </row>
    <row r="55" spans="1:13" ht="14.25">
      <c r="A55" s="1719"/>
      <c r="B55" s="1277" t="s">
        <v>156</v>
      </c>
      <c r="C55" s="1072">
        <f t="shared" si="5"/>
        <v>3.8888888888888883E-2</v>
      </c>
      <c r="D55" s="1278">
        <v>4</v>
      </c>
      <c r="E55" s="1275">
        <f>'OR08-分公司理赔'!M12</f>
        <v>4</v>
      </c>
      <c r="F55" s="1217"/>
      <c r="G55" s="1217"/>
      <c r="H55" s="1217"/>
      <c r="I55" s="1217"/>
      <c r="J55" s="1231"/>
      <c r="K55" s="1244" t="s">
        <v>2111</v>
      </c>
      <c r="L55" s="1244"/>
      <c r="M55" s="1292"/>
    </row>
    <row r="56" spans="1:13" ht="14.25">
      <c r="A56" s="1719"/>
      <c r="B56" s="1277" t="s">
        <v>1313</v>
      </c>
      <c r="C56" s="1072">
        <f t="shared" si="5"/>
        <v>3.8888888888888883E-2</v>
      </c>
      <c r="D56" s="1278">
        <v>6</v>
      </c>
      <c r="E56" s="1275">
        <f>'OR08-分公司理赔'!M13</f>
        <v>6</v>
      </c>
      <c r="F56" s="1217"/>
      <c r="G56" s="1217"/>
      <c r="H56" s="1217"/>
      <c r="I56" s="1217"/>
      <c r="J56" s="1231"/>
      <c r="K56" s="1244" t="s">
        <v>2111</v>
      </c>
      <c r="L56" s="1244"/>
      <c r="M56" s="1292"/>
    </row>
    <row r="57" spans="1:13" ht="14.25">
      <c r="A57" s="1719"/>
      <c r="B57" s="1277" t="s">
        <v>2204</v>
      </c>
      <c r="C57" s="1072">
        <f t="shared" si="5"/>
        <v>3.8888888888888883E-2</v>
      </c>
      <c r="D57" s="1278">
        <v>8</v>
      </c>
      <c r="E57" s="1275">
        <f>IF('OR08-分公司理赔'!L16&lt;M57,D57,8*(1-'OR08-分公司理赔'!L16))</f>
        <v>8</v>
      </c>
      <c r="F57" s="1217"/>
      <c r="G57" s="1217"/>
      <c r="H57" s="1217"/>
      <c r="I57" s="1217"/>
      <c r="J57" s="1231"/>
      <c r="K57" s="1244" t="s">
        <v>2117</v>
      </c>
      <c r="L57" s="1411" t="s">
        <v>2217</v>
      </c>
      <c r="M57" s="1412">
        <v>0.5</v>
      </c>
    </row>
    <row r="58" spans="1:13" ht="14.25">
      <c r="A58" s="1719"/>
      <c r="B58" s="1154" t="s">
        <v>1323</v>
      </c>
      <c r="C58" s="1072">
        <f t="shared" si="5"/>
        <v>3.8888888888888883E-2</v>
      </c>
      <c r="D58" s="1278">
        <v>6</v>
      </c>
      <c r="E58" s="1275">
        <f>'OR08-分公司理赔'!M19</f>
        <v>6</v>
      </c>
      <c r="F58" s="1217"/>
      <c r="G58" s="1217"/>
      <c r="H58" s="1217"/>
      <c r="I58" s="1217"/>
      <c r="J58" s="1231"/>
      <c r="K58" s="1244" t="s">
        <v>2111</v>
      </c>
      <c r="L58" s="1244"/>
      <c r="M58" s="1292"/>
    </row>
    <row r="59" spans="1:13" ht="14.25">
      <c r="A59" s="1719"/>
      <c r="B59" s="1154" t="s">
        <v>2085</v>
      </c>
      <c r="C59" s="1072">
        <f t="shared" si="5"/>
        <v>3.8888888888888883E-2</v>
      </c>
      <c r="D59" s="1278">
        <v>4</v>
      </c>
      <c r="E59" s="1275">
        <f>'OR08-分公司理赔'!M22</f>
        <v>4</v>
      </c>
      <c r="F59" s="1217"/>
      <c r="G59" s="1217"/>
      <c r="H59" s="1217"/>
      <c r="I59" s="1217"/>
      <c r="J59" s="1231"/>
      <c r="K59" s="1244" t="s">
        <v>2111</v>
      </c>
      <c r="L59" s="1244"/>
      <c r="M59" s="1292"/>
    </row>
    <row r="60" spans="1:13" ht="14.25">
      <c r="A60" s="1719"/>
      <c r="B60" s="20" t="s">
        <v>1330</v>
      </c>
      <c r="C60" s="1072">
        <f t="shared" si="5"/>
        <v>3.8888888888888883E-2</v>
      </c>
      <c r="D60" s="1717">
        <v>4</v>
      </c>
      <c r="E60" s="1729">
        <f>'OR08-分公司理赔'!M25</f>
        <v>4</v>
      </c>
      <c r="F60" s="1217"/>
      <c r="G60" s="1217"/>
      <c r="H60" s="1217"/>
      <c r="I60" s="1217"/>
      <c r="J60" s="1231"/>
      <c r="K60" s="1244" t="s">
        <v>2111</v>
      </c>
      <c r="L60" s="1244"/>
      <c r="M60" s="1292"/>
    </row>
    <row r="61" spans="1:13" ht="14.25">
      <c r="A61" s="1719"/>
      <c r="B61" s="20" t="s">
        <v>1332</v>
      </c>
      <c r="C61" s="1072">
        <f t="shared" si="5"/>
        <v>3.8888888888888883E-2</v>
      </c>
      <c r="D61" s="1717"/>
      <c r="E61" s="1729"/>
      <c r="F61" s="1217"/>
      <c r="G61" s="1217"/>
      <c r="H61" s="1217"/>
      <c r="I61" s="1217"/>
      <c r="J61" s="1231"/>
      <c r="K61" s="1244" t="s">
        <v>2111</v>
      </c>
      <c r="L61" s="1244"/>
      <c r="M61" s="1292"/>
    </row>
    <row r="62" spans="1:13" ht="14.25">
      <c r="A62" s="1719"/>
      <c r="B62" s="20" t="s">
        <v>1333</v>
      </c>
      <c r="C62" s="1072">
        <f t="shared" si="5"/>
        <v>3.8888888888888883E-2</v>
      </c>
      <c r="D62" s="1717"/>
      <c r="E62" s="1729"/>
      <c r="F62" s="1217"/>
      <c r="G62" s="1217"/>
      <c r="H62" s="1217"/>
      <c r="I62" s="1217"/>
      <c r="J62" s="1231"/>
      <c r="K62" s="1244" t="s">
        <v>2111</v>
      </c>
      <c r="L62" s="1244"/>
      <c r="M62" s="1292"/>
    </row>
    <row r="63" spans="1:13" ht="14.25">
      <c r="A63" s="1719"/>
      <c r="B63" s="20" t="s">
        <v>1334</v>
      </c>
      <c r="C63" s="1072">
        <f t="shared" si="5"/>
        <v>3.8888888888888883E-2</v>
      </c>
      <c r="D63" s="1717"/>
      <c r="E63" s="1729"/>
      <c r="F63" s="1217"/>
      <c r="G63" s="1217"/>
      <c r="H63" s="1217"/>
      <c r="I63" s="1217"/>
      <c r="J63" s="1231"/>
      <c r="K63" s="1244" t="s">
        <v>2111</v>
      </c>
      <c r="L63" s="1244"/>
      <c r="M63" s="1292"/>
    </row>
    <row r="64" spans="1:13" ht="14.25">
      <c r="A64" s="1719"/>
      <c r="B64" s="1417" t="s">
        <v>2499</v>
      </c>
      <c r="C64" s="1072">
        <f t="shared" si="5"/>
        <v>3.8888888888888883E-2</v>
      </c>
      <c r="D64" s="1278">
        <v>20</v>
      </c>
      <c r="E64" s="1275">
        <f>'OR08-分公司理赔'!M29</f>
        <v>20</v>
      </c>
      <c r="F64" s="1217"/>
      <c r="G64" s="1217"/>
      <c r="H64" s="1217"/>
      <c r="I64" s="1217"/>
      <c r="J64" s="1231"/>
      <c r="K64" s="1244" t="s">
        <v>2111</v>
      </c>
      <c r="L64" s="1244"/>
      <c r="M64" s="1292"/>
    </row>
    <row r="65" spans="1:13" ht="14.25">
      <c r="A65" s="1719"/>
      <c r="B65" s="1416" t="s">
        <v>2498</v>
      </c>
      <c r="C65" s="1072">
        <f t="shared" si="5"/>
        <v>3.8888888888888883E-2</v>
      </c>
      <c r="D65" s="1278">
        <v>12</v>
      </c>
      <c r="E65" s="1275">
        <f>'OR08-分公司理赔'!M31</f>
        <v>12</v>
      </c>
      <c r="F65" s="1217"/>
      <c r="G65" s="1217"/>
      <c r="H65" s="1217"/>
      <c r="I65" s="1217"/>
      <c r="J65" s="1231"/>
      <c r="K65" s="1244" t="s">
        <v>2111</v>
      </c>
      <c r="L65" s="1244"/>
      <c r="M65" s="1292"/>
    </row>
    <row r="66" spans="1:13" ht="14.25">
      <c r="A66" s="1719"/>
      <c r="B66" s="20" t="s">
        <v>1340</v>
      </c>
      <c r="C66" s="1072">
        <f t="shared" si="5"/>
        <v>3.8888888888888883E-2</v>
      </c>
      <c r="D66" s="1278">
        <v>0</v>
      </c>
      <c r="E66" s="1230">
        <v>0</v>
      </c>
      <c r="F66" s="1217"/>
      <c r="G66" s="1217"/>
      <c r="H66" s="1217"/>
      <c r="I66" s="1217"/>
      <c r="J66" s="1231"/>
      <c r="K66" s="1244" t="s">
        <v>2118</v>
      </c>
      <c r="L66" s="1244"/>
      <c r="M66" s="1292"/>
    </row>
    <row r="67" spans="1:13" ht="14.25">
      <c r="A67" s="1719"/>
      <c r="B67" s="1148" t="s">
        <v>1287</v>
      </c>
      <c r="C67" s="1072">
        <f t="shared" si="5"/>
        <v>3.8888888888888883E-2</v>
      </c>
      <c r="D67" s="1278">
        <v>2</v>
      </c>
      <c r="E67" s="1275">
        <f>'OR08-分公司理赔'!M34</f>
        <v>2</v>
      </c>
      <c r="F67" s="1217"/>
      <c r="G67" s="1217"/>
      <c r="H67" s="1217"/>
      <c r="I67" s="1217"/>
      <c r="J67" s="1231"/>
      <c r="K67" s="1244" t="s">
        <v>2111</v>
      </c>
      <c r="L67" s="1244"/>
      <c r="M67" s="1292"/>
    </row>
    <row r="68" spans="1:13" ht="14.25">
      <c r="A68" s="1719"/>
      <c r="B68" s="20" t="s">
        <v>1344</v>
      </c>
      <c r="C68" s="1072">
        <f t="shared" si="5"/>
        <v>3.8888888888888883E-2</v>
      </c>
      <c r="D68" s="1278">
        <v>2</v>
      </c>
      <c r="E68" s="1275">
        <f>'OR08-分公司理赔'!M36</f>
        <v>2</v>
      </c>
      <c r="F68" s="1217"/>
      <c r="G68" s="1217"/>
      <c r="H68" s="1217"/>
      <c r="I68" s="1217"/>
      <c r="J68" s="1231"/>
      <c r="K68" s="1244" t="s">
        <v>2111</v>
      </c>
      <c r="L68" s="1244"/>
      <c r="M68" s="1292"/>
    </row>
    <row r="69" spans="1:13" ht="14.25">
      <c r="A69" s="1719"/>
      <c r="B69" s="20" t="s">
        <v>1348</v>
      </c>
      <c r="C69" s="1072">
        <f t="shared" si="5"/>
        <v>3.8888888888888883E-2</v>
      </c>
      <c r="D69" s="1278">
        <v>1</v>
      </c>
      <c r="E69" s="1275">
        <f>'OR08-分公司理赔'!M37</f>
        <v>1</v>
      </c>
      <c r="F69" s="1217"/>
      <c r="G69" s="1217"/>
      <c r="H69" s="1217"/>
      <c r="I69" s="1217"/>
      <c r="J69" s="1231"/>
      <c r="K69" s="1244" t="s">
        <v>2111</v>
      </c>
      <c r="L69" s="1415"/>
      <c r="M69" s="1292"/>
    </row>
    <row r="70" spans="1:13" ht="15" thickBot="1">
      <c r="A70" s="1720"/>
      <c r="B70" s="1413" t="s">
        <v>2207</v>
      </c>
      <c r="C70" s="1096">
        <f t="shared" si="5"/>
        <v>3.8888888888888883E-2</v>
      </c>
      <c r="D70" s="1151">
        <v>10</v>
      </c>
      <c r="E70" s="1307">
        <f>MAX(10-($D$64-$E$64)-($D$65-E65),0)</f>
        <v>10</v>
      </c>
      <c r="F70" s="1308"/>
      <c r="G70" s="1308"/>
      <c r="H70" s="1308"/>
      <c r="I70" s="1308"/>
      <c r="J70" s="1309"/>
      <c r="K70" s="1305" t="s">
        <v>2117</v>
      </c>
      <c r="L70" s="1707" t="s">
        <v>2497</v>
      </c>
      <c r="M70" s="1708"/>
    </row>
    <row r="71" spans="1:13" ht="14.25">
      <c r="A71" s="1718" t="s">
        <v>2212</v>
      </c>
      <c r="B71" s="1156" t="s">
        <v>170</v>
      </c>
      <c r="C71" s="1093">
        <f t="shared" ref="C71:C79" si="6">40%*(1/18)</f>
        <v>2.2222222222222223E-2</v>
      </c>
      <c r="D71" s="1150">
        <v>1</v>
      </c>
      <c r="E71" s="1192"/>
      <c r="F71" s="1245">
        <f>D71</f>
        <v>1</v>
      </c>
      <c r="G71" s="1246">
        <f>'OR13-分公司财务管理'!M22</f>
        <v>0.9</v>
      </c>
      <c r="H71" s="1247">
        <f>D71</f>
        <v>1</v>
      </c>
      <c r="I71" s="1248">
        <f>D71</f>
        <v>1</v>
      </c>
      <c r="J71" s="1249">
        <f>D71</f>
        <v>1</v>
      </c>
      <c r="K71" s="1301" t="s">
        <v>2111</v>
      </c>
      <c r="L71" s="1723" t="s">
        <v>2452</v>
      </c>
      <c r="M71" s="1724"/>
    </row>
    <row r="72" spans="1:13" ht="14.25">
      <c r="A72" s="1719"/>
      <c r="B72" s="1148" t="s">
        <v>2209</v>
      </c>
      <c r="C72" s="1072">
        <f t="shared" si="6"/>
        <v>2.2222222222222223E-2</v>
      </c>
      <c r="D72" s="1278">
        <v>3</v>
      </c>
      <c r="E72" s="1190"/>
      <c r="F72" s="1205">
        <f>'OR13-分公司财务管理'!M23</f>
        <v>3</v>
      </c>
      <c r="G72" s="1206">
        <f>'OR13-分公司财务管理'!M23</f>
        <v>3</v>
      </c>
      <c r="H72" s="1207">
        <f>'OR13-分公司财务管理'!M23</f>
        <v>3</v>
      </c>
      <c r="I72" s="1208">
        <f>'OR13-分公司财务管理'!M23</f>
        <v>3</v>
      </c>
      <c r="J72" s="1209">
        <f>'OR13-分公司财务管理'!M23</f>
        <v>3</v>
      </c>
      <c r="K72" s="1244" t="s">
        <v>2111</v>
      </c>
      <c r="L72" s="1244"/>
      <c r="M72" s="1292"/>
    </row>
    <row r="73" spans="1:13" ht="14.25">
      <c r="A73" s="1719"/>
      <c r="B73" s="1148" t="s">
        <v>1393</v>
      </c>
      <c r="C73" s="1072">
        <f t="shared" si="6"/>
        <v>2.2222222222222223E-2</v>
      </c>
      <c r="D73" s="1278">
        <v>3</v>
      </c>
      <c r="E73" s="1190"/>
      <c r="F73" s="1205">
        <f>'OR13-分公司财务管理'!M28</f>
        <v>3</v>
      </c>
      <c r="G73" s="1206">
        <f>'OR13-分公司财务管理'!M28</f>
        <v>3</v>
      </c>
      <c r="H73" s="1207">
        <f>'OR13-分公司财务管理'!M28</f>
        <v>3</v>
      </c>
      <c r="I73" s="1208">
        <f>'OR13-分公司财务管理'!M28</f>
        <v>3</v>
      </c>
      <c r="J73" s="1209">
        <f>'OR13-分公司财务管理'!M28</f>
        <v>3</v>
      </c>
      <c r="K73" s="1244" t="s">
        <v>2111</v>
      </c>
      <c r="L73" s="1244"/>
      <c r="M73" s="1292"/>
    </row>
    <row r="74" spans="1:13" ht="14.25">
      <c r="A74" s="1719"/>
      <c r="B74" s="85" t="s">
        <v>2165</v>
      </c>
      <c r="C74" s="1072">
        <f t="shared" si="6"/>
        <v>2.2222222222222223E-2</v>
      </c>
      <c r="D74" s="1278">
        <v>3</v>
      </c>
      <c r="E74" s="1190"/>
      <c r="F74" s="1217"/>
      <c r="G74" s="1206">
        <f>'OR13-分公司财务管理'!M32</f>
        <v>2.4</v>
      </c>
      <c r="H74" s="1217"/>
      <c r="I74" s="1217"/>
      <c r="J74" s="1231"/>
      <c r="K74" s="1244" t="s">
        <v>2111</v>
      </c>
      <c r="L74" s="1244"/>
      <c r="M74" s="1292"/>
    </row>
    <row r="75" spans="1:13" ht="14.25">
      <c r="A75" s="1719"/>
      <c r="B75" s="1416" t="s">
        <v>2405</v>
      </c>
      <c r="C75" s="1072"/>
      <c r="D75" s="1354"/>
      <c r="E75" s="1190"/>
      <c r="F75" s="1216">
        <v>0</v>
      </c>
      <c r="G75" s="1206">
        <v>0</v>
      </c>
      <c r="H75" s="1195">
        <v>1</v>
      </c>
      <c r="I75" s="1196">
        <v>0</v>
      </c>
      <c r="J75" s="1197">
        <v>0</v>
      </c>
      <c r="K75" s="1244" t="s">
        <v>2115</v>
      </c>
      <c r="L75" s="1709" t="s">
        <v>2406</v>
      </c>
      <c r="M75" s="1710"/>
    </row>
    <row r="76" spans="1:13" ht="14.25">
      <c r="A76" s="1719"/>
      <c r="B76" s="1418"/>
      <c r="C76" s="1072"/>
      <c r="D76" s="1354"/>
      <c r="E76" s="1190"/>
      <c r="F76" s="1216">
        <v>0</v>
      </c>
      <c r="G76" s="1206">
        <v>0</v>
      </c>
      <c r="H76" s="1195">
        <v>1</v>
      </c>
      <c r="I76" s="1196">
        <v>0</v>
      </c>
      <c r="J76" s="1197">
        <v>0</v>
      </c>
      <c r="K76" s="1244" t="s">
        <v>2115</v>
      </c>
      <c r="L76" s="1709" t="s">
        <v>2407</v>
      </c>
      <c r="M76" s="1710"/>
    </row>
    <row r="77" spans="1:13" ht="14.25">
      <c r="A77" s="1719"/>
      <c r="B77" s="1419"/>
      <c r="C77" s="1072">
        <f t="shared" si="6"/>
        <v>2.2222222222222223E-2</v>
      </c>
      <c r="D77" s="1354">
        <v>12</v>
      </c>
      <c r="E77" s="1190"/>
      <c r="F77" s="1205">
        <f>12-0.5*F75/10-3*F76/10</f>
        <v>12</v>
      </c>
      <c r="G77" s="1206">
        <f t="shared" ref="G77:J77" si="7">12-0.5*G75/10-3*G76/10</f>
        <v>12</v>
      </c>
      <c r="H77" s="1207">
        <f t="shared" si="7"/>
        <v>11.649999999999999</v>
      </c>
      <c r="I77" s="1196">
        <f t="shared" si="7"/>
        <v>12</v>
      </c>
      <c r="J77" s="1197">
        <f t="shared" si="7"/>
        <v>12</v>
      </c>
      <c r="K77" s="1244" t="s">
        <v>2111</v>
      </c>
      <c r="L77" s="1244"/>
      <c r="M77" s="1292"/>
    </row>
    <row r="78" spans="1:13" ht="14.25">
      <c r="A78" s="1719"/>
      <c r="B78" s="1148" t="s">
        <v>2210</v>
      </c>
      <c r="C78" s="1072">
        <f t="shared" si="6"/>
        <v>2.2222222222222223E-2</v>
      </c>
      <c r="D78" s="1278">
        <v>2</v>
      </c>
      <c r="E78" s="1190"/>
      <c r="F78" s="1217"/>
      <c r="G78" s="1206">
        <f>'OR13-分公司财务管理'!M40</f>
        <v>2</v>
      </c>
      <c r="H78" s="1207">
        <f>'OR13-分公司财务管理'!M40</f>
        <v>2</v>
      </c>
      <c r="I78" s="1217"/>
      <c r="J78" s="1231"/>
      <c r="K78" s="1244" t="s">
        <v>2111</v>
      </c>
      <c r="L78" s="1244"/>
      <c r="M78" s="1292"/>
    </row>
    <row r="79" spans="1:13" ht="14.25">
      <c r="A79" s="1719"/>
      <c r="B79" s="1148" t="s">
        <v>1411</v>
      </c>
      <c r="C79" s="1072">
        <f t="shared" si="6"/>
        <v>2.2222222222222223E-2</v>
      </c>
      <c r="D79" s="1278">
        <v>2</v>
      </c>
      <c r="E79" s="1190"/>
      <c r="F79" s="1217"/>
      <c r="G79" s="1206">
        <f>'OR13-分公司财务管理'!M43</f>
        <v>2</v>
      </c>
      <c r="H79" s="1207">
        <f>'OR13-分公司财务管理'!M43</f>
        <v>2</v>
      </c>
      <c r="I79" s="1217"/>
      <c r="J79" s="1231"/>
      <c r="K79" s="1244" t="s">
        <v>2111</v>
      </c>
      <c r="L79" s="1244"/>
      <c r="M79" s="1292"/>
    </row>
    <row r="80" spans="1:13" ht="15" thickBot="1">
      <c r="A80" s="1720"/>
      <c r="B80" s="1414" t="s">
        <v>2211</v>
      </c>
      <c r="C80" s="1096">
        <f>40%*(1/18)</f>
        <v>2.2222222222222223E-2</v>
      </c>
      <c r="D80" s="1151">
        <v>10</v>
      </c>
      <c r="E80" s="1227"/>
      <c r="F80" s="1218">
        <f>MAX($D$80-$D$77+F77,0)</f>
        <v>10</v>
      </c>
      <c r="G80" s="1218">
        <f t="shared" ref="G80:J80" si="8">MAX($D$80-$D$77+G77,0)</f>
        <v>10</v>
      </c>
      <c r="H80" s="1218">
        <f t="shared" si="8"/>
        <v>9.6499999999999986</v>
      </c>
      <c r="I80" s="1218">
        <f t="shared" si="8"/>
        <v>10</v>
      </c>
      <c r="J80" s="1218">
        <f t="shared" si="8"/>
        <v>10</v>
      </c>
      <c r="K80" s="1305" t="s">
        <v>2117</v>
      </c>
      <c r="L80" s="1707" t="s">
        <v>2497</v>
      </c>
      <c r="M80" s="1708"/>
    </row>
    <row r="81" spans="1:13" ht="43.5" thickBot="1">
      <c r="A81" s="1158" t="s">
        <v>2170</v>
      </c>
      <c r="B81" s="1159" t="s">
        <v>2213</v>
      </c>
      <c r="C81" s="1160">
        <f t="shared" ref="C81" si="9">60%*(1/18)</f>
        <v>3.3333333333333333E-2</v>
      </c>
      <c r="D81" s="1161">
        <v>3</v>
      </c>
      <c r="E81" s="1193"/>
      <c r="F81" s="1266"/>
      <c r="G81" s="1232">
        <f>'OR12-财务管理'!P25</f>
        <v>3</v>
      </c>
      <c r="H81" s="1233">
        <f>'OR12-财务管理'!P25</f>
        <v>3</v>
      </c>
      <c r="I81" s="1266"/>
      <c r="J81" s="1267"/>
      <c r="K81" s="1310" t="s">
        <v>2111</v>
      </c>
      <c r="L81" s="1310"/>
      <c r="M81" s="1294"/>
    </row>
    <row r="82" spans="1:13" ht="15">
      <c r="B82" s="120"/>
      <c r="D82" s="1087" t="s">
        <v>1613</v>
      </c>
      <c r="E82" s="1250">
        <f>C3*D3+C8*D8+SUMPRODUCT(C16:C18,D16:D18)+C21*D21+SUMPRODUCT(C26:C28,D26:D28)+C29*D29+C31*D31+SUMPRODUCT(C34:C39,D34:D39)+SUMPRODUCT(C41:C70,D41:D70)</f>
        <v>6.716666666666665</v>
      </c>
      <c r="F82" s="1250">
        <f>C2*D2+SUMPRODUCT(C4:C15,D4:D15)+C17*D17+C18*D18+SUMPRODUCT(C20:C23,D20:D23)+C25*D25+SUMPRODUCT(C27:C30,D27:D30)+C32*D32+C33*D33+SUMPRODUCT(C37:C41,D37:D41)+SUMPRODUCT(C71:C73,D71:D73)+C77*D77+C80*D80</f>
        <v>3.9611111111111108</v>
      </c>
      <c r="G82" s="1250">
        <f>SUMPRODUCT(C2:C15,D2:D15)+SUMPRODUCT(C17:C21,D17:D21)+SUMPRODUCT(C23:C25,D23:D25)+SUMPRODUCT(C27:C29,D27:D29)+SUMPRODUCT(C32:C33,D32:D33)+SUMPRODUCT(C37:C41,D37:D41)+SUMPRODUCT(C71:C81,D71:D81)</f>
        <v>4.3555555555555543</v>
      </c>
      <c r="H82" s="1250">
        <f>C2*D2+SUMPRODUCT(C4:C15,D4:D15)+SUMPRODUCT(C17:C21,D17:D21)+SUMPRODUCT(C23:C25,D23:D25)+SUMPRODUCT(C27:C30,D27:D30)+C32*D32+C33*D33+SUMPRODUCT(C37:C41,D37:D41)+SUMPRODUCT(C71:C73,D71:D73)+SUMPRODUCT(C75:C81,D75:D81)</f>
        <v>4.3055555555555554</v>
      </c>
      <c r="I82" s="1250">
        <f>C2*D2+SUMPRODUCT(C4:C15,D4:D15)+SUMPRODUCT(C19:C21,D19:D21)+SUMPRODUCT(C23:C25,D23:D25)+SUMPRODUCT(C27:C30,D27:D30)+C32*D32+C33*D33+SUMPRODUCT(C37:C41,D37:D41)+SUMPRODUCT(C71:C73,D71:D73)+C77*D77+C80*D80+C17*D17</f>
        <v>4.0388888888888888</v>
      </c>
      <c r="J82" s="1250">
        <f>C2*D2+SUMPRODUCT(C4:C15,D4:D15)+SUMPRODUCT(C17:C18,D17:D18)+SUMPRODUCT(C20:C21,D20:D21)+C23*D23+C25*D25+SUMPRODUCT(C27:C30,D27:D30)+C32*D32+C33*D33+SUMPRODUCT(C37:C41,D37:D41)+SUMPRODUCT(C71:C73,D71:D73)+C77*D77+C80*D80</f>
        <v>3.8833333333333333</v>
      </c>
    </row>
    <row r="83" spans="1:13" ht="15">
      <c r="A83" s="1157"/>
      <c r="B83" s="120"/>
      <c r="D83" s="1087" t="s">
        <v>2173</v>
      </c>
      <c r="E83" s="1250">
        <f>SUMPRODUCT($C$2:$C$81,E2:E81)</f>
        <v>6.5693181818181827</v>
      </c>
      <c r="F83" s="1250">
        <f t="shared" ref="F83:J83" si="10">SUMPRODUCT($C$2:$C$81,F2:F81)</f>
        <v>3.5510254706912074</v>
      </c>
      <c r="G83" s="1250">
        <f>SUMPRODUCT($C$2:$C$81,G2:G81)</f>
        <v>4.2314252311895757</v>
      </c>
      <c r="H83" s="1250">
        <f t="shared" si="10"/>
        <v>4.0238426746922871</v>
      </c>
      <c r="I83" s="1250">
        <f t="shared" si="10"/>
        <v>3.958979130460011</v>
      </c>
      <c r="J83" s="1250">
        <f t="shared" si="10"/>
        <v>3.7895314095150008</v>
      </c>
    </row>
    <row r="84" spans="1:13" ht="15">
      <c r="A84" s="1157"/>
      <c r="B84" s="120"/>
      <c r="D84" s="1087" t="s">
        <v>1600</v>
      </c>
      <c r="E84" s="1250">
        <f>E83/E82*100</f>
        <v>97.806226032032512</v>
      </c>
      <c r="F84" s="1250">
        <f t="shared" ref="F84:I84" si="11">F83/F82*100</f>
        <v>89.647206833719125</v>
      </c>
      <c r="G84" s="1250">
        <f t="shared" si="11"/>
        <v>97.150069083434161</v>
      </c>
      <c r="H84" s="1250">
        <f t="shared" si="11"/>
        <v>93.456991154143438</v>
      </c>
      <c r="I84" s="1250">
        <f t="shared" si="11"/>
        <v>98.021491538212103</v>
      </c>
      <c r="J84" s="1250">
        <f>J83/J82*100</f>
        <v>97.584499815836935</v>
      </c>
    </row>
    <row r="85" spans="1:13" ht="14.25">
      <c r="A85" s="1157"/>
      <c r="B85" s="1080" t="s">
        <v>2142</v>
      </c>
    </row>
    <row r="86" spans="1:13" ht="14.25">
      <c r="A86" s="1157"/>
      <c r="B86" s="120"/>
    </row>
    <row r="87" spans="1:13" ht="15">
      <c r="A87" s="1157"/>
      <c r="B87" s="120"/>
      <c r="C87" s="1140" t="s">
        <v>1631</v>
      </c>
      <c r="D87" s="1142">
        <f>VALUE($I$84)</f>
        <v>98.021491538212103</v>
      </c>
    </row>
    <row r="88" spans="1:13" ht="15">
      <c r="A88" s="1157"/>
      <c r="B88" s="120"/>
      <c r="C88" s="1140" t="s">
        <v>1632</v>
      </c>
      <c r="D88" s="1142">
        <f>VALUE($J$84)</f>
        <v>97.584499815836935</v>
      </c>
    </row>
    <row r="89" spans="1:13" ht="15">
      <c r="A89" s="1157"/>
      <c r="B89" s="120"/>
      <c r="C89" s="1140" t="s">
        <v>1627</v>
      </c>
      <c r="D89" s="1142">
        <f>VALUE($E$84)</f>
        <v>97.806226032032512</v>
      </c>
    </row>
    <row r="90" spans="1:13" ht="15">
      <c r="A90" s="120"/>
      <c r="B90" s="120"/>
      <c r="C90" s="1140" t="s">
        <v>1629</v>
      </c>
      <c r="D90" s="1142">
        <f>VALUE($G$84)</f>
        <v>97.150069083434161</v>
      </c>
    </row>
    <row r="91" spans="1:13" ht="15">
      <c r="A91" s="120"/>
      <c r="C91" s="1140" t="s">
        <v>1630</v>
      </c>
      <c r="D91" s="1142">
        <f>VALUE($H$84)</f>
        <v>93.456991154143438</v>
      </c>
    </row>
    <row r="92" spans="1:13" ht="15">
      <c r="C92" s="1140" t="s">
        <v>1628</v>
      </c>
      <c r="D92" s="1142">
        <f>VALUE($F$84)</f>
        <v>89.647206833719125</v>
      </c>
    </row>
    <row r="93" spans="1:13">
      <c r="A93" s="843" t="s">
        <v>2336</v>
      </c>
    </row>
    <row r="94" spans="1:13">
      <c r="A94" s="843" t="s">
        <v>2335</v>
      </c>
    </row>
    <row r="95" spans="1:13">
      <c r="A95" s="843" t="s">
        <v>2334</v>
      </c>
    </row>
    <row r="96" spans="1:13">
      <c r="A96" s="843" t="s">
        <v>2333</v>
      </c>
    </row>
  </sheetData>
  <sortState ref="C93:D98">
    <sortCondition descending="1" ref="D93"/>
  </sortState>
  <mergeCells count="24">
    <mergeCell ref="L1:M1"/>
    <mergeCell ref="L17:M17"/>
    <mergeCell ref="L27:M27"/>
    <mergeCell ref="L28:M28"/>
    <mergeCell ref="E60:E63"/>
    <mergeCell ref="L30:M30"/>
    <mergeCell ref="L7:M7"/>
    <mergeCell ref="L32:M32"/>
    <mergeCell ref="L3:M3"/>
    <mergeCell ref="L70:M70"/>
    <mergeCell ref="L75:M75"/>
    <mergeCell ref="L76:M76"/>
    <mergeCell ref="A2:A16"/>
    <mergeCell ref="A17:A41"/>
    <mergeCell ref="D60:D63"/>
    <mergeCell ref="A42:A51"/>
    <mergeCell ref="A52:A70"/>
    <mergeCell ref="B5:B6"/>
    <mergeCell ref="B7:B8"/>
    <mergeCell ref="A71:A80"/>
    <mergeCell ref="B38:B39"/>
    <mergeCell ref="L71:M71"/>
    <mergeCell ref="L41:M41"/>
    <mergeCell ref="L80:M80"/>
  </mergeCells>
  <phoneticPr fontId="3" type="noConversion"/>
  <conditionalFormatting sqref="F2:J2">
    <cfRule type="cellIs" dxfId="384" priority="66" operator="lessThan">
      <formula>$D$2</formula>
    </cfRule>
  </conditionalFormatting>
  <conditionalFormatting sqref="F4:J4">
    <cfRule type="cellIs" dxfId="383" priority="65" operator="lessThan">
      <formula>$D$4</formula>
    </cfRule>
  </conditionalFormatting>
  <conditionalFormatting sqref="F75:J76 E38:J38 F5:J5">
    <cfRule type="cellIs" dxfId="382" priority="64" operator="greaterThan">
      <formula>0</formula>
    </cfRule>
  </conditionalFormatting>
  <conditionalFormatting sqref="F10:J10">
    <cfRule type="cellIs" dxfId="381" priority="60" operator="lessThan">
      <formula>$D$10</formula>
    </cfRule>
    <cfRule type="cellIs" dxfId="380" priority="63" operator="lessThan">
      <formula>$D$10</formula>
    </cfRule>
  </conditionalFormatting>
  <conditionalFormatting sqref="F9:J9">
    <cfRule type="cellIs" dxfId="379" priority="62" operator="lessThan">
      <formula>$D$9</formula>
    </cfRule>
  </conditionalFormatting>
  <conditionalFormatting sqref="F6:J6">
    <cfRule type="cellIs" dxfId="378" priority="61" operator="lessThan">
      <formula>$D$6</formula>
    </cfRule>
  </conditionalFormatting>
  <conditionalFormatting sqref="F11:J15">
    <cfRule type="cellIs" dxfId="377" priority="59" operator="lessThan">
      <formula>D11</formula>
    </cfRule>
  </conditionalFormatting>
  <conditionalFormatting sqref="F11:J11">
    <cfRule type="cellIs" dxfId="376" priority="58" operator="lessThan">
      <formula>$D$11</formula>
    </cfRule>
  </conditionalFormatting>
  <conditionalFormatting sqref="F12:J12">
    <cfRule type="cellIs" dxfId="375" priority="57" operator="lessThan">
      <formula>$D$12</formula>
    </cfRule>
  </conditionalFormatting>
  <conditionalFormatting sqref="F13:J13">
    <cfRule type="cellIs" dxfId="374" priority="56" operator="lessThan">
      <formula>$D$13</formula>
    </cfRule>
  </conditionalFormatting>
  <conditionalFormatting sqref="F14:J14">
    <cfRule type="cellIs" dxfId="373" priority="55" operator="lessThan">
      <formula>$D$14</formula>
    </cfRule>
  </conditionalFormatting>
  <conditionalFormatting sqref="F15:J15">
    <cfRule type="cellIs" dxfId="372" priority="54" operator="lessThan">
      <formula>$D$15</formula>
    </cfRule>
  </conditionalFormatting>
  <conditionalFormatting sqref="E16">
    <cfRule type="cellIs" dxfId="371" priority="53" operator="lessThan">
      <formula>$D$16</formula>
    </cfRule>
  </conditionalFormatting>
  <conditionalFormatting sqref="E17:J17">
    <cfRule type="cellIs" dxfId="370" priority="52" operator="lessThan">
      <formula>$D$17</formula>
    </cfRule>
  </conditionalFormatting>
  <conditionalFormatting sqref="E18:H18 J18">
    <cfRule type="cellIs" dxfId="369" priority="51" operator="lessThan">
      <formula>$D$18</formula>
    </cfRule>
  </conditionalFormatting>
  <conditionalFormatting sqref="F23:J23">
    <cfRule type="cellIs" dxfId="368" priority="50" operator="lessThan">
      <formula>$D$23</formula>
    </cfRule>
  </conditionalFormatting>
  <conditionalFormatting sqref="F25:J25">
    <cfRule type="cellIs" dxfId="367" priority="49" operator="lessThan">
      <formula>$D$25</formula>
    </cfRule>
  </conditionalFormatting>
  <conditionalFormatting sqref="E26">
    <cfRule type="cellIs" dxfId="366" priority="46" operator="lessThan">
      <formula>$D$26</formula>
    </cfRule>
  </conditionalFormatting>
  <conditionalFormatting sqref="E29:J29">
    <cfRule type="cellIs" dxfId="365" priority="44" operator="lessThan">
      <formula>$D$29</formula>
    </cfRule>
  </conditionalFormatting>
  <conditionalFormatting sqref="E31">
    <cfRule type="cellIs" dxfId="364" priority="43" operator="lessThan">
      <formula>$D$31</formula>
    </cfRule>
  </conditionalFormatting>
  <conditionalFormatting sqref="F33:J33">
    <cfRule type="cellIs" dxfId="363" priority="42" operator="lessThan">
      <formula>$D$33</formula>
    </cfRule>
  </conditionalFormatting>
  <conditionalFormatting sqref="E34">
    <cfRule type="cellIs" dxfId="362" priority="41" operator="lessThan">
      <formula>$D$34</formula>
    </cfRule>
  </conditionalFormatting>
  <conditionalFormatting sqref="E35">
    <cfRule type="cellIs" dxfId="361" priority="40" operator="lessThan">
      <formula>$D$35</formula>
    </cfRule>
  </conditionalFormatting>
  <conditionalFormatting sqref="E36">
    <cfRule type="cellIs" dxfId="360" priority="38" operator="lessThan">
      <formula>$D$36</formula>
    </cfRule>
  </conditionalFormatting>
  <conditionalFormatting sqref="E39:J39">
    <cfRule type="cellIs" dxfId="359" priority="36" operator="lessThan">
      <formula>$D$39</formula>
    </cfRule>
  </conditionalFormatting>
  <conditionalFormatting sqref="F40:J40">
    <cfRule type="cellIs" dxfId="358" priority="35" operator="lessThan">
      <formula>$D$40</formula>
    </cfRule>
  </conditionalFormatting>
  <conditionalFormatting sqref="E42:E70">
    <cfRule type="cellIs" dxfId="357" priority="33" operator="lessThan">
      <formula>$D42</formula>
    </cfRule>
  </conditionalFormatting>
  <conditionalFormatting sqref="F71:J73">
    <cfRule type="cellIs" dxfId="356" priority="30" operator="lessThan">
      <formula>$D71</formula>
    </cfRule>
  </conditionalFormatting>
  <conditionalFormatting sqref="G74">
    <cfRule type="cellIs" dxfId="355" priority="29" operator="lessThan">
      <formula>$D$74</formula>
    </cfRule>
  </conditionalFormatting>
  <conditionalFormatting sqref="F77">
    <cfRule type="cellIs" dxfId="354" priority="27" operator="lessThan">
      <formula>$D$77</formula>
    </cfRule>
  </conditionalFormatting>
  <conditionalFormatting sqref="G78:H78">
    <cfRule type="cellIs" dxfId="353" priority="26" operator="lessThan">
      <formula>$D$78</formula>
    </cfRule>
  </conditionalFormatting>
  <conditionalFormatting sqref="G79:H79">
    <cfRule type="cellIs" dxfId="352" priority="25" operator="lessThan">
      <formula>2</formula>
    </cfRule>
  </conditionalFormatting>
  <conditionalFormatting sqref="F80:J80">
    <cfRule type="cellIs" dxfId="351" priority="24" operator="lessThan">
      <formula>$D$80</formula>
    </cfRule>
  </conditionalFormatting>
  <conditionalFormatting sqref="F30 H30:J30">
    <cfRule type="cellIs" dxfId="350" priority="23" operator="lessThan">
      <formula>$D$30</formula>
    </cfRule>
  </conditionalFormatting>
  <conditionalFormatting sqref="F22">
    <cfRule type="cellIs" dxfId="349" priority="22" operator="lessThan">
      <formula>$D$22</formula>
    </cfRule>
  </conditionalFormatting>
  <conditionalFormatting sqref="H27:J27 E27:F27">
    <cfRule type="cellIs" dxfId="348" priority="20" operator="lessThan">
      <formula>$D$27</formula>
    </cfRule>
  </conditionalFormatting>
  <conditionalFormatting sqref="E28:F28 H28:J28 G27:G28">
    <cfRule type="cellIs" dxfId="347" priority="18" operator="lessThan">
      <formula>$D$28</formula>
    </cfRule>
  </conditionalFormatting>
  <conditionalFormatting sqref="H75">
    <cfRule type="cellIs" dxfId="346" priority="13" operator="lessThan">
      <formula>$D75</formula>
    </cfRule>
  </conditionalFormatting>
  <conditionalFormatting sqref="H77">
    <cfRule type="cellIs" dxfId="345" priority="11" operator="lessThan">
      <formula>$D77</formula>
    </cfRule>
  </conditionalFormatting>
  <conditionalFormatting sqref="E8:J8">
    <cfRule type="aboveAverage" dxfId="344" priority="8"/>
  </conditionalFormatting>
  <conditionalFormatting sqref="E7:J7">
    <cfRule type="cellIs" dxfId="343" priority="4" operator="lessThan">
      <formula>1</formula>
    </cfRule>
  </conditionalFormatting>
  <conditionalFormatting sqref="F32 H32:J32">
    <cfRule type="cellIs" dxfId="342" priority="3" operator="lessThan">
      <formula>3</formula>
    </cfRule>
  </conditionalFormatting>
  <conditionalFormatting sqref="E41:J41">
    <cfRule type="cellIs" dxfId="341" priority="2" operator="lessThan">
      <formula>10</formula>
    </cfRule>
  </conditionalFormatting>
  <conditionalFormatting sqref="E70">
    <cfRule type="cellIs" dxfId="340" priority="1" operator="lessThan">
      <formula>$D70</formula>
    </cfRule>
  </conditionalFormatting>
  <hyperlinks>
    <hyperlink ref="A93" location="绩效总分!A1" display="绩效总分"/>
    <hyperlink ref="A94" location="'总公司绩效-I'!A1" display="总公司绩效-I"/>
    <hyperlink ref="A95" location="分公司绩效!A1" display="分公司绩效"/>
    <hyperlink ref="A96" location="目录!A1" display="目录"/>
  </hyperlinks>
  <pageMargins left="0.7" right="0.7" top="0.75" bottom="0.75" header="0.3" footer="0.3"/>
  <ignoredErrors>
    <ignoredError sqref="G24:I24" formula="1"/>
  </ignoredErrors>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L142"/>
  <sheetViews>
    <sheetView workbookViewId="0">
      <pane xSplit="4" ySplit="1" topLeftCell="E44" activePane="bottomRight" state="frozenSplit"/>
      <selection pane="topRight" activeCell="E1" sqref="E1"/>
      <selection pane="bottomLeft" activeCell="A19" sqref="A19"/>
      <selection pane="bottomRight" activeCell="A97" sqref="A97:A124"/>
    </sheetView>
  </sheetViews>
  <sheetFormatPr defaultRowHeight="13.5"/>
  <cols>
    <col min="1" max="1" width="7.625" customWidth="1"/>
    <col min="2" max="2" width="47" customWidth="1"/>
    <col min="3" max="3" width="10.375" customWidth="1"/>
    <col min="4" max="4" width="9.25" bestFit="1" customWidth="1"/>
    <col min="5" max="5" width="9.625" style="1082" bestFit="1" customWidth="1"/>
    <col min="6" max="6" width="8.375" style="1082" bestFit="1" customWidth="1"/>
    <col min="7" max="7" width="9.75" style="1082" customWidth="1"/>
    <col min="8" max="8" width="10.25" style="1082" customWidth="1"/>
    <col min="9" max="9" width="8.5" style="1082" bestFit="1" customWidth="1"/>
    <col min="10" max="10" width="16.75" customWidth="1"/>
    <col min="11" max="11" width="11.25" bestFit="1" customWidth="1"/>
  </cols>
  <sheetData>
    <row r="1" spans="1:12" ht="15.75" thickBot="1">
      <c r="A1" s="1110" t="s">
        <v>2152</v>
      </c>
      <c r="B1" s="668" t="s">
        <v>2147</v>
      </c>
      <c r="C1" s="668" t="s">
        <v>2153</v>
      </c>
      <c r="D1" s="668" t="s">
        <v>571</v>
      </c>
      <c r="E1" s="1087" t="s">
        <v>1170</v>
      </c>
      <c r="F1" s="1087" t="s">
        <v>2154</v>
      </c>
      <c r="G1" s="1087" t="s">
        <v>1439</v>
      </c>
      <c r="H1" s="1087" t="s">
        <v>1618</v>
      </c>
      <c r="I1" s="1087" t="s">
        <v>1438</v>
      </c>
      <c r="J1" s="668" t="s">
        <v>2114</v>
      </c>
    </row>
    <row r="2" spans="1:12" ht="16.5" customHeight="1">
      <c r="A2" s="1711" t="s">
        <v>2161</v>
      </c>
      <c r="B2" s="1104" t="s">
        <v>10</v>
      </c>
      <c r="C2" s="1757">
        <v>1.6666666666666666E-2</v>
      </c>
      <c r="D2" s="1754">
        <v>5</v>
      </c>
      <c r="E2" s="1737"/>
      <c r="F2" s="1737"/>
      <c r="G2" s="1737"/>
      <c r="H2" s="1737"/>
      <c r="I2" s="1751">
        <f>'OR02-销售承保'!Y31</f>
        <v>5</v>
      </c>
      <c r="J2" s="1291" t="s">
        <v>2111</v>
      </c>
      <c r="K2" s="1" t="s">
        <v>2156</v>
      </c>
      <c r="L2" s="1115"/>
    </row>
    <row r="3" spans="1:12" ht="16.5" customHeight="1">
      <c r="A3" s="1712"/>
      <c r="B3" s="79" t="s">
        <v>13</v>
      </c>
      <c r="C3" s="1758"/>
      <c r="D3" s="1755"/>
      <c r="E3" s="1738"/>
      <c r="F3" s="1738"/>
      <c r="G3" s="1738"/>
      <c r="H3" s="1738"/>
      <c r="I3" s="1752"/>
      <c r="J3" s="1292" t="s">
        <v>2111</v>
      </c>
      <c r="K3" s="1" t="s">
        <v>2157</v>
      </c>
      <c r="L3" s="1034"/>
    </row>
    <row r="4" spans="1:12" ht="16.5" customHeight="1">
      <c r="A4" s="1712"/>
      <c r="B4" s="79" t="s">
        <v>16</v>
      </c>
      <c r="C4" s="1759">
        <v>1.6666666666666666E-2</v>
      </c>
      <c r="D4" s="1756">
        <v>5</v>
      </c>
      <c r="E4" s="1739"/>
      <c r="F4" s="1739"/>
      <c r="G4" s="1739"/>
      <c r="H4" s="1739"/>
      <c r="I4" s="1753">
        <f>'OR02-销售承保'!Y33</f>
        <v>5</v>
      </c>
      <c r="J4" s="1292" t="s">
        <v>2111</v>
      </c>
      <c r="K4" s="1" t="s">
        <v>2148</v>
      </c>
      <c r="L4" s="1088"/>
    </row>
    <row r="5" spans="1:12" ht="16.5" customHeight="1">
      <c r="A5" s="1712"/>
      <c r="B5" s="79" t="s">
        <v>20</v>
      </c>
      <c r="C5" s="1758"/>
      <c r="D5" s="1755"/>
      <c r="E5" s="1738"/>
      <c r="F5" s="1738"/>
      <c r="G5" s="1738"/>
      <c r="H5" s="1738"/>
      <c r="I5" s="1752"/>
      <c r="J5" s="1292" t="s">
        <v>2111</v>
      </c>
      <c r="K5" s="1" t="s">
        <v>2149</v>
      </c>
      <c r="L5" s="1090"/>
    </row>
    <row r="6" spans="1:12" ht="17.25" thickBot="1">
      <c r="A6" s="1713"/>
      <c r="B6" s="1014" t="s">
        <v>24</v>
      </c>
      <c r="C6" s="1105">
        <v>1.6666666666666666E-2</v>
      </c>
      <c r="D6" s="1106">
        <v>5</v>
      </c>
      <c r="E6" s="1122"/>
      <c r="F6" s="1122"/>
      <c r="G6" s="1122"/>
      <c r="H6" s="1122"/>
      <c r="I6" s="1236">
        <f>'OR02-销售承保'!H35</f>
        <v>5</v>
      </c>
      <c r="J6" s="1293" t="s">
        <v>2111</v>
      </c>
      <c r="K6" s="1" t="s">
        <v>2158</v>
      </c>
      <c r="L6" s="1091"/>
    </row>
    <row r="7" spans="1:12" ht="57.75" thickBot="1">
      <c r="A7" s="1103" t="s">
        <v>2159</v>
      </c>
      <c r="B7" s="1100" t="s">
        <v>2160</v>
      </c>
      <c r="C7" s="1101">
        <f t="shared" ref="C7:C10" si="0">70%*(1/18)</f>
        <v>3.8888888888888883E-2</v>
      </c>
      <c r="D7" s="1102">
        <v>3</v>
      </c>
      <c r="E7" s="1123"/>
      <c r="F7" s="1123"/>
      <c r="G7" s="1123"/>
      <c r="H7" s="1123"/>
      <c r="I7" s="1237">
        <f>'OR04-分公司销售、承保、保全'!M70</f>
        <v>3</v>
      </c>
      <c r="J7" s="1294" t="s">
        <v>2111</v>
      </c>
    </row>
    <row r="8" spans="1:12" ht="13.5" customHeight="1">
      <c r="A8" s="1711" t="s">
        <v>1432</v>
      </c>
      <c r="B8" s="1107" t="s">
        <v>2160</v>
      </c>
      <c r="C8" s="1108">
        <f t="shared" si="0"/>
        <v>3.8888888888888883E-2</v>
      </c>
      <c r="D8" s="1109">
        <v>2</v>
      </c>
      <c r="E8" s="1120"/>
      <c r="F8" s="1120"/>
      <c r="G8" s="1120"/>
      <c r="H8" s="1120"/>
      <c r="I8" s="1238">
        <f>'OR08-分公司理赔'!M34</f>
        <v>2</v>
      </c>
      <c r="J8" s="1291" t="s">
        <v>2111</v>
      </c>
    </row>
    <row r="9" spans="1:12" ht="13.5" customHeight="1">
      <c r="A9" s="1712"/>
      <c r="B9" s="20" t="s">
        <v>1344</v>
      </c>
      <c r="C9" s="1098">
        <f t="shared" si="0"/>
        <v>3.8888888888888883E-2</v>
      </c>
      <c r="D9" s="1099">
        <v>2</v>
      </c>
      <c r="E9" s="1121"/>
      <c r="F9" s="1121"/>
      <c r="G9" s="1121"/>
      <c r="H9" s="1121"/>
      <c r="I9" s="1239">
        <f>'OR08-分公司理赔'!M36</f>
        <v>2</v>
      </c>
      <c r="J9" s="1292" t="s">
        <v>2111</v>
      </c>
    </row>
    <row r="10" spans="1:12" ht="13.5" customHeight="1" thickBot="1">
      <c r="A10" s="1713"/>
      <c r="B10" s="1095" t="s">
        <v>1348</v>
      </c>
      <c r="C10" s="1105">
        <f t="shared" si="0"/>
        <v>3.8888888888888883E-2</v>
      </c>
      <c r="D10" s="1106">
        <v>1</v>
      </c>
      <c r="E10" s="1122"/>
      <c r="F10" s="1122"/>
      <c r="G10" s="1122"/>
      <c r="H10" s="1122"/>
      <c r="I10" s="1236">
        <f>'OR08-分公司理赔'!M37</f>
        <v>1</v>
      </c>
      <c r="J10" s="1293" t="s">
        <v>2111</v>
      </c>
    </row>
    <row r="11" spans="1:12" ht="15" customHeight="1">
      <c r="A11" s="1711" t="s">
        <v>2143</v>
      </c>
      <c r="B11" s="1092" t="s">
        <v>32</v>
      </c>
      <c r="C11" s="1093">
        <f>1/18</f>
        <v>5.5555555555555552E-2</v>
      </c>
      <c r="D11" s="1094">
        <v>2</v>
      </c>
      <c r="E11" s="1127">
        <f>'OR10-资金运用'!M4</f>
        <v>2</v>
      </c>
      <c r="F11" s="1120"/>
      <c r="G11" s="1120"/>
      <c r="H11" s="1120"/>
      <c r="I11" s="1240"/>
      <c r="J11" s="1291" t="s">
        <v>2111</v>
      </c>
    </row>
    <row r="12" spans="1:12" ht="16.5">
      <c r="A12" s="1712"/>
      <c r="B12" s="12" t="s">
        <v>33</v>
      </c>
      <c r="C12" s="1072">
        <f>1/18</f>
        <v>5.5555555555555552E-2</v>
      </c>
      <c r="D12" s="71">
        <v>2</v>
      </c>
      <c r="E12" s="1128">
        <f>'OR10-资金运用'!M5</f>
        <v>2</v>
      </c>
      <c r="F12" s="1121"/>
      <c r="G12" s="1121"/>
      <c r="H12" s="1121"/>
      <c r="I12" s="1241"/>
      <c r="J12" s="1292" t="s">
        <v>2111</v>
      </c>
    </row>
    <row r="13" spans="1:12" ht="16.5">
      <c r="A13" s="1712"/>
      <c r="B13" s="12" t="s">
        <v>36</v>
      </c>
      <c r="C13" s="1072">
        <f t="shared" ref="C13:C62" si="1">1/18</f>
        <v>5.5555555555555552E-2</v>
      </c>
      <c r="D13" s="71">
        <v>2</v>
      </c>
      <c r="E13" s="1128">
        <f>'OR10-资金运用'!M6</f>
        <v>2</v>
      </c>
      <c r="F13" s="1121"/>
      <c r="G13" s="1121"/>
      <c r="H13" s="1121"/>
      <c r="I13" s="1241"/>
      <c r="J13" s="1292" t="s">
        <v>2111</v>
      </c>
    </row>
    <row r="14" spans="1:12" ht="14.25">
      <c r="A14" s="1712"/>
      <c r="B14" s="12" t="s">
        <v>37</v>
      </c>
      <c r="C14" s="1766">
        <f t="shared" si="1"/>
        <v>5.5555555555555552E-2</v>
      </c>
      <c r="D14" s="1744">
        <v>1</v>
      </c>
      <c r="E14" s="1742">
        <f>'OR10-资金运用'!M7</f>
        <v>1</v>
      </c>
      <c r="F14" s="1739"/>
      <c r="G14" s="1739"/>
      <c r="H14" s="1739"/>
      <c r="I14" s="1762"/>
      <c r="J14" s="1292" t="s">
        <v>2111</v>
      </c>
    </row>
    <row r="15" spans="1:12" ht="14.25">
      <c r="A15" s="1712"/>
      <c r="B15" s="12" t="s">
        <v>41</v>
      </c>
      <c r="C15" s="1747"/>
      <c r="D15" s="1745"/>
      <c r="E15" s="1743"/>
      <c r="F15" s="1738"/>
      <c r="G15" s="1738"/>
      <c r="H15" s="1738"/>
      <c r="I15" s="1763"/>
      <c r="J15" s="1292" t="s">
        <v>2111</v>
      </c>
    </row>
    <row r="16" spans="1:12" ht="16.5">
      <c r="A16" s="1712"/>
      <c r="B16" s="12" t="s">
        <v>44</v>
      </c>
      <c r="C16" s="1072">
        <f t="shared" si="1"/>
        <v>5.5555555555555552E-2</v>
      </c>
      <c r="D16" s="71">
        <v>1</v>
      </c>
      <c r="E16" s="1128">
        <f>'OR10-资金运用'!M9</f>
        <v>1</v>
      </c>
      <c r="F16" s="1121"/>
      <c r="G16" s="1121"/>
      <c r="H16" s="1121"/>
      <c r="I16" s="1241"/>
      <c r="J16" s="1292" t="s">
        <v>2111</v>
      </c>
    </row>
    <row r="17" spans="1:10" ht="16.5">
      <c r="A17" s="1712"/>
      <c r="B17" s="12" t="s">
        <v>47</v>
      </c>
      <c r="C17" s="1072">
        <f t="shared" si="1"/>
        <v>5.5555555555555552E-2</v>
      </c>
      <c r="D17" s="71">
        <v>2</v>
      </c>
      <c r="E17" s="1128">
        <f>'OR10-资金运用'!M12</f>
        <v>2</v>
      </c>
      <c r="F17" s="1121"/>
      <c r="G17" s="1121"/>
      <c r="H17" s="1121"/>
      <c r="I17" s="1241"/>
      <c r="J17" s="1292" t="s">
        <v>2111</v>
      </c>
    </row>
    <row r="18" spans="1:10" ht="14.25">
      <c r="A18" s="1712"/>
      <c r="B18" s="12" t="s">
        <v>51</v>
      </c>
      <c r="C18" s="1766">
        <f t="shared" si="1"/>
        <v>5.5555555555555552E-2</v>
      </c>
      <c r="D18" s="1744">
        <v>1</v>
      </c>
      <c r="E18" s="1742">
        <f>'OR10-资金运用'!M16</f>
        <v>1</v>
      </c>
      <c r="F18" s="1739"/>
      <c r="G18" s="1739"/>
      <c r="H18" s="1739"/>
      <c r="I18" s="1762"/>
      <c r="J18" s="1292" t="s">
        <v>2111</v>
      </c>
    </row>
    <row r="19" spans="1:10" ht="14.25">
      <c r="A19" s="1712"/>
      <c r="B19" s="12" t="s">
        <v>52</v>
      </c>
      <c r="C19" s="1747"/>
      <c r="D19" s="1745"/>
      <c r="E19" s="1743"/>
      <c r="F19" s="1738"/>
      <c r="G19" s="1738"/>
      <c r="H19" s="1738"/>
      <c r="I19" s="1763"/>
      <c r="J19" s="1292" t="s">
        <v>2111</v>
      </c>
    </row>
    <row r="20" spans="1:10" ht="16.5">
      <c r="A20" s="1712"/>
      <c r="B20" s="12" t="s">
        <v>53</v>
      </c>
      <c r="C20" s="1072">
        <f t="shared" si="1"/>
        <v>5.5555555555555552E-2</v>
      </c>
      <c r="D20" s="71">
        <v>1</v>
      </c>
      <c r="E20" s="1128">
        <f>'OR10-资金运用'!M18</f>
        <v>1</v>
      </c>
      <c r="F20" s="1121"/>
      <c r="G20" s="1121"/>
      <c r="H20" s="1121"/>
      <c r="I20" s="1241"/>
      <c r="J20" s="1292" t="s">
        <v>2111</v>
      </c>
    </row>
    <row r="21" spans="1:10" ht="14.25">
      <c r="A21" s="1712"/>
      <c r="B21" s="12" t="s">
        <v>56</v>
      </c>
      <c r="C21" s="1766">
        <f t="shared" si="1"/>
        <v>5.5555555555555552E-2</v>
      </c>
      <c r="D21" s="1744">
        <v>1</v>
      </c>
      <c r="E21" s="1742">
        <f>'OR10-资金运用'!M21</f>
        <v>1</v>
      </c>
      <c r="F21" s="1739"/>
      <c r="G21" s="1739"/>
      <c r="H21" s="1739"/>
      <c r="I21" s="1762"/>
      <c r="J21" s="1292" t="s">
        <v>2111</v>
      </c>
    </row>
    <row r="22" spans="1:10" ht="14.25" customHeight="1">
      <c r="A22" s="1712"/>
      <c r="B22" s="12" t="s">
        <v>59</v>
      </c>
      <c r="C22" s="1747"/>
      <c r="D22" s="1745"/>
      <c r="E22" s="1743"/>
      <c r="F22" s="1738"/>
      <c r="G22" s="1738"/>
      <c r="H22" s="1738"/>
      <c r="I22" s="1763"/>
      <c r="J22" s="1292" t="s">
        <v>2111</v>
      </c>
    </row>
    <row r="23" spans="1:10" ht="14.25">
      <c r="A23" s="1712"/>
      <c r="B23" s="12" t="s">
        <v>62</v>
      </c>
      <c r="C23" s="1766">
        <f t="shared" si="1"/>
        <v>5.5555555555555552E-2</v>
      </c>
      <c r="D23" s="1744">
        <v>1</v>
      </c>
      <c r="E23" s="1742">
        <f>'OR10-资金运用'!M23</f>
        <v>1</v>
      </c>
      <c r="F23" s="1739"/>
      <c r="G23" s="1739"/>
      <c r="H23" s="1739"/>
      <c r="I23" s="1762"/>
      <c r="J23" s="1292" t="s">
        <v>2111</v>
      </c>
    </row>
    <row r="24" spans="1:10" ht="14.25">
      <c r="A24" s="1712"/>
      <c r="B24" s="12" t="s">
        <v>65</v>
      </c>
      <c r="C24" s="1747"/>
      <c r="D24" s="1745"/>
      <c r="E24" s="1743"/>
      <c r="F24" s="1738"/>
      <c r="G24" s="1738"/>
      <c r="H24" s="1738"/>
      <c r="I24" s="1763"/>
      <c r="J24" s="1292" t="s">
        <v>2111</v>
      </c>
    </row>
    <row r="25" spans="1:10" ht="14.25" customHeight="1">
      <c r="A25" s="1712"/>
      <c r="B25" s="12" t="s">
        <v>2150</v>
      </c>
      <c r="C25" s="1766">
        <f t="shared" si="1"/>
        <v>5.5555555555555552E-2</v>
      </c>
      <c r="D25" s="1744">
        <v>1</v>
      </c>
      <c r="E25" s="1742">
        <f>'OR10-资金运用'!M25</f>
        <v>1</v>
      </c>
      <c r="F25" s="1739"/>
      <c r="G25" s="1739"/>
      <c r="H25" s="1739"/>
      <c r="I25" s="1762"/>
      <c r="J25" s="1292" t="s">
        <v>2111</v>
      </c>
    </row>
    <row r="26" spans="1:10" ht="16.5" customHeight="1">
      <c r="A26" s="1712"/>
      <c r="B26" s="12" t="s">
        <v>2151</v>
      </c>
      <c r="C26" s="1747"/>
      <c r="D26" s="1745"/>
      <c r="E26" s="1743"/>
      <c r="F26" s="1738"/>
      <c r="G26" s="1738"/>
      <c r="H26" s="1738"/>
      <c r="I26" s="1763"/>
      <c r="J26" s="1292" t="s">
        <v>2111</v>
      </c>
    </row>
    <row r="27" spans="1:10" ht="16.5">
      <c r="A27" s="1712"/>
      <c r="B27" s="12" t="s">
        <v>69</v>
      </c>
      <c r="C27" s="1072">
        <f t="shared" si="1"/>
        <v>5.5555555555555552E-2</v>
      </c>
      <c r="D27" s="71">
        <v>5</v>
      </c>
      <c r="E27" s="1128">
        <f>'OR10-资金运用'!M27</f>
        <v>5</v>
      </c>
      <c r="F27" s="1121"/>
      <c r="G27" s="1121"/>
      <c r="H27" s="1121"/>
      <c r="I27" s="1241"/>
      <c r="J27" s="1292" t="s">
        <v>2111</v>
      </c>
    </row>
    <row r="28" spans="1:10" ht="16.5">
      <c r="A28" s="1712"/>
      <c r="B28" s="12" t="s">
        <v>72</v>
      </c>
      <c r="C28" s="1072">
        <f t="shared" si="1"/>
        <v>5.5555555555555552E-2</v>
      </c>
      <c r="D28" s="71">
        <v>1</v>
      </c>
      <c r="E28" s="1128">
        <f>'OR10-资金运用'!M28</f>
        <v>1</v>
      </c>
      <c r="F28" s="1121"/>
      <c r="G28" s="1121"/>
      <c r="H28" s="1121"/>
      <c r="I28" s="1241"/>
      <c r="J28" s="1292" t="s">
        <v>2111</v>
      </c>
    </row>
    <row r="29" spans="1:10" ht="14.25" customHeight="1">
      <c r="A29" s="1712"/>
      <c r="B29" s="12" t="s">
        <v>76</v>
      </c>
      <c r="C29" s="1072">
        <f t="shared" si="1"/>
        <v>5.5555555555555552E-2</v>
      </c>
      <c r="D29" s="71">
        <v>1</v>
      </c>
      <c r="E29" s="1128">
        <f>'OR10-资金运用'!M29</f>
        <v>1</v>
      </c>
      <c r="F29" s="1121"/>
      <c r="G29" s="1121"/>
      <c r="H29" s="1121"/>
      <c r="I29" s="1241"/>
      <c r="J29" s="1292" t="s">
        <v>2111</v>
      </c>
    </row>
    <row r="30" spans="1:10" ht="16.5" customHeight="1">
      <c r="A30" s="1712"/>
      <c r="B30" s="12" t="s">
        <v>79</v>
      </c>
      <c r="C30" s="1072">
        <f t="shared" si="1"/>
        <v>5.5555555555555552E-2</v>
      </c>
      <c r="D30" s="71">
        <v>2</v>
      </c>
      <c r="E30" s="1128">
        <f>'OR10-资金运用'!M30</f>
        <v>2</v>
      </c>
      <c r="F30" s="1121"/>
      <c r="G30" s="1121"/>
      <c r="H30" s="1121"/>
      <c r="I30" s="1241"/>
      <c r="J30" s="1292" t="s">
        <v>2111</v>
      </c>
    </row>
    <row r="31" spans="1:10" ht="16.5">
      <c r="A31" s="1712"/>
      <c r="B31" s="12" t="s">
        <v>83</v>
      </c>
      <c r="C31" s="1072">
        <f t="shared" si="1"/>
        <v>5.5555555555555552E-2</v>
      </c>
      <c r="D31" s="71">
        <v>4</v>
      </c>
      <c r="E31" s="1128">
        <f>'OR10-资金运用'!M31</f>
        <v>4</v>
      </c>
      <c r="F31" s="1121"/>
      <c r="G31" s="1121"/>
      <c r="H31" s="1121"/>
      <c r="I31" s="1241"/>
      <c r="J31" s="1292" t="s">
        <v>2111</v>
      </c>
    </row>
    <row r="32" spans="1:10" ht="14.25" customHeight="1">
      <c r="A32" s="1712"/>
      <c r="B32" s="12" t="s">
        <v>86</v>
      </c>
      <c r="C32" s="1766">
        <f t="shared" si="1"/>
        <v>5.5555555555555552E-2</v>
      </c>
      <c r="D32" s="1744">
        <v>3</v>
      </c>
      <c r="E32" s="1742">
        <f>'OR10-资金运用'!M32</f>
        <v>3</v>
      </c>
      <c r="F32" s="1739"/>
      <c r="G32" s="1739"/>
      <c r="H32" s="1739"/>
      <c r="I32" s="1762"/>
      <c r="J32" s="1292" t="s">
        <v>2111</v>
      </c>
    </row>
    <row r="33" spans="1:10" ht="14.25">
      <c r="A33" s="1712"/>
      <c r="B33" s="12" t="s">
        <v>89</v>
      </c>
      <c r="C33" s="1747"/>
      <c r="D33" s="1745"/>
      <c r="E33" s="1743"/>
      <c r="F33" s="1738"/>
      <c r="G33" s="1738"/>
      <c r="H33" s="1738"/>
      <c r="I33" s="1763"/>
      <c r="J33" s="1292" t="s">
        <v>2111</v>
      </c>
    </row>
    <row r="34" spans="1:10" ht="14.25" customHeight="1">
      <c r="A34" s="1712"/>
      <c r="B34" s="20" t="s">
        <v>90</v>
      </c>
      <c r="C34" s="1072">
        <f t="shared" si="1"/>
        <v>5.5555555555555552E-2</v>
      </c>
      <c r="D34" s="71">
        <v>5</v>
      </c>
      <c r="E34" s="1128">
        <f>'OR10-资金运用'!M34</f>
        <v>5</v>
      </c>
      <c r="F34" s="1121"/>
      <c r="G34" s="1121"/>
      <c r="H34" s="1121"/>
      <c r="I34" s="1241"/>
      <c r="J34" s="1292" t="s">
        <v>2111</v>
      </c>
    </row>
    <row r="35" spans="1:10" ht="16.5">
      <c r="A35" s="1712"/>
      <c r="B35" s="12" t="s">
        <v>94</v>
      </c>
      <c r="C35" s="1072">
        <f t="shared" si="1"/>
        <v>5.5555555555555552E-2</v>
      </c>
      <c r="D35" s="71">
        <v>1</v>
      </c>
      <c r="E35" s="1128">
        <f>'OR10-资金运用'!M35</f>
        <v>1</v>
      </c>
      <c r="F35" s="1121"/>
      <c r="G35" s="1121"/>
      <c r="H35" s="1121"/>
      <c r="I35" s="1241"/>
      <c r="J35" s="1292" t="s">
        <v>2111</v>
      </c>
    </row>
    <row r="36" spans="1:10" ht="14.25" customHeight="1">
      <c r="A36" s="1712"/>
      <c r="B36" s="12" t="s">
        <v>97</v>
      </c>
      <c r="C36" s="1766">
        <f t="shared" si="1"/>
        <v>5.5555555555555552E-2</v>
      </c>
      <c r="D36" s="1744">
        <v>1</v>
      </c>
      <c r="E36" s="1742">
        <f>'OR10-资金运用'!M36</f>
        <v>1</v>
      </c>
      <c r="F36" s="1739"/>
      <c r="G36" s="1739"/>
      <c r="H36" s="1739"/>
      <c r="I36" s="1762"/>
      <c r="J36" s="1292" t="s">
        <v>2111</v>
      </c>
    </row>
    <row r="37" spans="1:10" ht="14.25">
      <c r="A37" s="1712"/>
      <c r="B37" s="12" t="s">
        <v>100</v>
      </c>
      <c r="C37" s="1747"/>
      <c r="D37" s="1745"/>
      <c r="E37" s="1743"/>
      <c r="F37" s="1738"/>
      <c r="G37" s="1738"/>
      <c r="H37" s="1738"/>
      <c r="I37" s="1763"/>
      <c r="J37" s="1292" t="s">
        <v>2111</v>
      </c>
    </row>
    <row r="38" spans="1:10" ht="14.25">
      <c r="A38" s="1712"/>
      <c r="B38" s="12" t="s">
        <v>101</v>
      </c>
      <c r="C38" s="1766">
        <f t="shared" si="1"/>
        <v>5.5555555555555552E-2</v>
      </c>
      <c r="D38" s="1744">
        <v>1</v>
      </c>
      <c r="E38" s="1742">
        <f>'OR10-资金运用'!M38</f>
        <v>1</v>
      </c>
      <c r="F38" s="1739"/>
      <c r="G38" s="1739"/>
      <c r="H38" s="1739"/>
      <c r="I38" s="1762"/>
      <c r="J38" s="1292" t="s">
        <v>2111</v>
      </c>
    </row>
    <row r="39" spans="1:10" ht="14.25">
      <c r="A39" s="1712"/>
      <c r="B39" s="12" t="s">
        <v>104</v>
      </c>
      <c r="C39" s="1747"/>
      <c r="D39" s="1745"/>
      <c r="E39" s="1743"/>
      <c r="F39" s="1738"/>
      <c r="G39" s="1738"/>
      <c r="H39" s="1738"/>
      <c r="I39" s="1763"/>
      <c r="J39" s="1292" t="s">
        <v>2111</v>
      </c>
    </row>
    <row r="40" spans="1:10" ht="14.25">
      <c r="A40" s="1712"/>
      <c r="B40" s="12" t="s">
        <v>105</v>
      </c>
      <c r="C40" s="1766">
        <f t="shared" si="1"/>
        <v>5.5555555555555552E-2</v>
      </c>
      <c r="D40" s="1744">
        <v>1</v>
      </c>
      <c r="E40" s="1742">
        <f>'OR10-资金运用'!M40</f>
        <v>1</v>
      </c>
      <c r="F40" s="1739"/>
      <c r="G40" s="1739"/>
      <c r="H40" s="1739"/>
      <c r="I40" s="1762"/>
      <c r="J40" s="1292" t="s">
        <v>2111</v>
      </c>
    </row>
    <row r="41" spans="1:10" ht="14.25">
      <c r="A41" s="1712"/>
      <c r="B41" s="12" t="s">
        <v>109</v>
      </c>
      <c r="C41" s="1747"/>
      <c r="D41" s="1745"/>
      <c r="E41" s="1743"/>
      <c r="F41" s="1738"/>
      <c r="G41" s="1738"/>
      <c r="H41" s="1738"/>
      <c r="I41" s="1763"/>
      <c r="J41" s="1292" t="s">
        <v>2111</v>
      </c>
    </row>
    <row r="42" spans="1:10" ht="16.5">
      <c r="A42" s="1712"/>
      <c r="B42" s="12" t="s">
        <v>110</v>
      </c>
      <c r="C42" s="1072">
        <f t="shared" si="1"/>
        <v>5.5555555555555552E-2</v>
      </c>
      <c r="D42" s="71">
        <v>5</v>
      </c>
      <c r="E42" s="1128">
        <f>'OR10-资金运用'!M42</f>
        <v>5</v>
      </c>
      <c r="F42" s="1121"/>
      <c r="G42" s="1121"/>
      <c r="H42" s="1121"/>
      <c r="I42" s="1241"/>
      <c r="J42" s="1292" t="s">
        <v>2111</v>
      </c>
    </row>
    <row r="43" spans="1:10" ht="14.25" customHeight="1">
      <c r="A43" s="1712"/>
      <c r="B43" s="12" t="s">
        <v>111</v>
      </c>
      <c r="C43" s="1766">
        <f t="shared" si="1"/>
        <v>5.5555555555555552E-2</v>
      </c>
      <c r="D43" s="1744">
        <v>2</v>
      </c>
      <c r="E43" s="1742">
        <f>'OR10-资金运用'!M43</f>
        <v>2</v>
      </c>
      <c r="F43" s="1739"/>
      <c r="G43" s="1739"/>
      <c r="H43" s="1739"/>
      <c r="I43" s="1762"/>
      <c r="J43" s="1292" t="s">
        <v>2111</v>
      </c>
    </row>
    <row r="44" spans="1:10" ht="14.25">
      <c r="A44" s="1712"/>
      <c r="B44" s="12" t="s">
        <v>114</v>
      </c>
      <c r="C44" s="1747"/>
      <c r="D44" s="1745"/>
      <c r="E44" s="1743"/>
      <c r="F44" s="1738"/>
      <c r="G44" s="1738"/>
      <c r="H44" s="1738"/>
      <c r="I44" s="1763"/>
      <c r="J44" s="1292" t="s">
        <v>2111</v>
      </c>
    </row>
    <row r="45" spans="1:10" ht="14.25">
      <c r="A45" s="1712"/>
      <c r="B45" s="12" t="s">
        <v>115</v>
      </c>
      <c r="C45" s="1766">
        <f t="shared" si="1"/>
        <v>5.5555555555555552E-2</v>
      </c>
      <c r="D45" s="1744">
        <v>1</v>
      </c>
      <c r="E45" s="1742">
        <f>'OR10-资金运用'!M45</f>
        <v>1</v>
      </c>
      <c r="F45" s="1739"/>
      <c r="G45" s="1739"/>
      <c r="H45" s="1739"/>
      <c r="I45" s="1762"/>
      <c r="J45" s="1292" t="s">
        <v>2111</v>
      </c>
    </row>
    <row r="46" spans="1:10" ht="14.25">
      <c r="A46" s="1712"/>
      <c r="B46" s="12" t="s">
        <v>118</v>
      </c>
      <c r="C46" s="1747"/>
      <c r="D46" s="1745"/>
      <c r="E46" s="1743"/>
      <c r="F46" s="1738"/>
      <c r="G46" s="1738"/>
      <c r="H46" s="1738"/>
      <c r="I46" s="1763"/>
      <c r="J46" s="1292" t="s">
        <v>2111</v>
      </c>
    </row>
    <row r="47" spans="1:10" ht="14.25" customHeight="1">
      <c r="A47" s="1712"/>
      <c r="B47" s="12" t="s">
        <v>119</v>
      </c>
      <c r="C47" s="1072">
        <f t="shared" si="1"/>
        <v>5.5555555555555552E-2</v>
      </c>
      <c r="D47" s="71">
        <v>5</v>
      </c>
      <c r="E47" s="1128">
        <f>'OR10-资金运用'!M47</f>
        <v>5</v>
      </c>
      <c r="F47" s="1285"/>
      <c r="G47" s="1285"/>
      <c r="H47" s="1285"/>
      <c r="I47" s="1283"/>
      <c r="J47" s="1292" t="s">
        <v>2111</v>
      </c>
    </row>
    <row r="48" spans="1:10" ht="14.25">
      <c r="A48" s="1712"/>
      <c r="B48" s="12" t="s">
        <v>120</v>
      </c>
      <c r="C48" s="1766">
        <f t="shared" si="1"/>
        <v>5.5555555555555552E-2</v>
      </c>
      <c r="D48" s="1744">
        <v>1</v>
      </c>
      <c r="E48" s="1742">
        <f>'OR10-资金运用'!M48</f>
        <v>1</v>
      </c>
      <c r="F48" s="1739"/>
      <c r="G48" s="1764">
        <f>'OR10-资金运用'!M48</f>
        <v>1</v>
      </c>
      <c r="H48" s="1739"/>
      <c r="I48" s="1762"/>
      <c r="J48" s="1292" t="s">
        <v>2111</v>
      </c>
    </row>
    <row r="49" spans="1:10" ht="14.25" customHeight="1">
      <c r="A49" s="1712"/>
      <c r="B49" s="12" t="s">
        <v>123</v>
      </c>
      <c r="C49" s="1747"/>
      <c r="D49" s="1745"/>
      <c r="E49" s="1743"/>
      <c r="F49" s="1738"/>
      <c r="G49" s="1765"/>
      <c r="H49" s="1738"/>
      <c r="I49" s="1763"/>
      <c r="J49" s="1292" t="s">
        <v>2111</v>
      </c>
    </row>
    <row r="50" spans="1:10" ht="14.25">
      <c r="A50" s="1712"/>
      <c r="B50" s="20" t="s">
        <v>124</v>
      </c>
      <c r="C50" s="1766">
        <f t="shared" si="1"/>
        <v>5.5555555555555552E-2</v>
      </c>
      <c r="D50" s="1744">
        <v>1</v>
      </c>
      <c r="E50" s="1742">
        <f>'OR10-资金运用'!M50</f>
        <v>1</v>
      </c>
      <c r="F50" s="1739"/>
      <c r="G50" s="1739"/>
      <c r="H50" s="1739"/>
      <c r="I50" s="1762"/>
      <c r="J50" s="1292" t="s">
        <v>2111</v>
      </c>
    </row>
    <row r="51" spans="1:10" ht="14.25" customHeight="1">
      <c r="A51" s="1712"/>
      <c r="B51" s="12" t="s">
        <v>127</v>
      </c>
      <c r="C51" s="1747"/>
      <c r="D51" s="1745"/>
      <c r="E51" s="1743"/>
      <c r="F51" s="1738"/>
      <c r="G51" s="1738"/>
      <c r="H51" s="1738"/>
      <c r="I51" s="1763"/>
      <c r="J51" s="1292" t="s">
        <v>2111</v>
      </c>
    </row>
    <row r="52" spans="1:10" ht="16.5">
      <c r="A52" s="1712"/>
      <c r="B52" s="12" t="s">
        <v>130</v>
      </c>
      <c r="C52" s="1072">
        <f t="shared" si="1"/>
        <v>5.5555555555555552E-2</v>
      </c>
      <c r="D52" s="71">
        <v>5</v>
      </c>
      <c r="E52" s="1285"/>
      <c r="F52" s="1285"/>
      <c r="G52" s="1129">
        <f>'OR10-资金运用'!M52</f>
        <v>5</v>
      </c>
      <c r="H52" s="1285"/>
      <c r="I52" s="1283"/>
      <c r="J52" s="1292" t="s">
        <v>2111</v>
      </c>
    </row>
    <row r="53" spans="1:10" ht="16.5">
      <c r="A53" s="1712"/>
      <c r="B53" s="12" t="s">
        <v>131</v>
      </c>
      <c r="C53" s="1280">
        <f t="shared" si="1"/>
        <v>5.5555555555555552E-2</v>
      </c>
      <c r="D53" s="71">
        <v>5</v>
      </c>
      <c r="E53" s="1130">
        <f>'OR10-资金运用'!M53</f>
        <v>5</v>
      </c>
      <c r="F53" s="1285"/>
      <c r="G53" s="1285"/>
      <c r="H53" s="1285"/>
      <c r="I53" s="1283"/>
      <c r="J53" s="1292" t="s">
        <v>2111</v>
      </c>
    </row>
    <row r="54" spans="1:10" ht="14.25" customHeight="1">
      <c r="A54" s="1712"/>
      <c r="B54" s="12" t="s">
        <v>132</v>
      </c>
      <c r="C54" s="1746">
        <f t="shared" si="1"/>
        <v>5.5555555555555552E-2</v>
      </c>
      <c r="D54" s="1744">
        <v>3</v>
      </c>
      <c r="E54" s="1760">
        <f>'OR10-资金运用'!M54</f>
        <v>3</v>
      </c>
      <c r="F54" s="1739"/>
      <c r="G54" s="1739"/>
      <c r="H54" s="1739"/>
      <c r="I54" s="1762"/>
      <c r="J54" s="1292" t="s">
        <v>2111</v>
      </c>
    </row>
    <row r="55" spans="1:10" ht="14.25">
      <c r="A55" s="1712"/>
      <c r="B55" s="12" t="s">
        <v>136</v>
      </c>
      <c r="C55" s="1747"/>
      <c r="D55" s="1745"/>
      <c r="E55" s="1761"/>
      <c r="F55" s="1738"/>
      <c r="G55" s="1738"/>
      <c r="H55" s="1738"/>
      <c r="I55" s="1763"/>
      <c r="J55" s="1292" t="s">
        <v>2111</v>
      </c>
    </row>
    <row r="56" spans="1:10" ht="14.25" customHeight="1">
      <c r="A56" s="1712"/>
      <c r="B56" s="20" t="s">
        <v>137</v>
      </c>
      <c r="C56" s="1072">
        <f t="shared" si="1"/>
        <v>5.5555555555555552E-2</v>
      </c>
      <c r="D56" s="71">
        <v>1</v>
      </c>
      <c r="E56" s="1285"/>
      <c r="F56" s="1285"/>
      <c r="G56" s="1285"/>
      <c r="H56" s="1285"/>
      <c r="I56" s="1239">
        <f>'OR10-资金运用'!M56</f>
        <v>1</v>
      </c>
      <c r="J56" s="1292" t="s">
        <v>2111</v>
      </c>
    </row>
    <row r="57" spans="1:10" ht="16.5">
      <c r="A57" s="1712"/>
      <c r="B57" s="20" t="s">
        <v>138</v>
      </c>
      <c r="C57" s="1072">
        <f t="shared" si="1"/>
        <v>5.5555555555555552E-2</v>
      </c>
      <c r="D57" s="71">
        <v>1</v>
      </c>
      <c r="E57" s="1285"/>
      <c r="F57" s="1285"/>
      <c r="G57" s="1285"/>
      <c r="H57" s="1285"/>
      <c r="I57" s="1239">
        <f>'OR10-资金运用'!M57</f>
        <v>1</v>
      </c>
      <c r="J57" s="1292" t="s">
        <v>2111</v>
      </c>
    </row>
    <row r="58" spans="1:10" ht="16.5">
      <c r="A58" s="1712"/>
      <c r="B58" s="20" t="s">
        <v>139</v>
      </c>
      <c r="C58" s="1072">
        <f t="shared" si="1"/>
        <v>5.5555555555555552E-2</v>
      </c>
      <c r="D58" s="71">
        <v>1</v>
      </c>
      <c r="E58" s="1285"/>
      <c r="F58" s="1285"/>
      <c r="G58" s="1285"/>
      <c r="H58" s="1285"/>
      <c r="I58" s="1239">
        <f>'OR10-资金运用'!M58</f>
        <v>1</v>
      </c>
      <c r="J58" s="1292" t="s">
        <v>2111</v>
      </c>
    </row>
    <row r="59" spans="1:10" ht="14.25" customHeight="1">
      <c r="A59" s="1712"/>
      <c r="B59" s="20" t="s">
        <v>140</v>
      </c>
      <c r="C59" s="1072">
        <f t="shared" si="1"/>
        <v>5.5555555555555552E-2</v>
      </c>
      <c r="D59" s="71">
        <v>2</v>
      </c>
      <c r="E59" s="1285"/>
      <c r="F59" s="1285"/>
      <c r="G59" s="1285"/>
      <c r="H59" s="1285"/>
      <c r="I59" s="1239">
        <f>'OR10-资金运用'!M59</f>
        <v>2</v>
      </c>
      <c r="J59" s="1292" t="s">
        <v>2111</v>
      </c>
    </row>
    <row r="60" spans="1:10" ht="16.5" customHeight="1">
      <c r="A60" s="1712"/>
      <c r="B60" s="20" t="s">
        <v>141</v>
      </c>
      <c r="C60" s="1072">
        <f t="shared" si="1"/>
        <v>5.5555555555555552E-2</v>
      </c>
      <c r="D60" s="71">
        <v>2</v>
      </c>
      <c r="E60" s="1285"/>
      <c r="F60" s="1285"/>
      <c r="G60" s="1285"/>
      <c r="H60" s="1285"/>
      <c r="I60" s="1239">
        <f>'OR10-资金运用'!M60</f>
        <v>2</v>
      </c>
      <c r="J60" s="1292" t="s">
        <v>2111</v>
      </c>
    </row>
    <row r="61" spans="1:10" ht="14.25" customHeight="1">
      <c r="A61" s="1712"/>
      <c r="B61" s="20" t="s">
        <v>142</v>
      </c>
      <c r="C61" s="1072">
        <f t="shared" si="1"/>
        <v>5.5555555555555552E-2</v>
      </c>
      <c r="D61" s="71">
        <v>3</v>
      </c>
      <c r="E61" s="1130">
        <f>'OR10-资金运用'!M61</f>
        <v>3</v>
      </c>
      <c r="F61" s="1121"/>
      <c r="G61" s="1121"/>
      <c r="H61" s="1121"/>
      <c r="I61" s="1241"/>
      <c r="J61" s="1292" t="s">
        <v>2111</v>
      </c>
    </row>
    <row r="62" spans="1:10" ht="16.5" customHeight="1" thickBot="1">
      <c r="A62" s="1713"/>
      <c r="B62" s="1095" t="s">
        <v>145</v>
      </c>
      <c r="C62" s="1096">
        <f t="shared" si="1"/>
        <v>5.5555555555555552E-2</v>
      </c>
      <c r="D62" s="1097">
        <v>2</v>
      </c>
      <c r="E62" s="1131">
        <f>'OR10-资金运用'!M62</f>
        <v>2</v>
      </c>
      <c r="F62" s="1122"/>
      <c r="G62" s="1122"/>
      <c r="H62" s="1122"/>
      <c r="I62" s="1242"/>
      <c r="J62" s="1293" t="s">
        <v>2111</v>
      </c>
    </row>
    <row r="63" spans="1:10" ht="16.5">
      <c r="A63" s="1748" t="s">
        <v>2155</v>
      </c>
      <c r="B63" s="1092" t="s">
        <v>2309</v>
      </c>
      <c r="C63" s="1093">
        <f>1/9</f>
        <v>0.1111111111111111</v>
      </c>
      <c r="D63" s="1094">
        <v>8</v>
      </c>
      <c r="E63" s="1120"/>
      <c r="F63" s="1125">
        <f>'OR15-准备金再保险'!K4*'OR15-准备金再保险'!H4</f>
        <v>6</v>
      </c>
      <c r="G63" s="1120"/>
      <c r="H63" s="1120"/>
      <c r="I63" s="1240"/>
      <c r="J63" s="1291" t="s">
        <v>2111</v>
      </c>
    </row>
    <row r="64" spans="1:10" ht="14.25" customHeight="1">
      <c r="A64" s="1749"/>
      <c r="B64" s="20" t="s">
        <v>199</v>
      </c>
      <c r="C64" s="1072">
        <f t="shared" ref="C64:C73" si="2">1/9</f>
        <v>0.1111111111111111</v>
      </c>
      <c r="D64" s="71">
        <v>9</v>
      </c>
      <c r="E64" s="1121"/>
      <c r="F64" s="1126">
        <f>'OR15-准备金再保险'!H7</f>
        <v>9</v>
      </c>
      <c r="G64" s="1121"/>
      <c r="H64" s="1121"/>
      <c r="I64" s="1241"/>
      <c r="J64" s="1292" t="s">
        <v>2111</v>
      </c>
    </row>
    <row r="65" spans="1:10" ht="16.5" customHeight="1">
      <c r="A65" s="1749"/>
      <c r="B65" s="20" t="s">
        <v>200</v>
      </c>
      <c r="C65" s="1072">
        <f t="shared" si="2"/>
        <v>0.1111111111111111</v>
      </c>
      <c r="D65" s="71">
        <v>9</v>
      </c>
      <c r="E65" s="1121"/>
      <c r="F65" s="1126">
        <f>'OR15-准备金再保险'!H8</f>
        <v>9</v>
      </c>
      <c r="G65" s="1121"/>
      <c r="H65" s="1121"/>
      <c r="I65" s="1241"/>
      <c r="J65" s="1292" t="s">
        <v>2111</v>
      </c>
    </row>
    <row r="66" spans="1:10" ht="16.5" customHeight="1">
      <c r="A66" s="1749"/>
      <c r="B66" s="20" t="s">
        <v>559</v>
      </c>
      <c r="C66" s="1072">
        <f t="shared" si="2"/>
        <v>0.1111111111111111</v>
      </c>
      <c r="D66" s="71">
        <v>9</v>
      </c>
      <c r="E66" s="1121"/>
      <c r="F66" s="1126">
        <f>$D$66*'OR15-准备金再保险'!$K$9</f>
        <v>4.7647058823529411</v>
      </c>
      <c r="G66" s="1121"/>
      <c r="H66" s="1121"/>
      <c r="I66" s="1241"/>
      <c r="J66" s="1292" t="s">
        <v>2457</v>
      </c>
    </row>
    <row r="67" spans="1:10" ht="16.5">
      <c r="A67" s="1749"/>
      <c r="B67" s="20" t="s">
        <v>203</v>
      </c>
      <c r="C67" s="1072">
        <f t="shared" si="2"/>
        <v>0.1111111111111111</v>
      </c>
      <c r="D67" s="71">
        <v>8</v>
      </c>
      <c r="E67" s="1121"/>
      <c r="F67" s="1126">
        <f>'OR15-准备金再保险'!M12</f>
        <v>8</v>
      </c>
      <c r="G67" s="1121"/>
      <c r="H67" s="1121"/>
      <c r="I67" s="1241"/>
      <c r="J67" s="1292" t="s">
        <v>2111</v>
      </c>
    </row>
    <row r="68" spans="1:10" ht="16.5">
      <c r="A68" s="1749"/>
      <c r="B68" s="20" t="s">
        <v>2034</v>
      </c>
      <c r="C68" s="1072">
        <f t="shared" si="2"/>
        <v>0.1111111111111111</v>
      </c>
      <c r="D68" s="71">
        <v>8</v>
      </c>
      <c r="E68" s="1121"/>
      <c r="F68" s="1126">
        <f>'OR15-准备金再保险'!M13</f>
        <v>8</v>
      </c>
      <c r="G68" s="1121"/>
      <c r="H68" s="1121"/>
      <c r="I68" s="1241"/>
      <c r="J68" s="1292" t="s">
        <v>2111</v>
      </c>
    </row>
    <row r="69" spans="1:10" ht="16.5">
      <c r="A69" s="1749"/>
      <c r="B69" s="20" t="s">
        <v>561</v>
      </c>
      <c r="C69" s="1072">
        <f t="shared" si="2"/>
        <v>0.1111111111111111</v>
      </c>
      <c r="D69" s="71">
        <v>10</v>
      </c>
      <c r="E69" s="1121"/>
      <c r="F69" s="1126">
        <f>'OR15-准备金再保险'!M14</f>
        <v>10</v>
      </c>
      <c r="G69" s="1121"/>
      <c r="H69" s="1121"/>
      <c r="I69" s="1241"/>
      <c r="J69" s="1292" t="s">
        <v>2111</v>
      </c>
    </row>
    <row r="70" spans="1:10" ht="14.25" customHeight="1">
      <c r="A70" s="1749"/>
      <c r="B70" s="20" t="s">
        <v>562</v>
      </c>
      <c r="C70" s="1072">
        <f t="shared" si="2"/>
        <v>0.1111111111111111</v>
      </c>
      <c r="D70" s="71">
        <v>10</v>
      </c>
      <c r="E70" s="1121"/>
      <c r="F70" s="1126">
        <f>'OR15-准备金再保险'!M15</f>
        <v>10</v>
      </c>
      <c r="G70" s="1121"/>
      <c r="H70" s="1121"/>
      <c r="I70" s="1241"/>
      <c r="J70" s="1292" t="s">
        <v>2111</v>
      </c>
    </row>
    <row r="71" spans="1:10" ht="16.5">
      <c r="A71" s="1749"/>
      <c r="B71" s="20" t="s">
        <v>563</v>
      </c>
      <c r="C71" s="1072">
        <f t="shared" si="2"/>
        <v>0.1111111111111111</v>
      </c>
      <c r="D71" s="71">
        <v>9</v>
      </c>
      <c r="E71" s="1121"/>
      <c r="F71" s="1126">
        <f>'OR15-准备金再保险'!M16</f>
        <v>9</v>
      </c>
      <c r="G71" s="1121"/>
      <c r="H71" s="1121"/>
      <c r="I71" s="1241"/>
      <c r="J71" s="1292" t="s">
        <v>2111</v>
      </c>
    </row>
    <row r="72" spans="1:10" ht="16.5">
      <c r="A72" s="1749"/>
      <c r="B72" s="20" t="s">
        <v>204</v>
      </c>
      <c r="C72" s="1072">
        <f t="shared" si="2"/>
        <v>0.1111111111111111</v>
      </c>
      <c r="D72" s="71">
        <v>10</v>
      </c>
      <c r="E72" s="1121"/>
      <c r="F72" s="1126">
        <f>'OR15-准备金再保险'!M17</f>
        <v>10</v>
      </c>
      <c r="G72" s="1121"/>
      <c r="H72" s="1121"/>
      <c r="I72" s="1241"/>
      <c r="J72" s="1292" t="s">
        <v>2111</v>
      </c>
    </row>
    <row r="73" spans="1:10" ht="13.5" customHeight="1" thickBot="1">
      <c r="A73" s="1750"/>
      <c r="B73" s="1095" t="s">
        <v>564</v>
      </c>
      <c r="C73" s="1096">
        <f t="shared" si="2"/>
        <v>0.1111111111111111</v>
      </c>
      <c r="D73" s="1097">
        <v>10</v>
      </c>
      <c r="E73" s="1122"/>
      <c r="F73" s="1298">
        <f>'OR15-准备金再保险'!M18</f>
        <v>10</v>
      </c>
      <c r="G73" s="1122"/>
      <c r="H73" s="1122"/>
      <c r="I73" s="1242"/>
      <c r="J73" s="1293" t="s">
        <v>2111</v>
      </c>
    </row>
    <row r="74" spans="1:10" ht="15" customHeight="1">
      <c r="A74" s="1740" t="s">
        <v>2162</v>
      </c>
      <c r="B74" s="1295" t="s">
        <v>2163</v>
      </c>
      <c r="C74" s="1289">
        <v>2.2222222222222223E-2</v>
      </c>
      <c r="D74" s="1296">
        <v>5</v>
      </c>
      <c r="E74" s="1286"/>
      <c r="F74" s="1286"/>
      <c r="G74" s="1288">
        <f>'OR13-分公司财务管理'!M4</f>
        <v>5</v>
      </c>
      <c r="H74" s="1297">
        <f>'OR13-分公司财务管理'!M4</f>
        <v>5</v>
      </c>
      <c r="I74" s="1284"/>
      <c r="J74" s="1290" t="s">
        <v>2111</v>
      </c>
    </row>
    <row r="75" spans="1:10" ht="16.5">
      <c r="A75" s="1712"/>
      <c r="B75" s="79" t="s">
        <v>2093</v>
      </c>
      <c r="C75" s="1072">
        <v>2.2222222222222223E-2</v>
      </c>
      <c r="D75" s="71">
        <v>2</v>
      </c>
      <c r="E75" s="1121"/>
      <c r="F75" s="1121"/>
      <c r="G75" s="1129">
        <f>'OR13-分公司财务管理'!M5</f>
        <v>1.6</v>
      </c>
      <c r="H75" s="1133">
        <f>'OR13-分公司财务管理'!M5</f>
        <v>1.6</v>
      </c>
      <c r="I75" s="1241"/>
      <c r="J75" s="1244" t="s">
        <v>2111</v>
      </c>
    </row>
    <row r="76" spans="1:10" ht="16.5">
      <c r="A76" s="1712"/>
      <c r="B76" s="79" t="s">
        <v>2164</v>
      </c>
      <c r="C76" s="1072">
        <v>2.2222222222222223E-2</v>
      </c>
      <c r="D76" s="71">
        <v>2</v>
      </c>
      <c r="E76" s="1121"/>
      <c r="F76" s="1121"/>
      <c r="G76" s="1129">
        <v>2</v>
      </c>
      <c r="H76" s="1133">
        <v>2</v>
      </c>
      <c r="I76" s="1241"/>
      <c r="J76" s="1244" t="s">
        <v>2112</v>
      </c>
    </row>
    <row r="77" spans="1:10" ht="16.5">
      <c r="A77" s="1712"/>
      <c r="B77" s="79" t="s">
        <v>53</v>
      </c>
      <c r="C77" s="1072">
        <v>2.2222222222222223E-2</v>
      </c>
      <c r="D77" s="71">
        <v>2</v>
      </c>
      <c r="E77" s="1121"/>
      <c r="F77" s="1121"/>
      <c r="G77" s="1129">
        <f>'OR13-分公司财务管理'!M12</f>
        <v>2</v>
      </c>
      <c r="H77" s="1133">
        <f>'OR13-分公司财务管理'!M12</f>
        <v>2</v>
      </c>
      <c r="I77" s="1241"/>
      <c r="J77" s="1244" t="s">
        <v>2111</v>
      </c>
    </row>
    <row r="78" spans="1:10" ht="16.5">
      <c r="A78" s="1712"/>
      <c r="B78" s="79" t="s">
        <v>1366</v>
      </c>
      <c r="C78" s="1072">
        <v>2.2222222222222223E-2</v>
      </c>
      <c r="D78" s="71">
        <v>2</v>
      </c>
      <c r="E78" s="1121"/>
      <c r="F78" s="1121"/>
      <c r="G78" s="1129">
        <f>'OR13-分公司财务管理'!M15</f>
        <v>2</v>
      </c>
      <c r="H78" s="1121"/>
      <c r="I78" s="1241"/>
      <c r="J78" s="1244" t="s">
        <v>2111</v>
      </c>
    </row>
    <row r="79" spans="1:10" ht="16.5">
      <c r="A79" s="1712"/>
      <c r="B79" s="79" t="s">
        <v>156</v>
      </c>
      <c r="C79" s="1072">
        <v>2.2222222222222223E-2</v>
      </c>
      <c r="D79" s="71">
        <v>2</v>
      </c>
      <c r="E79" s="1121"/>
      <c r="F79" s="1121"/>
      <c r="G79" s="1129">
        <f>'OR13-分公司财务管理'!M16</f>
        <v>2</v>
      </c>
      <c r="H79" s="1133">
        <f>'OR13-分公司财务管理'!M16</f>
        <v>2</v>
      </c>
      <c r="I79" s="1241"/>
      <c r="J79" s="1244" t="s">
        <v>2111</v>
      </c>
    </row>
    <row r="80" spans="1:10" ht="16.5">
      <c r="A80" s="1712"/>
      <c r="B80" s="1225" t="s">
        <v>2096</v>
      </c>
      <c r="C80" s="1081">
        <v>2.2222222222222223E-2</v>
      </c>
      <c r="D80" s="71">
        <v>4</v>
      </c>
      <c r="E80" s="1121"/>
      <c r="F80" s="1121"/>
      <c r="G80" s="1121"/>
      <c r="H80" s="1133">
        <f>'OR13-分公司财务管理'!M17</f>
        <v>4</v>
      </c>
      <c r="I80" s="1241"/>
      <c r="J80" s="1244" t="s">
        <v>2111</v>
      </c>
    </row>
    <row r="81" spans="1:10" ht="16.5">
      <c r="A81" s="1712"/>
      <c r="B81" s="1225" t="s">
        <v>2097</v>
      </c>
      <c r="C81" s="1072">
        <v>2.2222222222222223E-2</v>
      </c>
      <c r="D81" s="71">
        <v>6</v>
      </c>
      <c r="E81" s="1121"/>
      <c r="F81" s="1121"/>
      <c r="G81" s="1121"/>
      <c r="H81" s="1133">
        <f>'OR13-分公司财务管理'!M20</f>
        <v>6</v>
      </c>
      <c r="I81" s="1241"/>
      <c r="J81" s="1244" t="s">
        <v>2111</v>
      </c>
    </row>
    <row r="82" spans="1:10" ht="16.5">
      <c r="A82" s="1712"/>
      <c r="B82" s="79" t="s">
        <v>170</v>
      </c>
      <c r="C82" s="1072">
        <v>2.2222222222222223E-2</v>
      </c>
      <c r="D82" s="71">
        <v>1</v>
      </c>
      <c r="E82" s="1121"/>
      <c r="F82" s="1121"/>
      <c r="G82" s="1129">
        <f>'OR13-分公司财务管理'!M22</f>
        <v>0.9</v>
      </c>
      <c r="H82" s="1121"/>
      <c r="I82" s="1241"/>
      <c r="J82" s="1244" t="s">
        <v>2111</v>
      </c>
    </row>
    <row r="83" spans="1:10" ht="16.5">
      <c r="A83" s="1712"/>
      <c r="B83" s="79" t="s">
        <v>1386</v>
      </c>
      <c r="C83" s="1072">
        <v>2.2222222222222223E-2</v>
      </c>
      <c r="D83" s="71">
        <v>3</v>
      </c>
      <c r="E83" s="1121"/>
      <c r="F83" s="1121"/>
      <c r="G83" s="1121"/>
      <c r="H83" s="1133">
        <f>'OR13-分公司财务管理'!M23</f>
        <v>3</v>
      </c>
      <c r="I83" s="1241"/>
      <c r="J83" s="1244" t="s">
        <v>2111</v>
      </c>
    </row>
    <row r="84" spans="1:10" ht="16.5">
      <c r="A84" s="1712"/>
      <c r="B84" s="79" t="s">
        <v>1393</v>
      </c>
      <c r="C84" s="1072">
        <v>2.2222222222222223E-2</v>
      </c>
      <c r="D84" s="71">
        <v>3</v>
      </c>
      <c r="E84" s="1121"/>
      <c r="F84" s="1121"/>
      <c r="G84" s="1121"/>
      <c r="H84" s="1133">
        <f>'OR13-分公司财务管理'!M28</f>
        <v>3</v>
      </c>
      <c r="I84" s="1241"/>
      <c r="J84" s="1244" t="s">
        <v>2111</v>
      </c>
    </row>
    <row r="85" spans="1:10" ht="16.5">
      <c r="A85" s="1712"/>
      <c r="B85" s="79" t="s">
        <v>2165</v>
      </c>
      <c r="C85" s="1072">
        <v>2.2222222222222223E-2</v>
      </c>
      <c r="D85" s="71">
        <v>3</v>
      </c>
      <c r="E85" s="1121"/>
      <c r="F85" s="1121"/>
      <c r="G85" s="1121"/>
      <c r="H85" s="1133">
        <f>'OR13-分公司财务管理'!M32</f>
        <v>2.4</v>
      </c>
      <c r="I85" s="1241"/>
      <c r="J85" s="1244" t="s">
        <v>2111</v>
      </c>
    </row>
    <row r="86" spans="1:10" ht="16.5">
      <c r="A86" s="1712"/>
      <c r="B86" s="1225" t="s">
        <v>2433</v>
      </c>
      <c r="C86" s="1072">
        <v>2.2222222222222223E-2</v>
      </c>
      <c r="D86" s="71">
        <v>10</v>
      </c>
      <c r="E86" s="1121"/>
      <c r="F86" s="1121"/>
      <c r="G86" s="1129">
        <f>'OR13-分公司财务管理'!M35</f>
        <v>9.9499999999999993</v>
      </c>
      <c r="H86" s="1121"/>
      <c r="I86" s="1241"/>
      <c r="J86" s="1244" t="s">
        <v>2111</v>
      </c>
    </row>
    <row r="87" spans="1:10" ht="16.5">
      <c r="A87" s="1712"/>
      <c r="B87" s="79" t="s">
        <v>1405</v>
      </c>
      <c r="C87" s="1072">
        <v>2.2222222222222223E-2</v>
      </c>
      <c r="D87" s="71">
        <v>3</v>
      </c>
      <c r="E87" s="1121"/>
      <c r="F87" s="1121"/>
      <c r="G87" s="1129">
        <f>'OR13-分公司财务管理'!M37</f>
        <v>3</v>
      </c>
      <c r="H87" s="1121"/>
      <c r="I87" s="1241"/>
      <c r="J87" s="1244" t="s">
        <v>2111</v>
      </c>
    </row>
    <row r="88" spans="1:10" ht="16.5">
      <c r="A88" s="1712"/>
      <c r="B88" s="1225" t="s">
        <v>2432</v>
      </c>
      <c r="C88" s="1072">
        <v>2.2222222222222223E-2</v>
      </c>
      <c r="D88" s="71">
        <v>12</v>
      </c>
      <c r="E88" s="1121"/>
      <c r="F88" s="1121"/>
      <c r="G88" s="1121"/>
      <c r="H88" s="1133">
        <f>'OR13-分公司财务管理'!M38</f>
        <v>11.65</v>
      </c>
      <c r="I88" s="1241"/>
      <c r="J88" s="1244" t="s">
        <v>2111</v>
      </c>
    </row>
    <row r="89" spans="1:10" ht="16.5">
      <c r="A89" s="1712"/>
      <c r="B89" s="79" t="s">
        <v>2101</v>
      </c>
      <c r="C89" s="1072">
        <v>2.2222222222222223E-2</v>
      </c>
      <c r="D89" s="71">
        <v>2</v>
      </c>
      <c r="E89" s="1121"/>
      <c r="F89" s="1121"/>
      <c r="G89" s="1129">
        <f>'OR13-分公司财务管理'!M40</f>
        <v>2</v>
      </c>
      <c r="H89" s="1121"/>
      <c r="I89" s="1241"/>
      <c r="J89" s="1244" t="s">
        <v>2111</v>
      </c>
    </row>
    <row r="90" spans="1:10" ht="16.5">
      <c r="A90" s="1712"/>
      <c r="B90" s="79" t="s">
        <v>1411</v>
      </c>
      <c r="C90" s="1072">
        <v>2.2222222222222223E-2</v>
      </c>
      <c r="D90" s="71">
        <v>2</v>
      </c>
      <c r="E90" s="1121"/>
      <c r="F90" s="1121"/>
      <c r="G90" s="1129">
        <f>'OR13-分公司财务管理'!M43</f>
        <v>2</v>
      </c>
      <c r="H90" s="1121"/>
      <c r="I90" s="1241"/>
      <c r="J90" s="1244" t="s">
        <v>2111</v>
      </c>
    </row>
    <row r="91" spans="1:10" ht="16.5">
      <c r="A91" s="1712"/>
      <c r="B91" s="1225" t="s">
        <v>2434</v>
      </c>
      <c r="C91" s="1072">
        <v>2.2222222222222223E-2</v>
      </c>
      <c r="D91" s="71">
        <v>6</v>
      </c>
      <c r="E91" s="1121"/>
      <c r="F91" s="1121"/>
      <c r="G91" s="1129">
        <f>'OR13-分公司财务管理'!M46</f>
        <v>6</v>
      </c>
      <c r="H91" s="1133">
        <f>'OR13-分公司财务管理'!M46</f>
        <v>6</v>
      </c>
      <c r="I91" s="1241"/>
      <c r="J91" s="1244" t="s">
        <v>2111</v>
      </c>
    </row>
    <row r="92" spans="1:10" ht="16.5">
      <c r="A92" s="1712"/>
      <c r="B92" s="1225" t="s">
        <v>181</v>
      </c>
      <c r="C92" s="1072">
        <v>2.2222222222222223E-2</v>
      </c>
      <c r="D92" s="71">
        <v>5</v>
      </c>
      <c r="E92" s="1121"/>
      <c r="F92" s="1121"/>
      <c r="G92" s="1121"/>
      <c r="H92" s="1133">
        <f>'OR13-分公司财务管理'!M48</f>
        <v>5</v>
      </c>
      <c r="I92" s="1241"/>
      <c r="J92" s="1244" t="s">
        <v>2111</v>
      </c>
    </row>
    <row r="93" spans="1:10" ht="16.5">
      <c r="A93" s="1712"/>
      <c r="B93" s="79" t="s">
        <v>2167</v>
      </c>
      <c r="C93" s="1072">
        <v>2.2222222222222223E-2</v>
      </c>
      <c r="D93" s="71">
        <v>0</v>
      </c>
      <c r="E93" s="1124"/>
      <c r="F93" s="1124"/>
      <c r="G93" s="1124"/>
      <c r="H93" s="1124"/>
      <c r="I93" s="1243"/>
      <c r="J93" s="1244" t="s">
        <v>2111</v>
      </c>
    </row>
    <row r="94" spans="1:10" ht="16.5">
      <c r="A94" s="1712"/>
      <c r="B94" s="79" t="s">
        <v>2088</v>
      </c>
      <c r="C94" s="1072">
        <v>2.2222222222222223E-2</v>
      </c>
      <c r="D94" s="71">
        <v>3</v>
      </c>
      <c r="E94" s="1121"/>
      <c r="F94" s="1121"/>
      <c r="G94" s="1129">
        <f>'OR13-分公司财务管理'!M50</f>
        <v>3</v>
      </c>
      <c r="H94" s="1133">
        <f>'OR13-分公司财务管理'!M50</f>
        <v>3</v>
      </c>
      <c r="I94" s="1239">
        <f>'OR13-分公司财务管理'!M50</f>
        <v>3</v>
      </c>
      <c r="J94" s="1244" t="s">
        <v>2111</v>
      </c>
    </row>
    <row r="95" spans="1:10" ht="16.5">
      <c r="A95" s="1712"/>
      <c r="B95" s="79" t="s">
        <v>2089</v>
      </c>
      <c r="C95" s="1072">
        <v>2.2222222222222223E-2</v>
      </c>
      <c r="D95" s="71">
        <v>2</v>
      </c>
      <c r="E95" s="1121"/>
      <c r="F95" s="1121"/>
      <c r="G95" s="1129">
        <f>'OR13-分公司财务管理'!M52</f>
        <v>2</v>
      </c>
      <c r="H95" s="1133">
        <f>'OR13-分公司财务管理'!M52</f>
        <v>2</v>
      </c>
      <c r="I95" s="1239">
        <f>'OR13-分公司财务管理'!M52</f>
        <v>2</v>
      </c>
      <c r="J95" s="1244" t="s">
        <v>2111</v>
      </c>
    </row>
    <row r="96" spans="1:10" ht="17.25" thickBot="1">
      <c r="A96" s="1741"/>
      <c r="B96" s="1225" t="s">
        <v>2168</v>
      </c>
      <c r="C96" s="1280">
        <v>2.2222222222222223E-2</v>
      </c>
      <c r="D96" s="1282">
        <v>10</v>
      </c>
      <c r="E96" s="1285"/>
      <c r="F96" s="1285"/>
      <c r="G96" s="1287">
        <f>MAX($D$96-($D$86-G86)-($D$91-G91),0)</f>
        <v>9.9499999999999993</v>
      </c>
      <c r="H96" s="1369">
        <f>MAX($D$96-($D$81-H81)-($D$91-H91)-($D$88-H88),0)</f>
        <v>9.65</v>
      </c>
      <c r="I96" s="1283"/>
      <c r="J96" s="1299" t="s">
        <v>2223</v>
      </c>
    </row>
    <row r="97" spans="1:10" ht="16.5" customHeight="1">
      <c r="A97" s="1732" t="s">
        <v>2170</v>
      </c>
      <c r="B97" s="1136" t="s">
        <v>2024</v>
      </c>
      <c r="C97" s="1093">
        <f>60%*(1/18)</f>
        <v>3.3333333333333333E-2</v>
      </c>
      <c r="D97" s="1094">
        <v>6</v>
      </c>
      <c r="E97" s="1120"/>
      <c r="F97" s="1120"/>
      <c r="G97" s="1137">
        <v>6</v>
      </c>
      <c r="H97" s="1132">
        <v>6</v>
      </c>
      <c r="I97" s="1240"/>
      <c r="J97" s="1291" t="s">
        <v>2224</v>
      </c>
    </row>
    <row r="98" spans="1:10" ht="16.5">
      <c r="A98" s="1733"/>
      <c r="B98" s="1279" t="s">
        <v>236</v>
      </c>
      <c r="C98" s="1072">
        <f t="shared" ref="C98:C124" si="3">60%*(1/18)</f>
        <v>3.3333333333333333E-2</v>
      </c>
      <c r="D98" s="71">
        <v>4</v>
      </c>
      <c r="E98" s="1121"/>
      <c r="F98" s="1121"/>
      <c r="G98" s="1135">
        <f>'OR12-财务管理'!$P$6</f>
        <v>4</v>
      </c>
      <c r="H98" s="1133">
        <f>'OR12-财务管理'!$P$6</f>
        <v>4</v>
      </c>
      <c r="I98" s="1241"/>
      <c r="J98" s="1292" t="s">
        <v>2111</v>
      </c>
    </row>
    <row r="99" spans="1:10" ht="16.5">
      <c r="A99" s="1733"/>
      <c r="B99" s="1279" t="s">
        <v>2044</v>
      </c>
      <c r="C99" s="1281">
        <f t="shared" si="3"/>
        <v>3.3333333333333333E-2</v>
      </c>
      <c r="D99" s="71">
        <v>2</v>
      </c>
      <c r="E99" s="1121"/>
      <c r="F99" s="1121"/>
      <c r="G99" s="1135">
        <f>'OR12-财务管理'!P7</f>
        <v>2</v>
      </c>
      <c r="H99" s="1133">
        <f>'OR12-财务管理'!P7</f>
        <v>2</v>
      </c>
      <c r="I99" s="1241"/>
      <c r="J99" s="1292" t="s">
        <v>2111</v>
      </c>
    </row>
    <row r="100" spans="1:10" ht="16.5">
      <c r="A100" s="1733"/>
      <c r="B100" s="1279" t="s">
        <v>2046</v>
      </c>
      <c r="C100" s="1072">
        <f t="shared" si="3"/>
        <v>3.3333333333333333E-2</v>
      </c>
      <c r="D100" s="71">
        <v>4</v>
      </c>
      <c r="E100" s="1121"/>
      <c r="F100" s="1121"/>
      <c r="G100" s="1129">
        <f>'OR12-财务管理'!$P$11</f>
        <v>4</v>
      </c>
      <c r="H100" s="1133">
        <f>'OR12-财务管理'!$P$11</f>
        <v>4</v>
      </c>
      <c r="I100" s="1241"/>
      <c r="J100" s="1292" t="s">
        <v>2111</v>
      </c>
    </row>
    <row r="101" spans="1:10" ht="16.5">
      <c r="A101" s="1733"/>
      <c r="B101" s="20" t="s">
        <v>156</v>
      </c>
      <c r="C101" s="1281">
        <f t="shared" si="3"/>
        <v>3.3333333333333333E-2</v>
      </c>
      <c r="D101" s="71">
        <v>4</v>
      </c>
      <c r="E101" s="1121"/>
      <c r="F101" s="1121"/>
      <c r="G101" s="1129">
        <f>'OR12-财务管理'!P14</f>
        <v>4</v>
      </c>
      <c r="H101" s="1133">
        <f>G101</f>
        <v>4</v>
      </c>
      <c r="I101" s="1241"/>
      <c r="J101" s="1292" t="s">
        <v>2111</v>
      </c>
    </row>
    <row r="102" spans="1:10" ht="16.5">
      <c r="A102" s="1733"/>
      <c r="B102" s="20" t="s">
        <v>69</v>
      </c>
      <c r="C102" s="1072">
        <f t="shared" si="3"/>
        <v>3.3333333333333333E-2</v>
      </c>
      <c r="D102" s="71">
        <v>5</v>
      </c>
      <c r="E102" s="1121"/>
      <c r="F102" s="1121"/>
      <c r="G102" s="1129">
        <f>'OR12-财务管理'!P15</f>
        <v>5</v>
      </c>
      <c r="H102" s="1133">
        <f>G102</f>
        <v>5</v>
      </c>
      <c r="I102" s="1241"/>
      <c r="J102" s="1292" t="s">
        <v>2111</v>
      </c>
    </row>
    <row r="103" spans="1:10" ht="16.5">
      <c r="A103" s="1733"/>
      <c r="B103" s="20" t="s">
        <v>161</v>
      </c>
      <c r="C103" s="1072">
        <f t="shared" si="3"/>
        <v>3.3333333333333333E-2</v>
      </c>
      <c r="D103" s="71">
        <v>1</v>
      </c>
      <c r="E103" s="1121"/>
      <c r="F103" s="1121"/>
      <c r="G103" s="1121"/>
      <c r="H103" s="1133">
        <f>'OR12-财务管理'!P16</f>
        <v>1</v>
      </c>
      <c r="I103" s="1241"/>
      <c r="J103" s="1292" t="s">
        <v>2111</v>
      </c>
    </row>
    <row r="104" spans="1:10" ht="16.5">
      <c r="A104" s="1733"/>
      <c r="B104" s="1225" t="s">
        <v>164</v>
      </c>
      <c r="C104" s="1072">
        <f t="shared" si="3"/>
        <v>3.3333333333333333E-2</v>
      </c>
      <c r="D104" s="71">
        <v>4</v>
      </c>
      <c r="E104" s="1121"/>
      <c r="F104" s="1121"/>
      <c r="G104" s="1121"/>
      <c r="H104" s="1133">
        <f>'OR12-财务管理'!P17</f>
        <v>4</v>
      </c>
      <c r="I104" s="1241"/>
      <c r="J104" s="1292" t="s">
        <v>2111</v>
      </c>
    </row>
    <row r="105" spans="1:10" ht="16.5">
      <c r="A105" s="1733"/>
      <c r="B105" s="20" t="s">
        <v>165</v>
      </c>
      <c r="C105" s="1072">
        <f t="shared" si="3"/>
        <v>3.3333333333333333E-2</v>
      </c>
      <c r="D105" s="71">
        <v>1</v>
      </c>
      <c r="E105" s="1121"/>
      <c r="F105" s="1121"/>
      <c r="G105" s="1129">
        <f>'OR12-财务管理'!P18</f>
        <v>1</v>
      </c>
      <c r="H105" s="1121"/>
      <c r="I105" s="1241"/>
      <c r="J105" s="1292" t="s">
        <v>2111</v>
      </c>
    </row>
    <row r="106" spans="1:10" ht="16.5">
      <c r="A106" s="1733"/>
      <c r="B106" s="1225" t="s">
        <v>168</v>
      </c>
      <c r="C106" s="1072">
        <f t="shared" si="3"/>
        <v>3.3333333333333333E-2</v>
      </c>
      <c r="D106" s="71">
        <v>5</v>
      </c>
      <c r="E106" s="1121"/>
      <c r="F106" s="1121"/>
      <c r="G106" s="1129">
        <f>'OR12-财务管理'!P19</f>
        <v>5</v>
      </c>
      <c r="H106" s="1121"/>
      <c r="I106" s="1241"/>
      <c r="J106" s="1292" t="s">
        <v>2111</v>
      </c>
    </row>
    <row r="107" spans="1:10" ht="16.5">
      <c r="A107" s="1733"/>
      <c r="B107" s="1225" t="s">
        <v>169</v>
      </c>
      <c r="C107" s="1072">
        <f t="shared" si="3"/>
        <v>3.3333333333333333E-2</v>
      </c>
      <c r="D107" s="71">
        <v>5</v>
      </c>
      <c r="E107" s="1121"/>
      <c r="F107" s="1121"/>
      <c r="G107" s="1121"/>
      <c r="H107" s="1133">
        <f>'OR12-财务管理'!P19</f>
        <v>5</v>
      </c>
      <c r="I107" s="1241"/>
      <c r="J107" s="1292" t="s">
        <v>2111</v>
      </c>
    </row>
    <row r="108" spans="1:10" ht="16.5">
      <c r="A108" s="1733"/>
      <c r="B108" s="20" t="s">
        <v>238</v>
      </c>
      <c r="C108" s="1072">
        <f t="shared" si="3"/>
        <v>3.3333333333333333E-2</v>
      </c>
      <c r="D108" s="71">
        <v>1</v>
      </c>
      <c r="E108" s="1121"/>
      <c r="F108" s="1121"/>
      <c r="G108" s="1129">
        <f>'OR12-财务管理'!P21</f>
        <v>1</v>
      </c>
      <c r="H108" s="1121"/>
      <c r="I108" s="1241"/>
      <c r="J108" s="1292" t="s">
        <v>2111</v>
      </c>
    </row>
    <row r="109" spans="1:10" ht="16.5">
      <c r="A109" s="1733"/>
      <c r="B109" s="20" t="s">
        <v>170</v>
      </c>
      <c r="C109" s="1072">
        <f t="shared" si="3"/>
        <v>3.3333333333333333E-2</v>
      </c>
      <c r="D109" s="71">
        <v>1</v>
      </c>
      <c r="E109" s="1121"/>
      <c r="F109" s="1121"/>
      <c r="G109" s="1129">
        <f>'OR12-财务管理'!P22</f>
        <v>1</v>
      </c>
      <c r="H109" s="1121"/>
      <c r="I109" s="1241"/>
      <c r="J109" s="1292" t="s">
        <v>2111</v>
      </c>
    </row>
    <row r="110" spans="1:10" ht="16.5">
      <c r="A110" s="1733"/>
      <c r="B110" s="1225" t="s">
        <v>2025</v>
      </c>
      <c r="C110" s="1072">
        <f t="shared" si="3"/>
        <v>3.3333333333333333E-2</v>
      </c>
      <c r="D110" s="71">
        <v>4</v>
      </c>
      <c r="E110" s="1121"/>
      <c r="F110" s="1121"/>
      <c r="G110" s="1129">
        <f>'OR12-财务管理'!P23</f>
        <v>2</v>
      </c>
      <c r="H110" s="1133">
        <f>G110</f>
        <v>2</v>
      </c>
      <c r="I110" s="1241"/>
      <c r="J110" s="1292" t="s">
        <v>2111</v>
      </c>
    </row>
    <row r="111" spans="1:10" ht="16.5">
      <c r="A111" s="1733"/>
      <c r="B111" s="20" t="s">
        <v>239</v>
      </c>
      <c r="C111" s="1072">
        <f t="shared" si="3"/>
        <v>3.3333333333333333E-2</v>
      </c>
      <c r="D111" s="71">
        <v>1</v>
      </c>
      <c r="E111" s="1121"/>
      <c r="F111" s="1121"/>
      <c r="G111" s="1129">
        <f>'OR12-财务管理'!P24</f>
        <v>1</v>
      </c>
      <c r="H111" s="1121"/>
      <c r="I111" s="1241"/>
      <c r="J111" s="1292" t="s">
        <v>2111</v>
      </c>
    </row>
    <row r="112" spans="1:10" ht="16.5">
      <c r="A112" s="1733"/>
      <c r="B112" s="469" t="s">
        <v>2032</v>
      </c>
      <c r="C112" s="1072">
        <f>60%*(1/18)</f>
        <v>3.3333333333333333E-2</v>
      </c>
      <c r="D112" s="71">
        <v>3</v>
      </c>
      <c r="E112" s="1121"/>
      <c r="F112" s="1121"/>
      <c r="G112" s="1129">
        <f>'OR12-财务管理'!P25</f>
        <v>3</v>
      </c>
      <c r="H112" s="1121"/>
      <c r="I112" s="1241"/>
      <c r="J112" s="1292" t="s">
        <v>2111</v>
      </c>
    </row>
    <row r="113" spans="1:10" ht="16.5">
      <c r="A113" s="1733"/>
      <c r="B113" s="20" t="s">
        <v>240</v>
      </c>
      <c r="C113" s="1072">
        <f t="shared" si="3"/>
        <v>3.3333333333333333E-2</v>
      </c>
      <c r="D113" s="71">
        <v>1</v>
      </c>
      <c r="E113" s="1121"/>
      <c r="F113" s="1121"/>
      <c r="G113" s="1121"/>
      <c r="H113" s="1133">
        <f>'OR12-财务管理'!P28</f>
        <v>1</v>
      </c>
      <c r="I113" s="1241"/>
      <c r="J113" s="1292" t="s">
        <v>2111</v>
      </c>
    </row>
    <row r="114" spans="1:10" ht="16.5">
      <c r="A114" s="1733"/>
      <c r="B114" s="1225" t="s">
        <v>177</v>
      </c>
      <c r="C114" s="1072">
        <f t="shared" si="3"/>
        <v>3.3333333333333333E-2</v>
      </c>
      <c r="D114" s="71">
        <v>3</v>
      </c>
      <c r="E114" s="1121"/>
      <c r="F114" s="1121"/>
      <c r="G114" s="1121"/>
      <c r="H114" s="1133">
        <f>'OR12-财务管理'!P29</f>
        <v>3</v>
      </c>
      <c r="I114" s="1241"/>
      <c r="J114" s="1292" t="s">
        <v>2111</v>
      </c>
    </row>
    <row r="115" spans="1:10" ht="16.5">
      <c r="A115" s="1733"/>
      <c r="B115" s="20" t="s">
        <v>178</v>
      </c>
      <c r="C115" s="1281">
        <f t="shared" si="3"/>
        <v>3.3333333333333333E-2</v>
      </c>
      <c r="D115" s="71">
        <v>1</v>
      </c>
      <c r="E115" s="1121"/>
      <c r="F115" s="1121"/>
      <c r="G115" s="1121"/>
      <c r="H115" s="1133">
        <f>'OR12-财务管理'!P30</f>
        <v>1</v>
      </c>
      <c r="I115" s="1241"/>
      <c r="J115" s="1292" t="s">
        <v>2111</v>
      </c>
    </row>
    <row r="116" spans="1:10" ht="16.5">
      <c r="A116" s="1733"/>
      <c r="B116" s="1225" t="s">
        <v>181</v>
      </c>
      <c r="C116" s="1072">
        <f t="shared" si="3"/>
        <v>3.3333333333333333E-2</v>
      </c>
      <c r="D116" s="71">
        <v>4</v>
      </c>
      <c r="E116" s="1121"/>
      <c r="F116" s="1121"/>
      <c r="G116" s="1121"/>
      <c r="H116" s="1133">
        <f>'OR12-财务管理'!P31</f>
        <v>4</v>
      </c>
      <c r="I116" s="1241"/>
      <c r="J116" s="1292" t="s">
        <v>2111</v>
      </c>
    </row>
    <row r="117" spans="1:10" ht="16.5">
      <c r="A117" s="1733"/>
      <c r="B117" s="20" t="s">
        <v>182</v>
      </c>
      <c r="C117" s="1281">
        <f t="shared" si="3"/>
        <v>3.3333333333333333E-2</v>
      </c>
      <c r="D117" s="71">
        <v>2</v>
      </c>
      <c r="E117" s="1121"/>
      <c r="F117" s="1121"/>
      <c r="G117" s="1121"/>
      <c r="H117" s="1133">
        <f>'OR12-财务管理'!P32</f>
        <v>2</v>
      </c>
      <c r="I117" s="1241"/>
      <c r="J117" s="1292" t="s">
        <v>2111</v>
      </c>
    </row>
    <row r="118" spans="1:10" ht="16.5">
      <c r="A118" s="1733"/>
      <c r="B118" s="20" t="s">
        <v>139</v>
      </c>
      <c r="C118" s="1072">
        <f t="shared" si="3"/>
        <v>3.3333333333333333E-2</v>
      </c>
      <c r="D118" s="71">
        <v>4</v>
      </c>
      <c r="E118" s="1121"/>
      <c r="F118" s="1121"/>
      <c r="G118" s="1121"/>
      <c r="H118" s="1133">
        <f>'OR12-财务管理'!P33</f>
        <v>4</v>
      </c>
      <c r="I118" s="1241"/>
      <c r="J118" s="1292" t="s">
        <v>2111</v>
      </c>
    </row>
    <row r="119" spans="1:10" ht="16.5">
      <c r="A119" s="1733"/>
      <c r="B119" s="20" t="s">
        <v>185</v>
      </c>
      <c r="C119" s="1072">
        <f t="shared" si="3"/>
        <v>3.3333333333333333E-2</v>
      </c>
      <c r="D119" s="71">
        <v>3</v>
      </c>
      <c r="E119" s="1121"/>
      <c r="F119" s="1121"/>
      <c r="G119" s="1121"/>
      <c r="H119" s="1133">
        <f>'OR12-财务管理'!P34</f>
        <v>3</v>
      </c>
      <c r="I119" s="1241"/>
      <c r="J119" s="1292" t="s">
        <v>2111</v>
      </c>
    </row>
    <row r="120" spans="1:10" ht="16.5">
      <c r="A120" s="1733"/>
      <c r="B120" s="20" t="s">
        <v>188</v>
      </c>
      <c r="C120" s="1072">
        <f t="shared" si="3"/>
        <v>3.3333333333333333E-2</v>
      </c>
      <c r="D120" s="71">
        <v>3</v>
      </c>
      <c r="E120" s="1121"/>
      <c r="F120" s="1121"/>
      <c r="G120" s="1121"/>
      <c r="H120" s="1133">
        <f>'OR12-财务管理'!P35</f>
        <v>3</v>
      </c>
      <c r="I120" s="1241"/>
      <c r="J120" s="1292" t="s">
        <v>2111</v>
      </c>
    </row>
    <row r="121" spans="1:10" ht="16.5">
      <c r="A121" s="1733"/>
      <c r="B121" s="20" t="s">
        <v>2047</v>
      </c>
      <c r="C121" s="1072">
        <f t="shared" si="3"/>
        <v>3.3333333333333333E-2</v>
      </c>
      <c r="D121" s="71">
        <v>3</v>
      </c>
      <c r="E121" s="1121"/>
      <c r="F121" s="1121"/>
      <c r="G121" s="1121"/>
      <c r="H121" s="1133">
        <f>'OR12-财务管理'!P36</f>
        <v>3</v>
      </c>
      <c r="I121" s="1371">
        <f>H121</f>
        <v>3</v>
      </c>
      <c r="J121" s="1292" t="s">
        <v>2111</v>
      </c>
    </row>
    <row r="122" spans="1:10" ht="16.5">
      <c r="A122" s="1733"/>
      <c r="B122" s="20" t="s">
        <v>142</v>
      </c>
      <c r="C122" s="1072">
        <f t="shared" si="3"/>
        <v>3.3333333333333333E-2</v>
      </c>
      <c r="D122" s="71">
        <v>3</v>
      </c>
      <c r="E122" s="1121"/>
      <c r="F122" s="1121"/>
      <c r="G122" s="1129">
        <f>'OR12-财务管理'!P39</f>
        <v>3</v>
      </c>
      <c r="H122" s="1133">
        <f>G122</f>
        <v>3</v>
      </c>
      <c r="I122" s="1241"/>
      <c r="J122" s="1292" t="s">
        <v>2111</v>
      </c>
    </row>
    <row r="123" spans="1:10" ht="16.5">
      <c r="A123" s="1733"/>
      <c r="B123" s="60" t="s">
        <v>145</v>
      </c>
      <c r="C123" s="1072">
        <f t="shared" si="3"/>
        <v>3.3333333333333333E-2</v>
      </c>
      <c r="D123" s="1282">
        <v>2</v>
      </c>
      <c r="E123" s="1121"/>
      <c r="F123" s="1121"/>
      <c r="G123" s="1129">
        <f>'OR12-财务管理'!P40</f>
        <v>2</v>
      </c>
      <c r="H123" s="1133">
        <f>G123</f>
        <v>2</v>
      </c>
      <c r="I123" s="1241"/>
      <c r="J123" s="1292" t="s">
        <v>2111</v>
      </c>
    </row>
    <row r="124" spans="1:10" ht="17.25" thickBot="1">
      <c r="A124" s="1734"/>
      <c r="B124" s="1095" t="s">
        <v>718</v>
      </c>
      <c r="C124" s="1096">
        <f t="shared" si="3"/>
        <v>3.3333333333333333E-2</v>
      </c>
      <c r="D124" s="1097">
        <v>10</v>
      </c>
      <c r="E124" s="1122"/>
      <c r="F124" s="1122"/>
      <c r="G124" s="1134">
        <f>MAX($D$124-($D$106-G106)-($D$110-G110),0)</f>
        <v>8</v>
      </c>
      <c r="H124" s="1134">
        <f>MAX($D$124-($D$107-H107)-($D$110-H110)-($D$114-H114)-($D$116-H116),0)</f>
        <v>8</v>
      </c>
      <c r="I124" s="1242"/>
      <c r="J124" s="1293" t="s">
        <v>2111</v>
      </c>
    </row>
    <row r="125" spans="1:10" ht="13.5" customHeight="1" thickBot="1">
      <c r="A125" s="1735" t="s">
        <v>1871</v>
      </c>
      <c r="B125" s="1736"/>
      <c r="C125" s="1160">
        <f>1/18</f>
        <v>5.5555555555555552E-2</v>
      </c>
      <c r="D125" s="1300">
        <v>98.05</v>
      </c>
      <c r="E125" s="1123"/>
      <c r="F125" s="1123"/>
      <c r="G125" s="1123"/>
      <c r="H125" s="1123"/>
      <c r="I125" s="1370">
        <f>信息系统!K137</f>
        <v>89.679999999999993</v>
      </c>
      <c r="J125" s="1294" t="s">
        <v>2111</v>
      </c>
    </row>
    <row r="126" spans="1:10" ht="15">
      <c r="C126" s="1138"/>
      <c r="D126" s="1087" t="s">
        <v>1613</v>
      </c>
      <c r="E126" s="1250">
        <f>SUMPRODUCT(C11:C51,D11:D51)+SUMPRODUCT(C53:C55,D53:D55)+SUMPRODUCT(C61:C62,E61:E62)</f>
        <v>3.7777777777777768</v>
      </c>
      <c r="F126" s="1250">
        <f>SUMPRODUCT(C63:C73,D63:D73)</f>
        <v>11.111111111111109</v>
      </c>
      <c r="G126" s="1250">
        <f>C48*D48+C52*D52+SUMPRODUCT(C74:C79,D74:D79)+C82*D82+SUMPRODUCT(C86:C87,D86:D87)+SUMPRODUCT(C89:C90,D89:D90)+C91*D91+SUMPRODUCT(C94:C102,D94:D102)+C105*D105+C106*D106+C108*D108+C109*D109+SUMPRODUCT(C110:C112,D110:D112)+SUMPRODUCT(C122:C124,D122:D124)</f>
        <v>3.3999999999999995</v>
      </c>
      <c r="H126" s="1250">
        <f>SUMPRODUCT(C113:C124,D113:D124)+C110*D110+C107*D107+SUMPRODUCT(C91:C104,D91:D104)+C88*D88+SUMPRODUCT(C83:C85,D83:D85)+C81*D81+SUMPRODUCT(C79:C80,D79:D80)+SUMPRODUCT(C74:C77,D74:D77)</f>
        <v>4.1555555555555559</v>
      </c>
      <c r="I126" s="1250">
        <f>SUMPRODUCT(C2:C10,D2:D10)+SUMPRODUCT(C56:C60,D56:D60)+SUMPRODUCT(C94:C95,D94:D95)+C121*D121+C125*D125</f>
        <v>6.6083333333333334</v>
      </c>
    </row>
    <row r="127" spans="1:10" ht="15">
      <c r="D127" s="1087" t="s">
        <v>2173</v>
      </c>
      <c r="E127" s="1250">
        <f>SUMPRODUCT($C$2:$C$125,E2:E125)</f>
        <v>3.7777777777777763</v>
      </c>
      <c r="F127" s="1250">
        <f>SUMPRODUCT($C$2:$C$125,F2:F125)</f>
        <v>10.41830065359477</v>
      </c>
      <c r="G127" s="1250">
        <f>SUMPRODUCT($C$2:$C$125,G2:G125)</f>
        <v>3.253333333333333</v>
      </c>
      <c r="H127" s="1250">
        <f>SUMPRODUCT($C$2:$C$125,H2:H125)</f>
        <v>3.9844444444444447</v>
      </c>
      <c r="I127" s="1250">
        <f>SUMPRODUCT($C$2:$C$125,I2:I125)</f>
        <v>6.1433333333333326</v>
      </c>
    </row>
    <row r="128" spans="1:10" ht="15">
      <c r="D128" s="1087" t="s">
        <v>1600</v>
      </c>
      <c r="E128" s="1250">
        <f>E127/E126*100</f>
        <v>99.999999999999986</v>
      </c>
      <c r="F128" s="1250">
        <f>F127/F126*100</f>
        <v>93.764705882352956</v>
      </c>
      <c r="G128" s="1250">
        <f>G127/G126*100</f>
        <v>95.686274509803923</v>
      </c>
      <c r="H128" s="1250">
        <f>H127/H126*100</f>
        <v>95.882352941176464</v>
      </c>
      <c r="I128" s="1250">
        <f>I127/I126*100</f>
        <v>92.963430012610331</v>
      </c>
    </row>
    <row r="133" spans="1:5" ht="15">
      <c r="C133" s="1140" t="s">
        <v>1170</v>
      </c>
      <c r="D133" s="1141">
        <f>VALUE($E$128)</f>
        <v>99.999999999999986</v>
      </c>
    </row>
    <row r="134" spans="1:5" ht="15">
      <c r="C134" s="1140" t="s">
        <v>2154</v>
      </c>
      <c r="D134" s="1142">
        <f>VALUE($F$128)</f>
        <v>93.764705882352956</v>
      </c>
    </row>
    <row r="135" spans="1:5" ht="15">
      <c r="A135" s="1139"/>
      <c r="B135" s="1139"/>
      <c r="C135" s="1140" t="s">
        <v>1618</v>
      </c>
      <c r="D135" s="1142">
        <f>VALUE($H$128)</f>
        <v>95.882352941176464</v>
      </c>
      <c r="E135" s="1139"/>
    </row>
    <row r="136" spans="1:5" ht="15">
      <c r="C136" s="1140" t="s">
        <v>1439</v>
      </c>
      <c r="D136" s="1142">
        <f>VALUE($G$128)</f>
        <v>95.686274509803923</v>
      </c>
    </row>
    <row r="137" spans="1:5" ht="15">
      <c r="C137" s="1140" t="s">
        <v>1438</v>
      </c>
      <c r="D137" s="1142">
        <f>VALUE($I$128)</f>
        <v>92.963430012610331</v>
      </c>
    </row>
    <row r="139" spans="1:5">
      <c r="A139" s="843" t="s">
        <v>2336</v>
      </c>
    </row>
    <row r="140" spans="1:5">
      <c r="A140" s="843" t="s">
        <v>2332</v>
      </c>
    </row>
    <row r="141" spans="1:5">
      <c r="A141" s="843" t="s">
        <v>2334</v>
      </c>
    </row>
    <row r="142" spans="1:5">
      <c r="A142" s="843" t="s">
        <v>2333</v>
      </c>
    </row>
  </sheetData>
  <sortState ref="C134:D137">
    <sortCondition descending="1" ref="D133"/>
  </sortState>
  <mergeCells count="119">
    <mergeCell ref="C14:C15"/>
    <mergeCell ref="C18:C19"/>
    <mergeCell ref="C21:C22"/>
    <mergeCell ref="C23:C24"/>
    <mergeCell ref="D50:D51"/>
    <mergeCell ref="D45:D46"/>
    <mergeCell ref="D48:D49"/>
    <mergeCell ref="D40:D41"/>
    <mergeCell ref="D43:D44"/>
    <mergeCell ref="D36:D37"/>
    <mergeCell ref="D38:D39"/>
    <mergeCell ref="D25:D26"/>
    <mergeCell ref="D32:D33"/>
    <mergeCell ref="D21:D22"/>
    <mergeCell ref="D23:D24"/>
    <mergeCell ref="D14:D15"/>
    <mergeCell ref="D18:D19"/>
    <mergeCell ref="C50:C51"/>
    <mergeCell ref="C48:C49"/>
    <mergeCell ref="C45:C46"/>
    <mergeCell ref="C43:C44"/>
    <mergeCell ref="C38:C39"/>
    <mergeCell ref="C36:C37"/>
    <mergeCell ref="C32:C33"/>
    <mergeCell ref="C25:C26"/>
    <mergeCell ref="C40:C41"/>
    <mergeCell ref="I18:I19"/>
    <mergeCell ref="G14:G15"/>
    <mergeCell ref="H14:H15"/>
    <mergeCell ref="F14:F15"/>
    <mergeCell ref="I14:I15"/>
    <mergeCell ref="E18:E19"/>
    <mergeCell ref="G18:G19"/>
    <mergeCell ref="H18:H19"/>
    <mergeCell ref="F18:F19"/>
    <mergeCell ref="E14:E15"/>
    <mergeCell ref="I21:I22"/>
    <mergeCell ref="I23:I24"/>
    <mergeCell ref="E25:E26"/>
    <mergeCell ref="G25:G26"/>
    <mergeCell ref="H25:H26"/>
    <mergeCell ref="F25:F26"/>
    <mergeCell ref="I25:I26"/>
    <mergeCell ref="E23:E24"/>
    <mergeCell ref="G23:G24"/>
    <mergeCell ref="H23:H24"/>
    <mergeCell ref="F23:F24"/>
    <mergeCell ref="E21:E22"/>
    <mergeCell ref="H21:H22"/>
    <mergeCell ref="F21:F22"/>
    <mergeCell ref="I38:I39"/>
    <mergeCell ref="E36:E37"/>
    <mergeCell ref="G36:G37"/>
    <mergeCell ref="H36:H37"/>
    <mergeCell ref="F36:F37"/>
    <mergeCell ref="I36:I37"/>
    <mergeCell ref="I32:I33"/>
    <mergeCell ref="E32:E33"/>
    <mergeCell ref="G32:G33"/>
    <mergeCell ref="H32:H33"/>
    <mergeCell ref="F32:F33"/>
    <mergeCell ref="I45:I46"/>
    <mergeCell ref="E43:E44"/>
    <mergeCell ref="G43:G44"/>
    <mergeCell ref="H43:H44"/>
    <mergeCell ref="F43:F44"/>
    <mergeCell ref="E40:E41"/>
    <mergeCell ref="G40:G41"/>
    <mergeCell ref="H40:H41"/>
    <mergeCell ref="F40:F41"/>
    <mergeCell ref="I40:I41"/>
    <mergeCell ref="I2:I3"/>
    <mergeCell ref="I4:I5"/>
    <mergeCell ref="A8:A10"/>
    <mergeCell ref="A2:A6"/>
    <mergeCell ref="D2:D3"/>
    <mergeCell ref="D4:D5"/>
    <mergeCell ref="C2:C3"/>
    <mergeCell ref="C4:C5"/>
    <mergeCell ref="E54:E55"/>
    <mergeCell ref="G54:G55"/>
    <mergeCell ref="H54:H55"/>
    <mergeCell ref="F54:F55"/>
    <mergeCell ref="I43:I44"/>
    <mergeCell ref="I54:I55"/>
    <mergeCell ref="E50:E51"/>
    <mergeCell ref="G50:G51"/>
    <mergeCell ref="H50:H51"/>
    <mergeCell ref="F50:F51"/>
    <mergeCell ref="I50:I51"/>
    <mergeCell ref="E48:E49"/>
    <mergeCell ref="H48:H49"/>
    <mergeCell ref="F48:F49"/>
    <mergeCell ref="I48:I49"/>
    <mergeCell ref="G48:G49"/>
    <mergeCell ref="A97:A124"/>
    <mergeCell ref="A125:B125"/>
    <mergeCell ref="E2:E3"/>
    <mergeCell ref="G2:G3"/>
    <mergeCell ref="H2:H3"/>
    <mergeCell ref="F2:F3"/>
    <mergeCell ref="E4:E5"/>
    <mergeCell ref="G4:G5"/>
    <mergeCell ref="H4:H5"/>
    <mergeCell ref="F4:F5"/>
    <mergeCell ref="A74:A96"/>
    <mergeCell ref="E45:E46"/>
    <mergeCell ref="G45:G46"/>
    <mergeCell ref="H45:H46"/>
    <mergeCell ref="F45:F46"/>
    <mergeCell ref="E38:E39"/>
    <mergeCell ref="G38:G39"/>
    <mergeCell ref="H38:H39"/>
    <mergeCell ref="F38:F39"/>
    <mergeCell ref="A11:A62"/>
    <mergeCell ref="D54:D55"/>
    <mergeCell ref="C54:C55"/>
    <mergeCell ref="A63:A73"/>
    <mergeCell ref="G21:G22"/>
  </mergeCells>
  <phoneticPr fontId="3" type="noConversion"/>
  <conditionalFormatting sqref="I2:I10">
    <cfRule type="cellIs" dxfId="339" priority="42" operator="lessThan">
      <formula>D2</formula>
    </cfRule>
  </conditionalFormatting>
  <conditionalFormatting sqref="E11:E51">
    <cfRule type="cellIs" dxfId="338" priority="41" operator="lessThan">
      <formula>D11</formula>
    </cfRule>
  </conditionalFormatting>
  <conditionalFormatting sqref="G48:G49">
    <cfRule type="cellIs" dxfId="337" priority="40" operator="lessThan">
      <formula>$D$48</formula>
    </cfRule>
  </conditionalFormatting>
  <conditionalFormatting sqref="G52">
    <cfRule type="cellIs" dxfId="336" priority="39" operator="lessThan">
      <formula>$D$52</formula>
    </cfRule>
  </conditionalFormatting>
  <conditionalFormatting sqref="E53:E55">
    <cfRule type="cellIs" dxfId="335" priority="38" operator="lessThan">
      <formula>D53</formula>
    </cfRule>
  </conditionalFormatting>
  <conditionalFormatting sqref="I56:I60">
    <cfRule type="cellIs" dxfId="334" priority="37" operator="lessThan">
      <formula>D56</formula>
    </cfRule>
  </conditionalFormatting>
  <conditionalFormatting sqref="E61:E62">
    <cfRule type="cellIs" dxfId="333" priority="36" operator="lessThan">
      <formula>D61</formula>
    </cfRule>
  </conditionalFormatting>
  <conditionalFormatting sqref="F63:F73">
    <cfRule type="cellIs" dxfId="332" priority="35" operator="lessThan">
      <formula>D63</formula>
    </cfRule>
  </conditionalFormatting>
  <conditionalFormatting sqref="G74:G79">
    <cfRule type="cellIs" dxfId="331" priority="34" operator="lessThan">
      <formula>D74</formula>
    </cfRule>
  </conditionalFormatting>
  <conditionalFormatting sqref="H79">
    <cfRule type="cellIs" dxfId="330" priority="32" operator="lessThan">
      <formula>$D$79</formula>
    </cfRule>
  </conditionalFormatting>
  <conditionalFormatting sqref="H80">
    <cfRule type="cellIs" dxfId="329" priority="31" operator="lessThan">
      <formula>$D$80</formula>
    </cfRule>
  </conditionalFormatting>
  <conditionalFormatting sqref="G82">
    <cfRule type="cellIs" dxfId="328" priority="30" operator="lessThan">
      <formula>$D$82</formula>
    </cfRule>
  </conditionalFormatting>
  <conditionalFormatting sqref="H83:H85 H94:H104 H113:H124">
    <cfRule type="cellIs" dxfId="327" priority="29" operator="lessThan">
      <formula>D83</formula>
    </cfRule>
  </conditionalFormatting>
  <conditionalFormatting sqref="G86">
    <cfRule type="cellIs" dxfId="326" priority="27" operator="lessThan">
      <formula>D86</formula>
    </cfRule>
  </conditionalFormatting>
  <conditionalFormatting sqref="G87">
    <cfRule type="cellIs" dxfId="325" priority="26" operator="lessThan">
      <formula>D87</formula>
    </cfRule>
  </conditionalFormatting>
  <conditionalFormatting sqref="H88">
    <cfRule type="cellIs" dxfId="324" priority="24" operator="lessThan">
      <formula>D88</formula>
    </cfRule>
  </conditionalFormatting>
  <conditionalFormatting sqref="G89:G90">
    <cfRule type="cellIs" dxfId="323" priority="23" operator="lessThan">
      <formula>D89</formula>
    </cfRule>
  </conditionalFormatting>
  <conditionalFormatting sqref="G91:H91">
    <cfRule type="cellIs" dxfId="322" priority="21" operator="lessThan">
      <formula>6</formula>
    </cfRule>
  </conditionalFormatting>
  <conditionalFormatting sqref="H92">
    <cfRule type="cellIs" dxfId="321" priority="19" operator="lessThan">
      <formula>5</formula>
    </cfRule>
  </conditionalFormatting>
  <conditionalFormatting sqref="G94:H102">
    <cfRule type="cellIs" dxfId="320" priority="18" operator="lessThan">
      <formula>D94</formula>
    </cfRule>
  </conditionalFormatting>
  <conditionalFormatting sqref="H74:H77">
    <cfRule type="cellIs" dxfId="319" priority="17" operator="lessThan">
      <formula>D74</formula>
    </cfRule>
  </conditionalFormatting>
  <conditionalFormatting sqref="I94:I95">
    <cfRule type="cellIs" dxfId="318" priority="15" operator="lessThan">
      <formula>D94</formula>
    </cfRule>
  </conditionalFormatting>
  <conditionalFormatting sqref="G105">
    <cfRule type="cellIs" dxfId="317" priority="13" operator="lessThan">
      <formula>$D$105</formula>
    </cfRule>
    <cfRule type="cellIs" dxfId="316" priority="14" operator="greaterThan">
      <formula>$D$105</formula>
    </cfRule>
  </conditionalFormatting>
  <conditionalFormatting sqref="G106">
    <cfRule type="cellIs" dxfId="315" priority="11" operator="lessThan">
      <formula>$D$106</formula>
    </cfRule>
  </conditionalFormatting>
  <conditionalFormatting sqref="H107">
    <cfRule type="cellIs" dxfId="314" priority="9" operator="lessThan">
      <formula>$D$107</formula>
    </cfRule>
  </conditionalFormatting>
  <conditionalFormatting sqref="G108:G109">
    <cfRule type="cellIs" dxfId="313" priority="8" operator="lessThan">
      <formula>$D$108</formula>
    </cfRule>
  </conditionalFormatting>
  <conditionalFormatting sqref="G110:H110">
    <cfRule type="cellIs" dxfId="312" priority="6" operator="lessThan">
      <formula>$D$110</formula>
    </cfRule>
  </conditionalFormatting>
  <conditionalFormatting sqref="G111:G112">
    <cfRule type="cellIs" dxfId="311" priority="5" operator="lessThan">
      <formula>D111</formula>
    </cfRule>
  </conditionalFormatting>
  <conditionalFormatting sqref="G122:G124 H124">
    <cfRule type="cellIs" dxfId="310" priority="3" operator="lessThan">
      <formula>D122</formula>
    </cfRule>
  </conditionalFormatting>
  <conditionalFormatting sqref="I121">
    <cfRule type="cellIs" dxfId="309" priority="2" operator="lessThan">
      <formula>$D$121</formula>
    </cfRule>
  </conditionalFormatting>
  <conditionalFormatting sqref="I125">
    <cfRule type="cellIs" dxfId="308" priority="1" operator="lessThan">
      <formula>$D$125</formula>
    </cfRule>
  </conditionalFormatting>
  <hyperlinks>
    <hyperlink ref="A139" location="绩效总分!A1" display="绩效总分"/>
    <hyperlink ref="A140" location="'总公司绩效-II'!A1" display="总公司绩效-II"/>
    <hyperlink ref="A141" location="分公司绩效!A1" display="分公司绩效"/>
    <hyperlink ref="A142" location="目录!A1" display="目录"/>
  </hyperlinks>
  <pageMargins left="0.7" right="0.7" top="0.75" bottom="0.75" header="0.3" footer="0.3"/>
  <ignoredErrors>
    <ignoredError sqref="F126" formulaRange="1"/>
  </ignoredErrors>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A132"/>
  <sheetViews>
    <sheetView workbookViewId="0">
      <pane xSplit="4" ySplit="1" topLeftCell="E41" activePane="bottomRight" state="frozenSplit"/>
      <selection pane="topRight" activeCell="P1" sqref="P1"/>
      <selection pane="bottomLeft" activeCell="A15" sqref="A15"/>
      <selection pane="bottomRight" activeCell="B93" sqref="B93"/>
    </sheetView>
  </sheetViews>
  <sheetFormatPr defaultRowHeight="13.5"/>
  <cols>
    <col min="1" max="1" width="8" customWidth="1"/>
    <col min="2" max="2" width="48.125" customWidth="1"/>
    <col min="3" max="3" width="9.25" bestFit="1" customWidth="1"/>
    <col min="4" max="4" width="8.375" customWidth="1"/>
    <col min="5" max="5" width="7.25" customWidth="1"/>
    <col min="6" max="8" width="7.25" bestFit="1" customWidth="1"/>
    <col min="9" max="10" width="7.25" customWidth="1"/>
    <col min="11" max="14" width="7.25" bestFit="1" customWidth="1"/>
    <col min="15" max="15" width="14.375" customWidth="1"/>
    <col min="16" max="16" width="13.125" style="1033" bestFit="1" customWidth="1"/>
    <col min="17" max="17" width="13.125" style="1033" customWidth="1"/>
    <col min="18" max="19" width="6" customWidth="1"/>
    <col min="21" max="21" width="7.75" customWidth="1"/>
    <col min="22" max="22" width="8.875" customWidth="1"/>
    <col min="23" max="23" width="7.875" customWidth="1"/>
    <col min="26" max="26" width="6.875" customWidth="1"/>
  </cols>
  <sheetData>
    <row r="1" spans="1:17" ht="15">
      <c r="A1" s="757" t="s">
        <v>2055</v>
      </c>
      <c r="B1" s="757" t="s">
        <v>2056</v>
      </c>
      <c r="C1" s="757" t="s">
        <v>2057</v>
      </c>
      <c r="D1" s="757" t="s">
        <v>2058</v>
      </c>
      <c r="E1" s="1035" t="s">
        <v>1173</v>
      </c>
      <c r="F1" s="1035" t="s">
        <v>1174</v>
      </c>
      <c r="G1" s="1035" t="s">
        <v>1175</v>
      </c>
      <c r="H1" s="1035" t="s">
        <v>1176</v>
      </c>
      <c r="I1" s="1035" t="s">
        <v>1177</v>
      </c>
      <c r="J1" s="1035" t="s">
        <v>1178</v>
      </c>
      <c r="K1" s="1035" t="s">
        <v>1179</v>
      </c>
      <c r="L1" s="1035" t="s">
        <v>1180</v>
      </c>
      <c r="M1" s="1035" t="s">
        <v>1181</v>
      </c>
      <c r="N1" s="1035" t="s">
        <v>1182</v>
      </c>
      <c r="O1" s="668" t="s">
        <v>2114</v>
      </c>
    </row>
    <row r="2" spans="1:17" ht="14.25">
      <c r="A2" s="1777" t="s">
        <v>2133</v>
      </c>
      <c r="B2" s="1063" t="s">
        <v>1192</v>
      </c>
      <c r="C2" s="1064">
        <f t="shared" ref="C2:C61" si="0">70%*(1/18)</f>
        <v>3.8888888888888883E-2</v>
      </c>
      <c r="D2" s="1058">
        <v>3</v>
      </c>
      <c r="E2" s="1363">
        <v>3</v>
      </c>
      <c r="F2" s="1363">
        <v>3</v>
      </c>
      <c r="G2" s="1363">
        <v>3</v>
      </c>
      <c r="H2" s="1363">
        <v>3</v>
      </c>
      <c r="I2" s="1363">
        <v>3</v>
      </c>
      <c r="J2" s="1363">
        <v>3</v>
      </c>
      <c r="K2" s="1363">
        <v>3</v>
      </c>
      <c r="L2" s="1363">
        <v>3</v>
      </c>
      <c r="M2" s="1363">
        <v>3</v>
      </c>
      <c r="N2" s="1363">
        <v>3</v>
      </c>
      <c r="O2" s="1041" t="s">
        <v>2112</v>
      </c>
      <c r="P2" s="1031"/>
      <c r="Q2" s="1031"/>
    </row>
    <row r="3" spans="1:17" ht="14.25">
      <c r="A3" s="1778"/>
      <c r="B3" s="1063" t="s">
        <v>2059</v>
      </c>
      <c r="C3" s="1064">
        <f t="shared" si="0"/>
        <v>3.8888888888888883E-2</v>
      </c>
      <c r="D3" s="1058">
        <v>2</v>
      </c>
      <c r="E3" s="1363">
        <v>2</v>
      </c>
      <c r="F3" s="1363">
        <v>2</v>
      </c>
      <c r="G3" s="1363">
        <v>2</v>
      </c>
      <c r="H3" s="1363">
        <v>2</v>
      </c>
      <c r="I3" s="1363">
        <v>2</v>
      </c>
      <c r="J3" s="1363">
        <v>2</v>
      </c>
      <c r="K3" s="1363">
        <v>2</v>
      </c>
      <c r="L3" s="1363">
        <v>2</v>
      </c>
      <c r="M3" s="1363">
        <v>2</v>
      </c>
      <c r="N3" s="1363">
        <v>2</v>
      </c>
      <c r="O3" s="1041" t="s">
        <v>2112</v>
      </c>
      <c r="P3" s="1031"/>
      <c r="Q3" s="1031"/>
    </row>
    <row r="4" spans="1:17" ht="14.25">
      <c r="A4" s="1778"/>
      <c r="B4" s="1063" t="s">
        <v>2060</v>
      </c>
      <c r="C4" s="1064">
        <f t="shared" si="0"/>
        <v>3.8888888888888883E-2</v>
      </c>
      <c r="D4" s="1058">
        <v>3</v>
      </c>
      <c r="E4" s="1041">
        <f>'OR04-分公司销售、承保、保全'!Y10</f>
        <v>1.5</v>
      </c>
      <c r="F4" s="1041">
        <f>'OR04-分公司销售、承保、保全'!AG10</f>
        <v>1.5</v>
      </c>
      <c r="G4" s="1041">
        <f>'OR04-分公司销售、承保、保全'!AN10</f>
        <v>3</v>
      </c>
      <c r="H4" s="1041">
        <f>'OR04-分公司销售、承保、保全'!AV10</f>
        <v>1.5</v>
      </c>
      <c r="I4" s="1041">
        <f>'OR04-分公司销售、承保、保全'!BD10</f>
        <v>1.5</v>
      </c>
      <c r="J4" s="1041">
        <f>'OR04-分公司销售、承保、保全'!BL10</f>
        <v>1.5</v>
      </c>
      <c r="K4" s="1041">
        <f>'OR04-分公司销售、承保、保全'!BT10</f>
        <v>0</v>
      </c>
      <c r="L4" s="1041">
        <f>'OR04-分公司销售、承保、保全'!CB10</f>
        <v>0</v>
      </c>
      <c r="M4" s="1041">
        <f>'OR04-分公司销售、承保、保全'!CJ10</f>
        <v>0</v>
      </c>
      <c r="N4" s="1041">
        <f>'OR04-分公司销售、承保、保全'!CR10</f>
        <v>0</v>
      </c>
      <c r="O4" s="1041" t="s">
        <v>2113</v>
      </c>
    </row>
    <row r="5" spans="1:17" ht="14.25">
      <c r="A5" s="1778"/>
      <c r="B5" s="1063" t="s">
        <v>2061</v>
      </c>
      <c r="C5" s="1064">
        <f t="shared" si="0"/>
        <v>3.8888888888888883E-2</v>
      </c>
      <c r="D5" s="1058">
        <v>3</v>
      </c>
      <c r="E5" s="1041">
        <f>'OR04-分公司销售、承保、保全'!Y14</f>
        <v>3</v>
      </c>
      <c r="F5" s="1041">
        <f>'OR04-分公司销售、承保、保全'!AG14</f>
        <v>3</v>
      </c>
      <c r="G5" s="1041">
        <f>'OR04-分公司销售、承保、保全'!AN14</f>
        <v>3</v>
      </c>
      <c r="H5" s="1041">
        <f>'OR04-分公司销售、承保、保全'!AV14</f>
        <v>3</v>
      </c>
      <c r="I5" s="1041">
        <f>'OR04-分公司销售、承保、保全'!BD14</f>
        <v>3</v>
      </c>
      <c r="J5" s="1041">
        <f>'OR04-分公司销售、承保、保全'!BL14</f>
        <v>3</v>
      </c>
      <c r="K5" s="1041">
        <f>'OR04-分公司销售、承保、保全'!BT14</f>
        <v>3</v>
      </c>
      <c r="L5" s="1041">
        <f>'OR04-分公司销售、承保、保全'!CB14</f>
        <v>3</v>
      </c>
      <c r="M5" s="1041">
        <f>'OR04-分公司销售、承保、保全'!CJ14</f>
        <v>3</v>
      </c>
      <c r="N5" s="1041">
        <f>'OR04-分公司销售、承保、保全'!CR14</f>
        <v>3</v>
      </c>
      <c r="O5" s="1041" t="s">
        <v>2113</v>
      </c>
    </row>
    <row r="6" spans="1:17" ht="14.25">
      <c r="A6" s="1778"/>
      <c r="B6" s="1063" t="s">
        <v>2062</v>
      </c>
      <c r="C6" s="1064">
        <f t="shared" si="0"/>
        <v>3.8888888888888883E-2</v>
      </c>
      <c r="D6" s="1058">
        <v>4</v>
      </c>
      <c r="E6" s="1041">
        <f>'OR04-分公司销售、承保、保全'!Y15</f>
        <v>4</v>
      </c>
      <c r="F6" s="1041">
        <f>'OR04-分公司销售、承保、保全'!AG15</f>
        <v>4</v>
      </c>
      <c r="G6" s="1041">
        <f>'OR04-分公司销售、承保、保全'!AN15</f>
        <v>4</v>
      </c>
      <c r="H6" s="1041">
        <f>'OR04-分公司销售、承保、保全'!AV15</f>
        <v>4</v>
      </c>
      <c r="I6" s="1041">
        <f>'OR04-分公司销售、承保、保全'!BD15</f>
        <v>4</v>
      </c>
      <c r="J6" s="1041">
        <f>'OR04-分公司销售、承保、保全'!BL15</f>
        <v>4</v>
      </c>
      <c r="K6" s="1041">
        <f>'OR04-分公司销售、承保、保全'!BT15</f>
        <v>4</v>
      </c>
      <c r="L6" s="1041">
        <f>'OR04-分公司销售、承保、保全'!CB15</f>
        <v>4</v>
      </c>
      <c r="M6" s="1041">
        <f>'OR04-分公司销售、承保、保全'!CJ15</f>
        <v>4</v>
      </c>
      <c r="N6" s="1041">
        <f>'OR04-分公司销售、承保、保全'!CR15</f>
        <v>4</v>
      </c>
      <c r="O6" s="1041" t="s">
        <v>2113</v>
      </c>
    </row>
    <row r="7" spans="1:17" ht="14.25">
      <c r="A7" s="1778"/>
      <c r="B7" s="1063" t="s">
        <v>2063</v>
      </c>
      <c r="C7" s="1064">
        <f t="shared" si="0"/>
        <v>3.8888888888888883E-2</v>
      </c>
      <c r="D7" s="1058">
        <v>1</v>
      </c>
      <c r="E7" s="1041">
        <f>'OR04-分公司销售、承保、保全'!Y16</f>
        <v>1</v>
      </c>
      <c r="F7" s="1041">
        <f>'OR04-分公司销售、承保、保全'!AG16</f>
        <v>1</v>
      </c>
      <c r="G7" s="1041">
        <f>'OR04-分公司销售、承保、保全'!AN16</f>
        <v>1</v>
      </c>
      <c r="H7" s="1041">
        <f>'OR04-分公司销售、承保、保全'!AV16</f>
        <v>1</v>
      </c>
      <c r="I7" s="1041">
        <f>'OR04-分公司销售、承保、保全'!BD16</f>
        <v>1</v>
      </c>
      <c r="J7" s="1041">
        <f>'OR04-分公司销售、承保、保全'!BL16</f>
        <v>1</v>
      </c>
      <c r="K7" s="1041">
        <f>'OR04-分公司销售、承保、保全'!BT16</f>
        <v>1</v>
      </c>
      <c r="L7" s="1041">
        <f>'OR04-分公司销售、承保、保全'!CB16</f>
        <v>1</v>
      </c>
      <c r="M7" s="1041">
        <f>'OR04-分公司销售、承保、保全'!CJ16</f>
        <v>1</v>
      </c>
      <c r="N7" s="1041">
        <f>'OR04-分公司销售、承保、保全'!CR16</f>
        <v>1</v>
      </c>
      <c r="O7" s="1041" t="s">
        <v>2113</v>
      </c>
    </row>
    <row r="8" spans="1:17" ht="14.25">
      <c r="A8" s="1778"/>
      <c r="B8" s="1063" t="s">
        <v>2064</v>
      </c>
      <c r="C8" s="1064">
        <f t="shared" si="0"/>
        <v>3.8888888888888883E-2</v>
      </c>
      <c r="D8" s="1058">
        <v>2</v>
      </c>
      <c r="E8" s="1065">
        <f>'OR04-分公司销售、承保、保全'!Y19</f>
        <v>2</v>
      </c>
      <c r="F8" s="1065">
        <f>'OR04-分公司销售、承保、保全'!AG19</f>
        <v>2</v>
      </c>
      <c r="G8" s="1065">
        <f>'OR04-分公司销售、承保、保全'!AN19</f>
        <v>2</v>
      </c>
      <c r="H8" s="1065">
        <f>'OR04-分公司销售、承保、保全'!AV22</f>
        <v>2</v>
      </c>
      <c r="I8" s="1065">
        <f>'OR04-分公司销售、承保、保全'!BD19</f>
        <v>2</v>
      </c>
      <c r="J8" s="1065">
        <f>'OR04-分公司销售、承保、保全'!BL19</f>
        <v>2</v>
      </c>
      <c r="K8" s="1065">
        <f>'OR04-分公司销售、承保、保全'!BT19</f>
        <v>2</v>
      </c>
      <c r="L8" s="1065">
        <f>'OR04-分公司销售、承保、保全'!CB19</f>
        <v>2</v>
      </c>
      <c r="M8" s="1065">
        <f>'OR04-分公司销售、承保、保全'!CJ19</f>
        <v>2</v>
      </c>
      <c r="N8" s="1065">
        <f>'OR04-分公司销售、承保、保全'!CR19</f>
        <v>2</v>
      </c>
      <c r="O8" s="1041" t="s">
        <v>2113</v>
      </c>
    </row>
    <row r="9" spans="1:17" ht="14.25">
      <c r="A9" s="1778"/>
      <c r="B9" s="1063" t="s">
        <v>2065</v>
      </c>
      <c r="C9" s="1064">
        <f t="shared" si="0"/>
        <v>3.8888888888888883E-2</v>
      </c>
      <c r="D9" s="1058">
        <v>2</v>
      </c>
      <c r="E9" s="1065">
        <f>'OR04-分公司销售、承保、保全'!Y22</f>
        <v>2</v>
      </c>
      <c r="F9" s="1065">
        <f>'OR04-分公司销售、承保、保全'!AG22</f>
        <v>2</v>
      </c>
      <c r="G9" s="1065">
        <f>'OR04-分公司销售、承保、保全'!AN22</f>
        <v>2</v>
      </c>
      <c r="H9" s="1065">
        <f>'OR04-分公司销售、承保、保全'!AV22</f>
        <v>2</v>
      </c>
      <c r="I9" s="1065">
        <f>'OR04-分公司销售、承保、保全'!BD22</f>
        <v>2</v>
      </c>
      <c r="J9" s="1065">
        <f>'OR04-分公司销售、承保、保全'!BL22</f>
        <v>2</v>
      </c>
      <c r="K9" s="1065">
        <f>'OR04-分公司销售、承保、保全'!BT22</f>
        <v>2</v>
      </c>
      <c r="L9" s="1065">
        <f>'OR04-分公司销售、承保、保全'!CB22</f>
        <v>2</v>
      </c>
      <c r="M9" s="1065">
        <f>'OR04-分公司销售、承保、保全'!CJ22</f>
        <v>2</v>
      </c>
      <c r="N9" s="1065">
        <f>'OR04-分公司销售、承保、保全'!CR22</f>
        <v>2</v>
      </c>
      <c r="O9" s="1041" t="s">
        <v>2113</v>
      </c>
    </row>
    <row r="10" spans="1:17" ht="14.25">
      <c r="A10" s="1778"/>
      <c r="B10" s="1063" t="s">
        <v>2066</v>
      </c>
      <c r="C10" s="1064">
        <f t="shared" si="0"/>
        <v>3.8888888888888883E-2</v>
      </c>
      <c r="D10" s="1058">
        <v>2</v>
      </c>
      <c r="E10" s="1066">
        <f>'OR04-分公司销售、承保、保全'!Y25</f>
        <v>1.4</v>
      </c>
      <c r="F10" s="1066">
        <f>'OR04-分公司销售、承保、保全'!AG25</f>
        <v>0.44884488448844884</v>
      </c>
      <c r="G10" s="1066">
        <f>'OR04-分公司销售、承保、保全'!AN25</f>
        <v>0.48322147651006714</v>
      </c>
      <c r="H10" s="1066">
        <f>'OR04-分公司销售、承保、保全'!AV25</f>
        <v>0.33628318584070799</v>
      </c>
      <c r="I10" s="1066">
        <f>'OR04-分公司销售、承保、保全'!BD25</f>
        <v>0.76344086021505375</v>
      </c>
      <c r="J10" s="1066">
        <f>'OR04-分公司销售、承保、保全'!BL25</f>
        <v>0.50691244239631339</v>
      </c>
      <c r="K10" s="1066">
        <f>'OR04-分公司销售、承保、保全'!BT25</f>
        <v>0.45</v>
      </c>
      <c r="L10" s="1066">
        <f>'OR04-分公司销售、承保、保全'!CB25</f>
        <v>0.59259259259259256</v>
      </c>
      <c r="M10" s="1066">
        <f>'OR04-分公司销售、承保、保全'!CJ25</f>
        <v>0.31386861313868614</v>
      </c>
      <c r="N10" s="1066">
        <f>'OR04-分公司销售、承保、保全'!CR25</f>
        <v>0.42276422764227645</v>
      </c>
      <c r="O10" s="1041" t="s">
        <v>2113</v>
      </c>
    </row>
    <row r="11" spans="1:17" ht="14.25">
      <c r="A11" s="1778"/>
      <c r="B11" s="1063" t="s">
        <v>1998</v>
      </c>
      <c r="C11" s="1113"/>
      <c r="D11" s="1058"/>
      <c r="E11" s="1041">
        <f>'OR04-分公司销售、承保、保全'!W28</f>
        <v>1</v>
      </c>
      <c r="F11" s="1041">
        <f>'OR04-分公司销售、承保、保全'!AE28</f>
        <v>3</v>
      </c>
      <c r="G11" s="1041">
        <f>'OR04-分公司销售、承保、保全'!AM28</f>
        <v>1</v>
      </c>
      <c r="H11" s="1041">
        <f>'OR04-分公司销售、承保、保全'!AU28</f>
        <v>1</v>
      </c>
      <c r="I11" s="1041">
        <f>'OR04-分公司销售、承保、保全'!BC28</f>
        <v>3</v>
      </c>
      <c r="J11" s="1041">
        <f>'OR04-分公司销售、承保、保全'!BK28</f>
        <v>3</v>
      </c>
      <c r="K11" s="1041">
        <f>'OR04-分公司销售、承保、保全'!BS28</f>
        <v>0</v>
      </c>
      <c r="L11" s="1041">
        <f>'OR04-分公司销售、承保、保全'!CA28</f>
        <v>2</v>
      </c>
      <c r="M11" s="1041">
        <f>'OR04-分公司销售、承保、保全'!CI28</f>
        <v>0</v>
      </c>
      <c r="N11" s="1041">
        <f>'OR04-分公司销售、承保、保全'!CQ28</f>
        <v>1</v>
      </c>
      <c r="O11" s="1041" t="s">
        <v>2116</v>
      </c>
    </row>
    <row r="12" spans="1:17" ht="14.25">
      <c r="A12" s="1778"/>
      <c r="B12" s="1063" t="s">
        <v>2408</v>
      </c>
      <c r="C12" s="1113"/>
      <c r="D12" s="1058"/>
      <c r="E12" s="1041">
        <f>'OR04-分公司销售、承保、保全'!W29</f>
        <v>0</v>
      </c>
      <c r="F12" s="1041">
        <f>'OR04-分公司销售、承保、保全'!AE29</f>
        <v>0</v>
      </c>
      <c r="G12" s="1041">
        <f>'OR04-分公司销售、承保、保全'!AM29</f>
        <v>0</v>
      </c>
      <c r="H12" s="1065">
        <f>'OR04-分公司销售、承保、保全'!AU29</f>
        <v>2</v>
      </c>
      <c r="I12" s="1041">
        <f>'OR04-分公司销售、承保、保全'!BC29</f>
        <v>0</v>
      </c>
      <c r="J12" s="1041">
        <f>'OR04-分公司销售、承保、保全'!BK29</f>
        <v>0</v>
      </c>
      <c r="K12" s="1041">
        <f>'OR04-分公司销售、承保、保全'!BS29</f>
        <v>0</v>
      </c>
      <c r="L12" s="1041">
        <f>'OR04-分公司销售、承保、保全'!CA29</f>
        <v>0</v>
      </c>
      <c r="M12" s="1041">
        <f>'OR04-分公司销售、承保、保全'!CI29</f>
        <v>0</v>
      </c>
      <c r="N12" s="1041">
        <f>'OR04-分公司销售、承保、保全'!CQ29</f>
        <v>0</v>
      </c>
      <c r="O12" s="1041" t="s">
        <v>2115</v>
      </c>
    </row>
    <row r="13" spans="1:17" ht="14.25">
      <c r="A13" s="1778"/>
      <c r="B13" s="1063"/>
      <c r="C13" s="1083">
        <f t="shared" si="0"/>
        <v>3.8888888888888883E-2</v>
      </c>
      <c r="D13" s="1058">
        <v>6</v>
      </c>
      <c r="E13" s="1041">
        <f>'OR04-分公司销售、承保、保全'!Y28</f>
        <v>5.5</v>
      </c>
      <c r="F13" s="1041">
        <f>'OR04-分公司销售、承保、保全'!AG28</f>
        <v>4.5</v>
      </c>
      <c r="G13" s="1041">
        <f>'OR04-分公司销售、承保、保全'!AN28</f>
        <v>5.5</v>
      </c>
      <c r="H13" s="1041">
        <f>'OR04-分公司销售、承保、保全'!AV28</f>
        <v>1.5</v>
      </c>
      <c r="I13" s="1041">
        <f>'OR04-分公司销售、承保、保全'!BD28</f>
        <v>4.5</v>
      </c>
      <c r="J13" s="1041">
        <f>'OR04-分公司销售、承保、保全'!BL28</f>
        <v>4.5</v>
      </c>
      <c r="K13" s="1041">
        <f>'OR04-分公司销售、承保、保全'!BT28</f>
        <v>6</v>
      </c>
      <c r="L13" s="1041">
        <f>'OR04-分公司销售、承保、保全'!CB28</f>
        <v>5</v>
      </c>
      <c r="M13" s="1041">
        <f>'OR04-分公司销售、承保、保全'!CJ28</f>
        <v>6</v>
      </c>
      <c r="N13" s="1041">
        <f>'OR04-分公司销售、承保、保全'!CR28</f>
        <v>5.5</v>
      </c>
      <c r="O13" s="1041" t="s">
        <v>2113</v>
      </c>
    </row>
    <row r="14" spans="1:17" ht="14.25">
      <c r="A14" s="1778"/>
      <c r="B14" s="1063" t="s">
        <v>1232</v>
      </c>
      <c r="C14" s="1113"/>
      <c r="D14" s="1058"/>
      <c r="E14" s="1041">
        <f>'OR04-分公司销售、承保、保全'!W30</f>
        <v>0</v>
      </c>
      <c r="F14" s="1041">
        <f>'OR04-分公司销售、承保、保全'!AE30</f>
        <v>0</v>
      </c>
      <c r="G14" s="1041">
        <f>'OR04-分公司销售、承保、保全'!AM30</f>
        <v>0</v>
      </c>
      <c r="H14" s="1065">
        <f>'OR04-分公司销售、承保、保全'!AU30</f>
        <v>0</v>
      </c>
      <c r="I14" s="1065">
        <f>'OR04-分公司销售、承保、保全'!BC30</f>
        <v>0</v>
      </c>
      <c r="J14" s="1041">
        <f>'OR04-分公司销售、承保、保全'!BK30</f>
        <v>0</v>
      </c>
      <c r="K14" s="1041">
        <f>'OR04-分公司销售、承保、保全'!BS30</f>
        <v>0</v>
      </c>
      <c r="L14" s="1041">
        <f>'OR04-分公司销售、承保、保全'!CA30</f>
        <v>0</v>
      </c>
      <c r="M14" s="1041">
        <f>'OR04-分公司销售、承保、保全'!CI30</f>
        <v>0</v>
      </c>
      <c r="N14" s="1065">
        <f>'OR04-分公司销售、承保、保全'!CQ30</f>
        <v>0</v>
      </c>
      <c r="O14" s="1041" t="s">
        <v>2115</v>
      </c>
    </row>
    <row r="15" spans="1:17" ht="14.25">
      <c r="A15" s="1778"/>
      <c r="B15" s="1063" t="s">
        <v>1234</v>
      </c>
      <c r="C15" s="1359"/>
      <c r="D15" s="1058"/>
      <c r="E15" s="1041">
        <f>'OR04-分公司销售、承保、保全'!W31</f>
        <v>0</v>
      </c>
      <c r="F15" s="1041">
        <f>'OR04-分公司销售、承保、保全'!AE31</f>
        <v>0</v>
      </c>
      <c r="G15" s="1041">
        <f>'OR04-分公司销售、承保、保全'!AM31</f>
        <v>0</v>
      </c>
      <c r="H15" s="1065">
        <f>'OR04-分公司销售、承保、保全'!AU31</f>
        <v>0</v>
      </c>
      <c r="I15" s="1065">
        <f>'OR04-分公司销售、承保、保全'!BC31</f>
        <v>0</v>
      </c>
      <c r="J15" s="1041">
        <f>'OR04-分公司销售、承保、保全'!BK31</f>
        <v>0</v>
      </c>
      <c r="K15" s="1041">
        <f>'OR04-分公司销售、承保、保全'!BS31</f>
        <v>0</v>
      </c>
      <c r="L15" s="1041">
        <f>'OR04-分公司销售、承保、保全'!CA31</f>
        <v>0</v>
      </c>
      <c r="M15" s="1041">
        <f>'OR04-分公司销售、承保、保全'!CI31</f>
        <v>0</v>
      </c>
      <c r="N15" s="1065">
        <f>'OR04-分公司销售、承保、保全'!CQ31</f>
        <v>0</v>
      </c>
      <c r="O15" s="1041" t="s">
        <v>2115</v>
      </c>
    </row>
    <row r="16" spans="1:17" ht="14.25">
      <c r="A16" s="1778"/>
      <c r="B16" s="1063"/>
      <c r="C16" s="1083">
        <f t="shared" si="0"/>
        <v>3.8888888888888883E-2</v>
      </c>
      <c r="D16" s="1058">
        <v>6</v>
      </c>
      <c r="E16" s="1041">
        <f>'OR04-分公司销售、承保、保全'!Y30</f>
        <v>6</v>
      </c>
      <c r="F16" s="1041">
        <f>'OR04-分公司销售、承保、保全'!AG30</f>
        <v>6</v>
      </c>
      <c r="G16" s="1041">
        <f>'OR04-分公司销售、承保、保全'!AN30</f>
        <v>6</v>
      </c>
      <c r="H16" s="1041">
        <f>'OR04-分公司销售、承保、保全'!AV30</f>
        <v>6</v>
      </c>
      <c r="I16" s="1041">
        <f>'OR04-分公司销售、承保、保全'!BD30</f>
        <v>6</v>
      </c>
      <c r="J16" s="1041">
        <f>'OR04-分公司销售、承保、保全'!BL30</f>
        <v>6</v>
      </c>
      <c r="K16" s="1041">
        <f>'OR04-分公司销售、承保、保全'!BT30</f>
        <v>6</v>
      </c>
      <c r="L16" s="1041">
        <f>'OR04-分公司销售、承保、保全'!CB30</f>
        <v>6</v>
      </c>
      <c r="M16" s="1041">
        <f>'OR04-分公司销售、承保、保全'!CJ30</f>
        <v>6</v>
      </c>
      <c r="N16" s="1041">
        <f>'OR04-分公司销售、承保、保全'!CR30</f>
        <v>6</v>
      </c>
      <c r="O16" s="1041" t="s">
        <v>2113</v>
      </c>
    </row>
    <row r="17" spans="1:15" ht="14.25">
      <c r="A17" s="1778"/>
      <c r="B17" s="1357" t="s">
        <v>1746</v>
      </c>
      <c r="C17" s="1113"/>
      <c r="D17" s="1058"/>
      <c r="E17" s="1041">
        <f>'OR04-分公司销售、承保、保全'!W32</f>
        <v>0</v>
      </c>
      <c r="F17" s="1041">
        <f>'OR04-分公司销售、承保、保全'!AE32</f>
        <v>0</v>
      </c>
      <c r="G17" s="1041">
        <f>'OR04-分公司销售、承保、保全'!AM32</f>
        <v>0</v>
      </c>
      <c r="H17" s="1041">
        <f>'OR04-分公司销售、承保、保全'!AU32</f>
        <v>0</v>
      </c>
      <c r="I17" s="1041">
        <f>'OR04-分公司销售、承保、保全'!BC32</f>
        <v>0</v>
      </c>
      <c r="J17" s="1041">
        <f>'OR04-分公司销售、承保、保全'!BK32</f>
        <v>1</v>
      </c>
      <c r="K17" s="1041">
        <f>'OR04-分公司销售、承保、保全'!BS32</f>
        <v>0</v>
      </c>
      <c r="L17" s="1041">
        <f>'OR04-分公司销售、承保、保全'!CA32</f>
        <v>0</v>
      </c>
      <c r="M17" s="1041">
        <f>'OR04-分公司销售、承保、保全'!CI32</f>
        <v>0</v>
      </c>
      <c r="N17" s="1041">
        <f>'OR04-分公司销售、承保、保全'!CQ32</f>
        <v>0</v>
      </c>
      <c r="O17" s="1041" t="s">
        <v>2115</v>
      </c>
    </row>
    <row r="18" spans="1:15" ht="14.25">
      <c r="A18" s="1778"/>
      <c r="B18" s="1063" t="s">
        <v>2438</v>
      </c>
      <c r="C18" s="1359"/>
      <c r="D18" s="1058"/>
      <c r="E18" s="1041">
        <f>'OR04-分公司销售、承保、保全'!W33</f>
        <v>0</v>
      </c>
      <c r="F18" s="1041">
        <f>'OR04-分公司销售、承保、保全'!AE33</f>
        <v>0</v>
      </c>
      <c r="G18" s="1041">
        <f>'OR04-分公司销售、承保、保全'!AM33</f>
        <v>0</v>
      </c>
      <c r="H18" s="1041">
        <f>'OR04-分公司销售、承保、保全'!AU33</f>
        <v>0</v>
      </c>
      <c r="I18" s="1041">
        <f>'OR04-分公司销售、承保、保全'!BC33</f>
        <v>0</v>
      </c>
      <c r="J18" s="1041">
        <f>'OR04-分公司销售、承保、保全'!BK33</f>
        <v>0</v>
      </c>
      <c r="K18" s="1041">
        <f>'OR04-分公司销售、承保、保全'!BS33</f>
        <v>0</v>
      </c>
      <c r="L18" s="1041">
        <f>'OR04-分公司销售、承保、保全'!CA33</f>
        <v>0</v>
      </c>
      <c r="M18" s="1041">
        <f>'OR04-分公司销售、承保、保全'!CI33</f>
        <v>0</v>
      </c>
      <c r="N18" s="1041">
        <f>'OR04-分公司销售、承保、保全'!CQ33</f>
        <v>0</v>
      </c>
      <c r="O18" s="1041" t="s">
        <v>2115</v>
      </c>
    </row>
    <row r="19" spans="1:15" ht="14.25">
      <c r="A19" s="1778"/>
      <c r="B19" s="1358"/>
      <c r="C19" s="1083">
        <f t="shared" si="0"/>
        <v>3.8888888888888883E-2</v>
      </c>
      <c r="D19" s="1058">
        <v>6</v>
      </c>
      <c r="E19" s="1041">
        <f>'OR04-分公司销售、承保、保全'!Y32</f>
        <v>6</v>
      </c>
      <c r="F19" s="1041">
        <f>'OR04-分公司销售、承保、保全'!AG32</f>
        <v>6</v>
      </c>
      <c r="G19" s="1041">
        <f>'OR04-分公司销售、承保、保全'!AN32</f>
        <v>6</v>
      </c>
      <c r="H19" s="1041">
        <f>'OR04-分公司销售、承保、保全'!AV32</f>
        <v>6</v>
      </c>
      <c r="I19" s="1041">
        <f>'OR04-分公司销售、承保、保全'!BD32</f>
        <v>6</v>
      </c>
      <c r="J19" s="1041">
        <f>'OR04-分公司销售、承保、保全'!BL32</f>
        <v>3</v>
      </c>
      <c r="K19" s="1041">
        <f>'OR04-分公司销售、承保、保全'!BT32</f>
        <v>6</v>
      </c>
      <c r="L19" s="1041">
        <f>'OR04-分公司销售、承保、保全'!CB32</f>
        <v>6</v>
      </c>
      <c r="M19" s="1041">
        <f>'OR04-分公司销售、承保、保全'!CJ32</f>
        <v>6</v>
      </c>
      <c r="N19" s="1041">
        <f>'OR04-分公司销售、承保、保全'!CR32</f>
        <v>6</v>
      </c>
      <c r="O19" s="1041" t="s">
        <v>2113</v>
      </c>
    </row>
    <row r="20" spans="1:15" ht="14.25">
      <c r="A20" s="1778"/>
      <c r="B20" s="1063" t="s">
        <v>2067</v>
      </c>
      <c r="C20" s="1064">
        <f t="shared" si="0"/>
        <v>3.8888888888888883E-2</v>
      </c>
      <c r="D20" s="1058">
        <v>1</v>
      </c>
      <c r="E20" s="1041">
        <f>'OR04-分公司销售、承保、保全'!Y34</f>
        <v>1</v>
      </c>
      <c r="F20" s="1041">
        <f>'OR04-分公司销售、承保、保全'!AG34</f>
        <v>1</v>
      </c>
      <c r="G20" s="1041">
        <f>'OR04-分公司销售、承保、保全'!AN34</f>
        <v>1</v>
      </c>
      <c r="H20" s="1041">
        <f>'OR04-分公司销售、承保、保全'!AV34</f>
        <v>1</v>
      </c>
      <c r="I20" s="1041">
        <f>'OR04-分公司销售、承保、保全'!BD34</f>
        <v>1</v>
      </c>
      <c r="J20" s="1041">
        <f>'OR04-分公司销售、承保、保全'!BL34</f>
        <v>1</v>
      </c>
      <c r="K20" s="1041">
        <f>'OR04-分公司销售、承保、保全'!BT34</f>
        <v>1</v>
      </c>
      <c r="L20" s="1041">
        <f>'OR04-分公司销售、承保、保全'!CB34</f>
        <v>1</v>
      </c>
      <c r="M20" s="1041">
        <f>'OR04-分公司销售、承保、保全'!CJ34</f>
        <v>1</v>
      </c>
      <c r="N20" s="1041">
        <f>'OR04-分公司销售、承保、保全'!CR34</f>
        <v>1</v>
      </c>
      <c r="O20" s="1041" t="s">
        <v>2113</v>
      </c>
    </row>
    <row r="21" spans="1:15" ht="14.25">
      <c r="A21" s="1778"/>
      <c r="B21" s="1063" t="s">
        <v>2068</v>
      </c>
      <c r="C21" s="1064">
        <f t="shared" si="0"/>
        <v>3.8888888888888883E-2</v>
      </c>
      <c r="D21" s="1058">
        <v>2</v>
      </c>
      <c r="E21" s="1041">
        <f>'OR04-分公司销售、承保、保全'!Y35</f>
        <v>2</v>
      </c>
      <c r="F21" s="1041">
        <f>'OR04-分公司销售、承保、保全'!AG35</f>
        <v>2</v>
      </c>
      <c r="G21" s="1041">
        <f>'OR04-分公司销售、承保、保全'!AN35</f>
        <v>2</v>
      </c>
      <c r="H21" s="1041">
        <f>'OR04-分公司销售、承保、保全'!AV35</f>
        <v>2</v>
      </c>
      <c r="I21" s="1041">
        <f>'OR04-分公司销售、承保、保全'!BD35</f>
        <v>2</v>
      </c>
      <c r="J21" s="1041">
        <f>'OR04-分公司销售、承保、保全'!BL35</f>
        <v>2</v>
      </c>
      <c r="K21" s="1041">
        <f>'OR04-分公司销售、承保、保全'!BT35</f>
        <v>2</v>
      </c>
      <c r="L21" s="1041">
        <f>'OR04-分公司销售、承保、保全'!CB35</f>
        <v>2</v>
      </c>
      <c r="M21" s="1041">
        <f>'OR04-分公司销售、承保、保全'!CJ35</f>
        <v>2</v>
      </c>
      <c r="N21" s="1041">
        <f>'OR04-分公司销售、承保、保全'!CR35</f>
        <v>2</v>
      </c>
      <c r="O21" s="1041" t="s">
        <v>2113</v>
      </c>
    </row>
    <row r="22" spans="1:15" ht="14.25">
      <c r="A22" s="1778"/>
      <c r="B22" s="1063" t="s">
        <v>2069</v>
      </c>
      <c r="C22" s="1064">
        <f t="shared" si="0"/>
        <v>3.8888888888888883E-2</v>
      </c>
      <c r="D22" s="1058">
        <v>2</v>
      </c>
      <c r="E22" s="1041">
        <f>'OR04-分公司销售、承保、保全'!Y38</f>
        <v>2</v>
      </c>
      <c r="F22" s="1041">
        <f>'OR04-分公司销售、承保、保全'!AG38</f>
        <v>2</v>
      </c>
      <c r="G22" s="1041">
        <f>'OR04-分公司销售、承保、保全'!AN38</f>
        <v>2</v>
      </c>
      <c r="H22" s="1041">
        <f>'OR04-分公司销售、承保、保全'!AV38</f>
        <v>2</v>
      </c>
      <c r="I22" s="1041">
        <f>'OR04-分公司销售、承保、保全'!BD38</f>
        <v>2</v>
      </c>
      <c r="J22" s="1041">
        <f>'OR04-分公司销售、承保、保全'!BL38</f>
        <v>2</v>
      </c>
      <c r="K22" s="1041">
        <f>'OR04-分公司销售、承保、保全'!BT38</f>
        <v>2</v>
      </c>
      <c r="L22" s="1041">
        <f>'OR04-分公司销售、承保、保全'!CB38</f>
        <v>2</v>
      </c>
      <c r="M22" s="1041">
        <f>'OR04-分公司销售、承保、保全'!CJ38</f>
        <v>2</v>
      </c>
      <c r="N22" s="1041">
        <f>'OR04-分公司销售、承保、保全'!CR38</f>
        <v>2</v>
      </c>
      <c r="O22" s="1041" t="s">
        <v>2113</v>
      </c>
    </row>
    <row r="23" spans="1:15" ht="14.25">
      <c r="A23" s="1778"/>
      <c r="B23" s="1063" t="s">
        <v>2410</v>
      </c>
      <c r="C23" s="1114"/>
      <c r="D23" s="1058"/>
      <c r="E23" s="1041">
        <f>'OR04-分公司销售、承保、保全'!W41</f>
        <v>0</v>
      </c>
      <c r="F23" s="1041">
        <f>'OR04-分公司销售、承保、保全'!AE41</f>
        <v>0</v>
      </c>
      <c r="G23" s="1041">
        <f>'OR04-分公司销售、承保、保全'!AM41</f>
        <v>0</v>
      </c>
      <c r="H23" s="1041">
        <f>'OR04-分公司销售、承保、保全'!AU41</f>
        <v>0</v>
      </c>
      <c r="I23" s="1041">
        <f>'OR04-分公司销售、承保、保全'!BC41</f>
        <v>0</v>
      </c>
      <c r="J23" s="1041">
        <f>'OR04-分公司销售、承保、保全'!BK41</f>
        <v>0</v>
      </c>
      <c r="K23" s="1041">
        <f>'OR04-分公司销售、承保、保全'!BS41</f>
        <v>0</v>
      </c>
      <c r="L23" s="1041">
        <f>'OR04-分公司销售、承保、保全'!CA41</f>
        <v>0</v>
      </c>
      <c r="M23" s="1041">
        <f>'OR04-分公司销售、承保、保全'!CI41</f>
        <v>0</v>
      </c>
      <c r="N23" s="1041">
        <f>'OR04-分公司销售、承保、保全'!CQ41</f>
        <v>0</v>
      </c>
      <c r="O23" s="1041" t="s">
        <v>2115</v>
      </c>
    </row>
    <row r="24" spans="1:15" ht="14.25">
      <c r="A24" s="1778"/>
      <c r="B24" s="1063" t="s">
        <v>2411</v>
      </c>
      <c r="C24" s="1114"/>
      <c r="D24" s="1058"/>
      <c r="E24" s="1041">
        <f>'OR04-分公司销售、承保、保全'!W42</f>
        <v>0</v>
      </c>
      <c r="F24" s="1041">
        <f>'OR04-分公司销售、承保、保全'!AE42</f>
        <v>0</v>
      </c>
      <c r="G24" s="1041">
        <f>'OR04-分公司销售、承保、保全'!AM42</f>
        <v>0</v>
      </c>
      <c r="H24" s="1041">
        <f>'OR04-分公司销售、承保、保全'!AU42</f>
        <v>0</v>
      </c>
      <c r="I24" s="1041">
        <f>'OR04-分公司销售、承保、保全'!BC42</f>
        <v>0</v>
      </c>
      <c r="J24" s="1041">
        <f>'OR04-分公司销售、承保、保全'!BK42</f>
        <v>0</v>
      </c>
      <c r="K24" s="1041">
        <f>'OR04-分公司销售、承保、保全'!BS42</f>
        <v>0</v>
      </c>
      <c r="L24" s="1041">
        <f>'OR04-分公司销售、承保、保全'!CA42</f>
        <v>0</v>
      </c>
      <c r="M24" s="1041">
        <f>'OR04-分公司销售、承保、保全'!CI42</f>
        <v>0</v>
      </c>
      <c r="N24" s="1041">
        <f>'OR04-分公司销售、承保、保全'!CQ42</f>
        <v>0</v>
      </c>
      <c r="O24" s="1041" t="s">
        <v>2115</v>
      </c>
    </row>
    <row r="25" spans="1:15" ht="14.25">
      <c r="A25" s="1778"/>
      <c r="B25" s="1358"/>
      <c r="C25" s="1064">
        <f t="shared" si="0"/>
        <v>3.8888888888888883E-2</v>
      </c>
      <c r="D25" s="1058">
        <v>4</v>
      </c>
      <c r="E25" s="1041">
        <f>'OR04-分公司销售、承保、保全'!Y41</f>
        <v>4</v>
      </c>
      <c r="F25" s="1041">
        <f>'OR04-分公司销售、承保、保全'!AG41</f>
        <v>4</v>
      </c>
      <c r="G25" s="1041">
        <f>'OR04-分公司销售、承保、保全'!AN41</f>
        <v>4</v>
      </c>
      <c r="H25" s="1041">
        <f>'OR04-分公司销售、承保、保全'!AV41</f>
        <v>4</v>
      </c>
      <c r="I25" s="1041">
        <f>'OR04-分公司销售、承保、保全'!BD41</f>
        <v>4</v>
      </c>
      <c r="J25" s="1041">
        <f>'OR04-分公司销售、承保、保全'!BL41</f>
        <v>4</v>
      </c>
      <c r="K25" s="1041">
        <f>'OR04-分公司销售、承保、保全'!BT41</f>
        <v>4</v>
      </c>
      <c r="L25" s="1041">
        <f>'OR04-分公司销售、承保、保全'!CB41</f>
        <v>4</v>
      </c>
      <c r="M25" s="1041">
        <f>'OR04-分公司销售、承保、保全'!CJ41</f>
        <v>4</v>
      </c>
      <c r="N25" s="1041">
        <f>'OR04-分公司销售、承保、保全'!CR41</f>
        <v>4</v>
      </c>
      <c r="O25" s="1041" t="s">
        <v>2113</v>
      </c>
    </row>
    <row r="26" spans="1:15" ht="14.25">
      <c r="A26" s="1778"/>
      <c r="B26" s="1063" t="s">
        <v>2070</v>
      </c>
      <c r="C26" s="1113"/>
      <c r="D26" s="1058"/>
      <c r="E26" s="1041">
        <f>'OR04-分公司销售、承保、保全'!W43</f>
        <v>0</v>
      </c>
      <c r="F26" s="1041">
        <f>'OR04-分公司销售、承保、保全'!AE43</f>
        <v>0</v>
      </c>
      <c r="G26" s="1041">
        <f>'OR04-分公司销售、承保、保全'!AM43</f>
        <v>0</v>
      </c>
      <c r="H26" s="1041">
        <f>'OR04-分公司销售、承保、保全'!AU43</f>
        <v>0</v>
      </c>
      <c r="I26" s="1041">
        <f>'OR04-分公司销售、承保、保全'!BC43</f>
        <v>0</v>
      </c>
      <c r="J26" s="1041">
        <f>'OR04-分公司销售、承保、保全'!BK43</f>
        <v>0</v>
      </c>
      <c r="K26" s="1041">
        <f>'OR04-分公司销售、承保、保全'!BS43</f>
        <v>0</v>
      </c>
      <c r="L26" s="1041">
        <f>'OR04-分公司销售、承保、保全'!CA43</f>
        <v>0</v>
      </c>
      <c r="M26" s="1041">
        <f>'OR04-分公司销售、承保、保全'!CI43</f>
        <v>0</v>
      </c>
      <c r="N26" s="1065">
        <f>'OR04-分公司销售、承保、保全'!CQ43</f>
        <v>0</v>
      </c>
      <c r="O26" s="1041" t="s">
        <v>2116</v>
      </c>
    </row>
    <row r="27" spans="1:15" ht="14.25">
      <c r="A27" s="1778"/>
      <c r="B27" s="1063" t="s">
        <v>1246</v>
      </c>
      <c r="C27" s="1113"/>
      <c r="D27" s="1058"/>
      <c r="E27" s="1041">
        <f>'OR04-分公司销售、承保、保全'!W44</f>
        <v>0</v>
      </c>
      <c r="F27" s="1041">
        <f>'OR04-分公司销售、承保、保全'!AE44</f>
        <v>0</v>
      </c>
      <c r="G27" s="1041">
        <f>'OR04-分公司销售、承保、保全'!AM44</f>
        <v>0</v>
      </c>
      <c r="H27" s="1041">
        <f>'OR04-分公司销售、承保、保全'!AU44</f>
        <v>0</v>
      </c>
      <c r="I27" s="1041">
        <f>'OR04-分公司销售、承保、保全'!BC44</f>
        <v>0</v>
      </c>
      <c r="J27" s="1041">
        <f>'OR04-分公司销售、承保、保全'!BK44</f>
        <v>0</v>
      </c>
      <c r="K27" s="1041">
        <f>'OR04-分公司销售、承保、保全'!BS44</f>
        <v>0</v>
      </c>
      <c r="L27" s="1041">
        <f>'OR04-分公司销售、承保、保全'!CA44</f>
        <v>0</v>
      </c>
      <c r="M27" s="1041">
        <f>'OR04-分公司销售、承保、保全'!CI44</f>
        <v>0</v>
      </c>
      <c r="N27" s="1065">
        <f>'OR04-分公司销售、承保、保全'!CQ44</f>
        <v>0</v>
      </c>
      <c r="O27" s="1041" t="s">
        <v>2115</v>
      </c>
    </row>
    <row r="28" spans="1:15" ht="14.25">
      <c r="A28" s="1778"/>
      <c r="B28" s="1063"/>
      <c r="C28" s="1064">
        <f t="shared" si="0"/>
        <v>3.8888888888888883E-2</v>
      </c>
      <c r="D28" s="1058">
        <v>6</v>
      </c>
      <c r="E28" s="1041">
        <f>'OR04-分公司销售、承保、保全'!Y43</f>
        <v>6</v>
      </c>
      <c r="F28" s="1041">
        <f>'OR04-分公司销售、承保、保全'!AG43</f>
        <v>6</v>
      </c>
      <c r="G28" s="1041">
        <f>'OR04-分公司销售、承保、保全'!AN43</f>
        <v>6</v>
      </c>
      <c r="H28" s="1041">
        <f>'OR04-分公司销售、承保、保全'!AV43</f>
        <v>6</v>
      </c>
      <c r="I28" s="1041">
        <f>'OR04-分公司销售、承保、保全'!BD43</f>
        <v>6</v>
      </c>
      <c r="J28" s="1041">
        <f>'OR04-分公司销售、承保、保全'!BL43</f>
        <v>6</v>
      </c>
      <c r="K28" s="1041">
        <f>'OR04-分公司销售、承保、保全'!BT43</f>
        <v>6</v>
      </c>
      <c r="L28" s="1041">
        <f>'OR04-分公司销售、承保、保全'!CB43</f>
        <v>6</v>
      </c>
      <c r="M28" s="1041">
        <f>'OR04-分公司销售、承保、保全'!CJ43</f>
        <v>6</v>
      </c>
      <c r="N28" s="1041">
        <f>'OR04-分公司销售、承保、保全'!CR43</f>
        <v>6</v>
      </c>
      <c r="O28" s="1041" t="s">
        <v>2113</v>
      </c>
    </row>
    <row r="29" spans="1:15" ht="14.25">
      <c r="A29" s="1778"/>
      <c r="B29" s="1063" t="s">
        <v>2071</v>
      </c>
      <c r="C29" s="1064">
        <f t="shared" si="0"/>
        <v>3.8888888888888883E-2</v>
      </c>
      <c r="D29" s="1058">
        <v>3</v>
      </c>
      <c r="E29" s="1041">
        <f>'OR04-分公司销售、承保、保全'!Y45</f>
        <v>3</v>
      </c>
      <c r="F29" s="1041">
        <f>'OR04-分公司销售、承保、保全'!AG45</f>
        <v>3</v>
      </c>
      <c r="G29" s="1041">
        <f>'OR04-分公司销售、承保、保全'!AN45</f>
        <v>3</v>
      </c>
      <c r="H29" s="1041">
        <f>'OR04-分公司销售、承保、保全'!AV45</f>
        <v>3</v>
      </c>
      <c r="I29" s="1041">
        <f>'OR04-分公司销售、承保、保全'!BD45</f>
        <v>3</v>
      </c>
      <c r="J29" s="1041">
        <f>'OR04-分公司销售、承保、保全'!BL45</f>
        <v>3</v>
      </c>
      <c r="K29" s="1041">
        <f>'OR04-分公司销售、承保、保全'!BT45</f>
        <v>3</v>
      </c>
      <c r="L29" s="1041">
        <f>'OR04-分公司销售、承保、保全'!CB45</f>
        <v>3</v>
      </c>
      <c r="M29" s="1041">
        <f>'OR04-分公司销售、承保、保全'!CJ45</f>
        <v>1.5</v>
      </c>
      <c r="N29" s="1041">
        <f>'OR04-分公司销售、承保、保全'!CR45</f>
        <v>3</v>
      </c>
      <c r="O29" s="1041" t="s">
        <v>2113</v>
      </c>
    </row>
    <row r="30" spans="1:15" ht="14.25">
      <c r="A30" s="1778"/>
      <c r="B30" s="1063" t="s">
        <v>1251</v>
      </c>
      <c r="C30" s="1064">
        <f t="shared" si="0"/>
        <v>3.8888888888888883E-2</v>
      </c>
      <c r="D30" s="1058">
        <v>2</v>
      </c>
      <c r="E30" s="1041">
        <f>'OR04-分公司销售、承保、保全'!Y48</f>
        <v>2</v>
      </c>
      <c r="F30" s="1041">
        <f>'OR04-分公司销售、承保、保全'!AG48</f>
        <v>2</v>
      </c>
      <c r="G30" s="1041">
        <f>'OR04-分公司销售、承保、保全'!AN48</f>
        <v>2</v>
      </c>
      <c r="H30" s="1041">
        <f>'OR04-分公司销售、承保、保全'!AV48</f>
        <v>2</v>
      </c>
      <c r="I30" s="1041">
        <f>'OR04-分公司销售、承保、保全'!BD48</f>
        <v>2</v>
      </c>
      <c r="J30" s="1041">
        <f>'OR04-分公司销售、承保、保全'!BL48</f>
        <v>2</v>
      </c>
      <c r="K30" s="1041">
        <f>'OR04-分公司销售、承保、保全'!BT48</f>
        <v>2</v>
      </c>
      <c r="L30" s="1041">
        <f>'OR04-分公司销售、承保、保全'!CB48</f>
        <v>2</v>
      </c>
      <c r="M30" s="1041">
        <f>'OR04-分公司销售、承保、保全'!CJ48</f>
        <v>2</v>
      </c>
      <c r="N30" s="1041">
        <f>'OR04-分公司销售、承保、保全'!CR48</f>
        <v>2</v>
      </c>
      <c r="O30" s="1041" t="s">
        <v>2113</v>
      </c>
    </row>
    <row r="31" spans="1:15" ht="14.25">
      <c r="A31" s="1778"/>
      <c r="B31" s="1063" t="s">
        <v>2072</v>
      </c>
      <c r="C31" s="1064">
        <f t="shared" si="0"/>
        <v>3.8888888888888883E-2</v>
      </c>
      <c r="D31" s="1058">
        <v>3</v>
      </c>
      <c r="E31" s="1041">
        <f>'OR04-分公司销售、承保、保全'!Y52</f>
        <v>3</v>
      </c>
      <c r="F31" s="1041">
        <f>'OR04-分公司销售、承保、保全'!AG52</f>
        <v>3</v>
      </c>
      <c r="G31" s="1041">
        <f>'OR04-分公司销售、承保、保全'!AN52</f>
        <v>1.5</v>
      </c>
      <c r="H31" s="1041">
        <f>'OR04-分公司销售、承保、保全'!AV52</f>
        <v>1.5</v>
      </c>
      <c r="I31" s="1041">
        <f>'OR04-分公司销售、承保、保全'!BD52</f>
        <v>3</v>
      </c>
      <c r="J31" s="1041">
        <f>'OR04-分公司销售、承保、保全'!BL52</f>
        <v>1.5</v>
      </c>
      <c r="K31" s="1041">
        <f>'OR04-分公司销售、承保、保全'!BT52</f>
        <v>1.5</v>
      </c>
      <c r="L31" s="1041">
        <f>'OR04-分公司销售、承保、保全'!CB52</f>
        <v>1.5</v>
      </c>
      <c r="M31" s="1041">
        <f>'OR04-分公司销售、承保、保全'!CJ52</f>
        <v>3</v>
      </c>
      <c r="N31" s="1041">
        <f>'OR04-分公司销售、承保、保全'!CR52</f>
        <v>3</v>
      </c>
      <c r="O31" s="1041" t="s">
        <v>2113</v>
      </c>
    </row>
    <row r="32" spans="1:15" ht="14.25">
      <c r="A32" s="1778"/>
      <c r="B32" s="1063" t="s">
        <v>2073</v>
      </c>
      <c r="C32" s="1064">
        <f t="shared" si="0"/>
        <v>3.8888888888888883E-2</v>
      </c>
      <c r="D32" s="1058">
        <v>3</v>
      </c>
      <c r="E32" s="1041">
        <f>'OR04-分公司销售、承保、保全'!Y57</f>
        <v>3</v>
      </c>
      <c r="F32" s="1041">
        <f>'OR04-分公司销售、承保、保全'!AG57</f>
        <v>3</v>
      </c>
      <c r="G32" s="1041">
        <f>'OR04-分公司销售、承保、保全'!AN57</f>
        <v>3</v>
      </c>
      <c r="H32" s="1041">
        <f>'OR04-分公司销售、承保、保全'!AV57</f>
        <v>3</v>
      </c>
      <c r="I32" s="1041">
        <f>'OR04-分公司销售、承保、保全'!BD57</f>
        <v>3</v>
      </c>
      <c r="J32" s="1041">
        <f>'OR04-分公司销售、承保、保全'!BL57</f>
        <v>3</v>
      </c>
      <c r="K32" s="1041">
        <f>'OR04-分公司销售、承保、保全'!BT57</f>
        <v>3</v>
      </c>
      <c r="L32" s="1041">
        <f>'OR04-分公司销售、承保、保全'!CB57</f>
        <v>1.5</v>
      </c>
      <c r="M32" s="1041">
        <f>'OR04-分公司销售、承保、保全'!CJ57</f>
        <v>3</v>
      </c>
      <c r="N32" s="1041">
        <f>'OR04-分公司销售、承保、保全'!CR57</f>
        <v>3</v>
      </c>
      <c r="O32" s="1041" t="s">
        <v>2113</v>
      </c>
    </row>
    <row r="33" spans="1:27" ht="14.25">
      <c r="A33" s="1778"/>
      <c r="B33" s="1063" t="s">
        <v>2074</v>
      </c>
      <c r="C33" s="1064">
        <f t="shared" si="0"/>
        <v>3.8888888888888883E-2</v>
      </c>
      <c r="D33" s="1058">
        <v>2</v>
      </c>
      <c r="E33" s="1065">
        <f>'OR04-分公司销售、承保、保全'!Y63</f>
        <v>2</v>
      </c>
      <c r="F33" s="1065">
        <f>'OR04-分公司销售、承保、保全'!AG63</f>
        <v>2</v>
      </c>
      <c r="G33" s="1065">
        <f>'OR04-分公司销售、承保、保全'!AN63</f>
        <v>2</v>
      </c>
      <c r="H33" s="1065">
        <f>'OR04-分公司销售、承保、保全'!AV63</f>
        <v>2</v>
      </c>
      <c r="I33" s="1065">
        <f>'OR04-分公司销售、承保、保全'!BD63</f>
        <v>2</v>
      </c>
      <c r="J33" s="1065">
        <f>'OR04-分公司销售、承保、保全'!BL63</f>
        <v>2</v>
      </c>
      <c r="K33" s="1065">
        <f>'OR04-分公司销售、承保、保全'!BT63</f>
        <v>2</v>
      </c>
      <c r="L33" s="1065">
        <f>'OR04-分公司销售、承保、保全'!CB63</f>
        <v>2</v>
      </c>
      <c r="M33" s="1065">
        <f>'OR04-分公司销售、承保、保全'!CJ63</f>
        <v>2</v>
      </c>
      <c r="N33" s="1065">
        <f>'OR04-分公司销售、承保、保全'!CR63</f>
        <v>2</v>
      </c>
      <c r="O33" s="1041" t="s">
        <v>2113</v>
      </c>
    </row>
    <row r="34" spans="1:27" ht="14.25">
      <c r="A34" s="1778"/>
      <c r="B34" s="1063" t="s">
        <v>2075</v>
      </c>
      <c r="C34" s="1064">
        <f t="shared" si="0"/>
        <v>3.8888888888888883E-2</v>
      </c>
      <c r="D34" s="1058">
        <v>1</v>
      </c>
      <c r="E34" s="1065">
        <f>'OR04-分公司销售、承保、保全'!Y66</f>
        <v>1</v>
      </c>
      <c r="F34" s="1065">
        <f>'OR04-分公司销售、承保、保全'!AG66</f>
        <v>1</v>
      </c>
      <c r="G34" s="1065">
        <f>'OR04-分公司销售、承保、保全'!AN66</f>
        <v>1</v>
      </c>
      <c r="H34" s="1065">
        <f>'OR04-分公司销售、承保、保全'!AV66</f>
        <v>1</v>
      </c>
      <c r="I34" s="1065">
        <f>'OR04-分公司销售、承保、保全'!BD66</f>
        <v>1</v>
      </c>
      <c r="J34" s="1065">
        <f>'OR04-分公司销售、承保、保全'!BL66</f>
        <v>1</v>
      </c>
      <c r="K34" s="1065">
        <f>'OR04-分公司销售、承保、保全'!BT66</f>
        <v>1</v>
      </c>
      <c r="L34" s="1065">
        <f>'OR04-分公司销售、承保、保全'!CB66</f>
        <v>1</v>
      </c>
      <c r="M34" s="1065">
        <f>'OR04-分公司销售、承保、保全'!CJ66</f>
        <v>1</v>
      </c>
      <c r="N34" s="1065">
        <f>'OR04-分公司销售、承保、保全'!CR66</f>
        <v>1</v>
      </c>
      <c r="O34" s="1041" t="s">
        <v>2113</v>
      </c>
    </row>
    <row r="35" spans="1:27" ht="14.25">
      <c r="A35" s="1778"/>
      <c r="B35" s="1063" t="s">
        <v>2076</v>
      </c>
      <c r="C35" s="1114"/>
      <c r="D35" s="1058"/>
      <c r="E35" s="1041">
        <f>'OR04-分公司销售、承保、保全'!W67</f>
        <v>0</v>
      </c>
      <c r="F35" s="1041">
        <f>'OR04-分公司销售、承保、保全'!AE67</f>
        <v>0</v>
      </c>
      <c r="G35" s="1041">
        <f>'OR04-分公司销售、承保、保全'!AM67</f>
        <v>0</v>
      </c>
      <c r="H35" s="1065">
        <f>'OR04-分公司销售、承保、保全'!AU67</f>
        <v>0</v>
      </c>
      <c r="I35" s="1065">
        <f>'OR04-分公司销售、承保、保全'!BC67</f>
        <v>0</v>
      </c>
      <c r="J35" s="1041">
        <f>'OR04-分公司销售、承保、保全'!BK67</f>
        <v>0</v>
      </c>
      <c r="K35" s="1041">
        <f>'OR04-分公司销售、承保、保全'!BS67</f>
        <v>0</v>
      </c>
      <c r="L35" s="1041">
        <f>'OR04-分公司销售、承保、保全'!CA67</f>
        <v>0</v>
      </c>
      <c r="M35" s="1041">
        <f>'OR04-分公司销售、承保、保全'!CI67</f>
        <v>0</v>
      </c>
      <c r="N35" s="1065">
        <f>'OR04-分公司销售、承保、保全'!CQ67</f>
        <v>0</v>
      </c>
      <c r="O35" s="1041" t="s">
        <v>2115</v>
      </c>
    </row>
    <row r="36" spans="1:27" ht="14.25">
      <c r="A36" s="1778"/>
      <c r="B36" s="1063" t="s">
        <v>1283</v>
      </c>
      <c r="C36" s="1360"/>
      <c r="D36" s="1058"/>
      <c r="E36" s="1041">
        <f>'OR04-分公司销售、承保、保全'!W68</f>
        <v>0</v>
      </c>
      <c r="F36" s="1041">
        <f>'OR04-分公司销售、承保、保全'!AE68</f>
        <v>0</v>
      </c>
      <c r="G36" s="1041">
        <f>'OR04-分公司销售、承保、保全'!AM68</f>
        <v>0</v>
      </c>
      <c r="H36" s="1065">
        <f>'OR04-分公司销售、承保、保全'!AU68</f>
        <v>0</v>
      </c>
      <c r="I36" s="1065">
        <f>'OR04-分公司销售、承保、保全'!BC68</f>
        <v>0</v>
      </c>
      <c r="J36" s="1041">
        <f>'OR04-分公司销售、承保、保全'!BK68</f>
        <v>0</v>
      </c>
      <c r="K36" s="1041">
        <f>'OR04-分公司销售、承保、保全'!BS68</f>
        <v>0</v>
      </c>
      <c r="L36" s="1041">
        <f>'OR04-分公司销售、承保、保全'!CA68</f>
        <v>0</v>
      </c>
      <c r="M36" s="1041">
        <f>'OR04-分公司销售、承保、保全'!CI68</f>
        <v>0</v>
      </c>
      <c r="N36" s="1065">
        <f>'OR04-分公司销售、承保、保全'!CQ68</f>
        <v>0</v>
      </c>
      <c r="O36" s="1041" t="s">
        <v>2115</v>
      </c>
    </row>
    <row r="37" spans="1:27" ht="14.25">
      <c r="A37" s="1778"/>
      <c r="B37" s="1063"/>
      <c r="C37" s="1083">
        <f t="shared" si="0"/>
        <v>3.8888888888888883E-2</v>
      </c>
      <c r="D37" s="1058">
        <v>6</v>
      </c>
      <c r="E37" s="1065">
        <f>'OR04-分公司销售、承保、保全'!Y67</f>
        <v>6</v>
      </c>
      <c r="F37" s="1065">
        <f>'OR04-分公司销售、承保、保全'!AG67</f>
        <v>6</v>
      </c>
      <c r="G37" s="1065">
        <f>'OR04-分公司销售、承保、保全'!AN67</f>
        <v>6</v>
      </c>
      <c r="H37" s="1065">
        <f>'OR04-分公司销售、承保、保全'!AV67</f>
        <v>6</v>
      </c>
      <c r="I37" s="1065">
        <f>'OR04-分公司销售、承保、保全'!BD67</f>
        <v>6</v>
      </c>
      <c r="J37" s="1065">
        <f>'OR04-分公司销售、承保、保全'!BL67</f>
        <v>6</v>
      </c>
      <c r="K37" s="1065">
        <f>'OR04-分公司销售、承保、保全'!BT67</f>
        <v>6</v>
      </c>
      <c r="L37" s="1065">
        <f>'OR04-分公司销售、承保、保全'!CB67</f>
        <v>6</v>
      </c>
      <c r="M37" s="1065">
        <f>'OR04-分公司销售、承保、保全'!CJ67</f>
        <v>6</v>
      </c>
      <c r="N37" s="1065">
        <f>'OR04-分公司销售、承保、保全'!CR67</f>
        <v>6</v>
      </c>
      <c r="O37" s="1041" t="s">
        <v>2113</v>
      </c>
    </row>
    <row r="38" spans="1:27" ht="14.25">
      <c r="A38" s="1778"/>
      <c r="B38" s="1063" t="s">
        <v>2413</v>
      </c>
      <c r="C38" s="1064">
        <f t="shared" si="0"/>
        <v>3.8888888888888883E-2</v>
      </c>
      <c r="D38" s="1058">
        <v>0</v>
      </c>
      <c r="E38" s="1067">
        <v>0</v>
      </c>
      <c r="F38" s="1067">
        <v>0</v>
      </c>
      <c r="G38" s="1067">
        <v>0</v>
      </c>
      <c r="H38" s="1067">
        <v>0</v>
      </c>
      <c r="I38" s="1067">
        <v>0</v>
      </c>
      <c r="J38" s="1067">
        <v>0</v>
      </c>
      <c r="K38" s="1067">
        <v>0</v>
      </c>
      <c r="L38" s="1067">
        <v>0</v>
      </c>
      <c r="M38" s="1067">
        <v>0</v>
      </c>
      <c r="N38" s="1067">
        <v>0</v>
      </c>
      <c r="O38" s="1041" t="s">
        <v>2118</v>
      </c>
    </row>
    <row r="39" spans="1:27" ht="14.25">
      <c r="A39" s="1778"/>
      <c r="B39" s="1063" t="s">
        <v>2078</v>
      </c>
      <c r="C39" s="1064">
        <f t="shared" si="0"/>
        <v>3.8888888888888883E-2</v>
      </c>
      <c r="D39" s="1058">
        <v>3</v>
      </c>
      <c r="E39" s="1065">
        <f>'OR04-分公司销售、承保、保全'!Y70</f>
        <v>3</v>
      </c>
      <c r="F39" s="1065">
        <f>'OR04-分公司销售、承保、保全'!AG70</f>
        <v>3</v>
      </c>
      <c r="G39" s="1065">
        <f>'OR04-分公司销售、承保、保全'!AN70</f>
        <v>3</v>
      </c>
      <c r="H39" s="1065">
        <f>'OR04-分公司销售、承保、保全'!AV70</f>
        <v>3</v>
      </c>
      <c r="I39" s="1065">
        <f>'OR04-分公司销售、承保、保全'!BD70</f>
        <v>3</v>
      </c>
      <c r="J39" s="1065">
        <f>'OR04-分公司销售、承保、保全'!BL70</f>
        <v>3</v>
      </c>
      <c r="K39" s="1065">
        <f>'OR04-分公司销售、承保、保全'!BT70</f>
        <v>3</v>
      </c>
      <c r="L39" s="1065">
        <f>'OR04-分公司销售、承保、保全'!CB70</f>
        <v>3</v>
      </c>
      <c r="M39" s="1065">
        <f>'OR04-分公司销售、承保、保全'!CJ70</f>
        <v>3</v>
      </c>
      <c r="N39" s="1065">
        <f>'OR04-分公司销售、承保、保全'!CR70</f>
        <v>3</v>
      </c>
      <c r="O39" s="1041" t="s">
        <v>2113</v>
      </c>
    </row>
    <row r="40" spans="1:27" ht="14.25">
      <c r="A40" s="1778"/>
      <c r="B40" s="1063" t="s">
        <v>2079</v>
      </c>
      <c r="C40" s="1064">
        <f t="shared" si="0"/>
        <v>3.8888888888888883E-2</v>
      </c>
      <c r="D40" s="1058">
        <v>2</v>
      </c>
      <c r="E40" s="1065">
        <f>'OR04-分公司销售、承保、保全'!Y72</f>
        <v>2</v>
      </c>
      <c r="F40" s="1065">
        <f>'OR04-分公司销售、承保、保全'!AG72</f>
        <v>2</v>
      </c>
      <c r="G40" s="1065">
        <f>'OR04-分公司销售、承保、保全'!AN72</f>
        <v>2</v>
      </c>
      <c r="H40" s="1065">
        <f>'OR04-分公司销售、承保、保全'!AV72</f>
        <v>2</v>
      </c>
      <c r="I40" s="1065">
        <f>'OR04-分公司销售、承保、保全'!BD72</f>
        <v>2</v>
      </c>
      <c r="J40" s="1065">
        <f>'OR04-分公司销售、承保、保全'!BL72</f>
        <v>2</v>
      </c>
      <c r="K40" s="1065">
        <f>'OR04-分公司销售、承保、保全'!BT72</f>
        <v>2</v>
      </c>
      <c r="L40" s="1065">
        <f>'OR04-分公司销售、承保、保全'!CB72</f>
        <v>2</v>
      </c>
      <c r="M40" s="1065">
        <f>'OR04-分公司销售、承保、保全'!CJ72</f>
        <v>2</v>
      </c>
      <c r="N40" s="1065">
        <f>'OR04-分公司销售、承保、保全'!CR72</f>
        <v>2</v>
      </c>
      <c r="O40" s="1041" t="s">
        <v>2113</v>
      </c>
    </row>
    <row r="41" spans="1:27" ht="14.25">
      <c r="A41" s="1779"/>
      <c r="B41" s="1063" t="s">
        <v>2080</v>
      </c>
      <c r="C41" s="1064">
        <f t="shared" si="0"/>
        <v>3.8888888888888883E-2</v>
      </c>
      <c r="D41" s="1058">
        <v>10</v>
      </c>
      <c r="E41" s="1041">
        <f>MAX(($D$41-0.5*(E11+E14)-2*(E12+E15)-3*E17-3*E18-2*E23-1*E24-0.5*E26-3*E27-0.5*E35-3*E36),0)</f>
        <v>9.5</v>
      </c>
      <c r="F41" s="1041">
        <f t="shared" ref="F41:N41" si="1">MAX(($D$41-0.5*(F11+F14)-2*(F12+F15)-3*F17-3*F18-2*F23-1*F24-0.5*F26-3*F27-0.5*F35-3*F36),0)</f>
        <v>8.5</v>
      </c>
      <c r="G41" s="1041">
        <f t="shared" si="1"/>
        <v>9.5</v>
      </c>
      <c r="H41" s="1041">
        <f t="shared" si="1"/>
        <v>5.5</v>
      </c>
      <c r="I41" s="1041">
        <f t="shared" si="1"/>
        <v>8.5</v>
      </c>
      <c r="J41" s="1041">
        <f t="shared" si="1"/>
        <v>5.5</v>
      </c>
      <c r="K41" s="1041">
        <f t="shared" si="1"/>
        <v>10</v>
      </c>
      <c r="L41" s="1041">
        <f t="shared" si="1"/>
        <v>9</v>
      </c>
      <c r="M41" s="1041">
        <f t="shared" si="1"/>
        <v>10</v>
      </c>
      <c r="N41" s="1041">
        <f t="shared" si="1"/>
        <v>9.5</v>
      </c>
      <c r="O41" s="1041" t="s">
        <v>2117</v>
      </c>
    </row>
    <row r="42" spans="1:27" ht="14.25">
      <c r="A42" s="1767" t="s">
        <v>2081</v>
      </c>
      <c r="B42" s="1052" t="s">
        <v>2082</v>
      </c>
      <c r="C42" s="1053">
        <f t="shared" si="0"/>
        <v>3.8888888888888883E-2</v>
      </c>
      <c r="D42" s="1049">
        <v>5</v>
      </c>
      <c r="E42" s="1364">
        <v>5</v>
      </c>
      <c r="F42" s="1364">
        <v>5</v>
      </c>
      <c r="G42" s="1364">
        <v>5</v>
      </c>
      <c r="H42" s="1364">
        <v>5</v>
      </c>
      <c r="I42" s="1364">
        <v>5</v>
      </c>
      <c r="J42" s="1364">
        <v>5</v>
      </c>
      <c r="K42" s="1364">
        <v>5</v>
      </c>
      <c r="L42" s="1364">
        <v>5</v>
      </c>
      <c r="M42" s="1364">
        <v>5</v>
      </c>
      <c r="N42" s="1364">
        <v>5</v>
      </c>
      <c r="O42" s="1050" t="s">
        <v>2112</v>
      </c>
    </row>
    <row r="43" spans="1:27" ht="14.25">
      <c r="A43" s="1768"/>
      <c r="B43" s="1054" t="s">
        <v>2083</v>
      </c>
      <c r="C43" s="1053">
        <f t="shared" si="0"/>
        <v>3.8888888888888883E-2</v>
      </c>
      <c r="D43" s="1049">
        <v>3</v>
      </c>
      <c r="E43" s="1050">
        <f>'OR08-分公司理赔'!W7</f>
        <v>3</v>
      </c>
      <c r="F43" s="1050">
        <f>'OR08-分公司理赔'!AC7</f>
        <v>0</v>
      </c>
      <c r="G43" s="1050">
        <f>'OR08-分公司理赔'!AI7</f>
        <v>3</v>
      </c>
      <c r="H43" s="1050">
        <f>'OR08-分公司理赔'!AO7</f>
        <v>3</v>
      </c>
      <c r="I43" s="1050">
        <f>'OR08-分公司理赔'!AU7</f>
        <v>0</v>
      </c>
      <c r="J43" s="1050">
        <f>'OR08-分公司理赔'!BA7</f>
        <v>3</v>
      </c>
      <c r="K43" s="1050">
        <f>'OR08-分公司理赔'!BG7</f>
        <v>0</v>
      </c>
      <c r="L43" s="1050">
        <f>'OR08-分公司理赔'!BM7</f>
        <v>3</v>
      </c>
      <c r="M43" s="1050">
        <f>'OR08-分公司理赔'!BS7</f>
        <v>3</v>
      </c>
      <c r="N43" s="1050">
        <f>'OR08-分公司理赔'!BY7</f>
        <v>3</v>
      </c>
      <c r="O43" s="1050" t="s">
        <v>2111</v>
      </c>
    </row>
    <row r="44" spans="1:27" ht="14.25">
      <c r="A44" s="1768"/>
      <c r="B44" s="1054" t="s">
        <v>2121</v>
      </c>
      <c r="C44" s="1053">
        <f t="shared" si="0"/>
        <v>3.8888888888888883E-2</v>
      </c>
      <c r="D44" s="1049">
        <v>3</v>
      </c>
      <c r="E44" s="1050">
        <f>'OR08-分公司理赔'!W11</f>
        <v>3</v>
      </c>
      <c r="F44" s="1050">
        <f>'OR08-分公司理赔'!AC11</f>
        <v>3</v>
      </c>
      <c r="G44" s="1050">
        <f>'OR08-分公司理赔'!AI11</f>
        <v>3</v>
      </c>
      <c r="H44" s="1050">
        <f>'OR08-分公司理赔'!AO11</f>
        <v>3</v>
      </c>
      <c r="I44" s="1050">
        <f>'OR08-分公司理赔'!AU11</f>
        <v>3</v>
      </c>
      <c r="J44" s="1050">
        <f>'OR08-分公司理赔'!BA11</f>
        <v>3</v>
      </c>
      <c r="K44" s="1050">
        <f>'OR08-分公司理赔'!BG11</f>
        <v>3</v>
      </c>
      <c r="L44" s="1050">
        <f>'OR08-分公司理赔'!BM11</f>
        <v>3</v>
      </c>
      <c r="M44" s="1050">
        <f>'OR08-分公司理赔'!BS11</f>
        <v>3</v>
      </c>
      <c r="N44" s="1050">
        <f>'OR08-分公司理赔'!BY11</f>
        <v>3</v>
      </c>
      <c r="O44" s="1050" t="s">
        <v>2111</v>
      </c>
      <c r="Y44" s="743"/>
      <c r="Z44" s="743"/>
    </row>
    <row r="45" spans="1:27" ht="14.25">
      <c r="A45" s="1768"/>
      <c r="B45" s="1054" t="s">
        <v>2062</v>
      </c>
      <c r="C45" s="1053">
        <f t="shared" si="0"/>
        <v>3.8888888888888883E-2</v>
      </c>
      <c r="D45" s="1049">
        <v>4</v>
      </c>
      <c r="E45" s="1050">
        <f>'OR08-分公司理赔'!W12</f>
        <v>4</v>
      </c>
      <c r="F45" s="1050">
        <f>'OR08-分公司理赔'!AC12</f>
        <v>4</v>
      </c>
      <c r="G45" s="1050">
        <f>'OR08-分公司理赔'!AI12</f>
        <v>4</v>
      </c>
      <c r="H45" s="1050">
        <f>'OR08-分公司理赔'!AO12</f>
        <v>4</v>
      </c>
      <c r="I45" s="1050">
        <f>'OR08-分公司理赔'!AU12</f>
        <v>4</v>
      </c>
      <c r="J45" s="1050">
        <f>'OR08-分公司理赔'!BA12</f>
        <v>4</v>
      </c>
      <c r="K45" s="1050">
        <f>'OR08-分公司理赔'!BG12</f>
        <v>4</v>
      </c>
      <c r="L45" s="1050">
        <f>'OR08-分公司理赔'!BM12</f>
        <v>4</v>
      </c>
      <c r="M45" s="1050">
        <f>'OR08-分公司理赔'!BS12</f>
        <v>4</v>
      </c>
      <c r="N45" s="1050">
        <f>'OR08-分公司理赔'!BY12</f>
        <v>4</v>
      </c>
      <c r="O45" s="1050" t="s">
        <v>2111</v>
      </c>
    </row>
    <row r="46" spans="1:27" ht="14.25">
      <c r="A46" s="1768"/>
      <c r="B46" s="1054" t="s">
        <v>1313</v>
      </c>
      <c r="C46" s="1053">
        <f t="shared" si="0"/>
        <v>3.8888888888888883E-2</v>
      </c>
      <c r="D46" s="1049">
        <v>6</v>
      </c>
      <c r="E46" s="1050">
        <f>'OR08-分公司理赔'!W13</f>
        <v>6</v>
      </c>
      <c r="F46" s="1050">
        <f>'OR08-分公司理赔'!AC13</f>
        <v>6</v>
      </c>
      <c r="G46" s="1050">
        <f>'OR08-分公司理赔'!AI13</f>
        <v>6</v>
      </c>
      <c r="H46" s="1050">
        <f>'OR08-分公司理赔'!AO13</f>
        <v>6</v>
      </c>
      <c r="I46" s="1050">
        <f>'OR08-分公司理赔'!AU13</f>
        <v>6</v>
      </c>
      <c r="J46" s="1050">
        <f>'OR08-分公司理赔'!BA13</f>
        <v>6</v>
      </c>
      <c r="K46" s="1050">
        <f>'OR08-分公司理赔'!BG13</f>
        <v>6</v>
      </c>
      <c r="L46" s="1050">
        <f>'OR08-分公司理赔'!BM13</f>
        <v>6</v>
      </c>
      <c r="M46" s="1050">
        <f>'OR08-分公司理赔'!BS13</f>
        <v>6</v>
      </c>
      <c r="N46" s="1050">
        <f>'OR08-分公司理赔'!BY13</f>
        <v>6</v>
      </c>
      <c r="O46" s="1050" t="s">
        <v>2111</v>
      </c>
      <c r="R46" s="850"/>
      <c r="AA46" s="120"/>
    </row>
    <row r="47" spans="1:27" ht="14.25">
      <c r="A47" s="1768"/>
      <c r="B47" s="1054" t="s">
        <v>2084</v>
      </c>
      <c r="C47" s="1053">
        <f t="shared" si="0"/>
        <v>3.8888888888888883E-2</v>
      </c>
      <c r="D47" s="1049">
        <v>8</v>
      </c>
      <c r="E47" s="1050">
        <f>S49</f>
        <v>2</v>
      </c>
      <c r="F47" s="1050">
        <f>S50</f>
        <v>4</v>
      </c>
      <c r="G47" s="1050">
        <v>2</v>
      </c>
      <c r="H47" s="1050">
        <f>S53</f>
        <v>8</v>
      </c>
      <c r="I47" s="1050">
        <f>S54</f>
        <v>8</v>
      </c>
      <c r="J47" s="1050">
        <f>S56</f>
        <v>8</v>
      </c>
      <c r="K47" s="1050">
        <f>S57</f>
        <v>2</v>
      </c>
      <c r="L47" s="1050">
        <f>S58</f>
        <v>8</v>
      </c>
      <c r="M47" s="1050">
        <f>S59</f>
        <v>4</v>
      </c>
      <c r="N47" s="1050">
        <f>S60</f>
        <v>4</v>
      </c>
      <c r="O47" s="1050" t="s">
        <v>2119</v>
      </c>
      <c r="P47" s="1031"/>
      <c r="S47" s="1774">
        <v>8</v>
      </c>
      <c r="T47" s="1775"/>
      <c r="U47" s="1770">
        <v>4</v>
      </c>
      <c r="V47" s="1776"/>
      <c r="W47" s="1770">
        <v>2</v>
      </c>
      <c r="X47" s="1776"/>
      <c r="Y47" s="1770">
        <v>0</v>
      </c>
      <c r="Z47" s="1771"/>
      <c r="AA47" s="120"/>
    </row>
    <row r="48" spans="1:27" ht="14.25">
      <c r="A48" s="1768"/>
      <c r="B48" s="1054" t="s">
        <v>1323</v>
      </c>
      <c r="C48" s="1053">
        <f t="shared" si="0"/>
        <v>3.8888888888888883E-2</v>
      </c>
      <c r="D48" s="1049">
        <v>6</v>
      </c>
      <c r="E48" s="1050">
        <f>'OR08-分公司理赔'!W19</f>
        <v>0</v>
      </c>
      <c r="F48" s="1050">
        <f>'OR08-分公司理赔'!AC19</f>
        <v>0</v>
      </c>
      <c r="G48" s="1050">
        <f>'OR08-分公司理赔'!AI19</f>
        <v>0</v>
      </c>
      <c r="H48" s="1050">
        <f>'OR08-分公司理赔'!AO19</f>
        <v>0</v>
      </c>
      <c r="I48" s="1050">
        <f>'OR08-分公司理赔'!AU19</f>
        <v>0</v>
      </c>
      <c r="J48" s="1050">
        <f>'OR08-分公司理赔'!BA19</f>
        <v>0</v>
      </c>
      <c r="K48" s="1050">
        <f>'OR08-分公司理赔'!BG19</f>
        <v>0</v>
      </c>
      <c r="L48" s="1050">
        <f>'OR08-分公司理赔'!BM19</f>
        <v>0</v>
      </c>
      <c r="M48" s="1050">
        <f>'OR08-分公司理赔'!BS19</f>
        <v>0</v>
      </c>
      <c r="N48" s="1050">
        <f>'OR08-分公司理赔'!BY19</f>
        <v>6</v>
      </c>
      <c r="O48" s="1050" t="s">
        <v>2111</v>
      </c>
      <c r="Q48" s="1111" t="s">
        <v>2131</v>
      </c>
      <c r="R48" s="1112">
        <f>'OR08-分公司理赔'!L16</f>
        <v>0.27705140170725684</v>
      </c>
      <c r="S48" s="743"/>
      <c r="T48" s="1773">
        <f>R48</f>
        <v>0.27705140170725684</v>
      </c>
      <c r="U48" s="1773"/>
      <c r="V48" s="1773">
        <f>T48*1.35</f>
        <v>0.37401939230479675</v>
      </c>
      <c r="W48" s="1773"/>
      <c r="X48" s="1773">
        <f>T48*2</f>
        <v>0.55410280341451368</v>
      </c>
      <c r="Y48" s="1773"/>
    </row>
    <row r="49" spans="1:26" ht="14.25">
      <c r="A49" s="1768"/>
      <c r="B49" s="1054" t="s">
        <v>2085</v>
      </c>
      <c r="C49" s="1053">
        <f t="shared" si="0"/>
        <v>3.8888888888888883E-2</v>
      </c>
      <c r="D49" s="1049">
        <v>4</v>
      </c>
      <c r="E49" s="1050">
        <f>'OR08-分公司理赔'!W22</f>
        <v>0</v>
      </c>
      <c r="F49" s="1050">
        <f>'OR08-分公司理赔'!AC22</f>
        <v>0</v>
      </c>
      <c r="G49" s="1050">
        <f>'OR08-分公司理赔'!AI22</f>
        <v>0</v>
      </c>
      <c r="H49" s="1050">
        <f>'OR08-分公司理赔'!AO22</f>
        <v>0</v>
      </c>
      <c r="I49" s="1050">
        <f>'OR08-分公司理赔'!AU22</f>
        <v>0</v>
      </c>
      <c r="J49" s="1050">
        <f>'OR08-分公司理赔'!BA22</f>
        <v>0</v>
      </c>
      <c r="K49" s="1050">
        <f>'OR08-分公司理赔'!BG22</f>
        <v>0</v>
      </c>
      <c r="L49" s="1050">
        <f>'OR08-分公司理赔'!BM22</f>
        <v>0</v>
      </c>
      <c r="M49" s="1050">
        <f>'OR08-分公司理赔'!BS22</f>
        <v>0</v>
      </c>
      <c r="N49" s="1050">
        <f>'OR08-分公司理赔'!BY22</f>
        <v>4</v>
      </c>
      <c r="O49" s="1050" t="s">
        <v>2111</v>
      </c>
      <c r="Q49" s="256" t="s">
        <v>2122</v>
      </c>
      <c r="R49" s="1038">
        <f>'OR08-分公司理赔'!V16</f>
        <v>0.5</v>
      </c>
      <c r="S49" s="1037">
        <f t="shared" ref="S49:S60" si="2">IF(R49&gt;$X$48,0,IF(R49&gt;$V$48,2,IF(R49&gt;$T$48,4,8)))</f>
        <v>2</v>
      </c>
      <c r="Z49" s="743"/>
    </row>
    <row r="50" spans="1:26" ht="14.25">
      <c r="A50" s="1768"/>
      <c r="B50" s="1054" t="s">
        <v>2086</v>
      </c>
      <c r="C50" s="1053">
        <f t="shared" si="0"/>
        <v>3.8888888888888883E-2</v>
      </c>
      <c r="D50" s="1049">
        <v>4</v>
      </c>
      <c r="E50" s="1050">
        <f>'OR08-分公司理赔'!W25</f>
        <v>4</v>
      </c>
      <c r="F50" s="1050">
        <f>'OR08-分公司理赔'!AC25</f>
        <v>4</v>
      </c>
      <c r="G50" s="1050">
        <f>'OR08-分公司理赔'!AI25</f>
        <v>4</v>
      </c>
      <c r="H50" s="1050">
        <f>'OR08-分公司理赔'!AO25</f>
        <v>4</v>
      </c>
      <c r="I50" s="1050">
        <f>'OR08-分公司理赔'!AU25</f>
        <v>4</v>
      </c>
      <c r="J50" s="1050">
        <f>'OR08-分公司理赔'!BA25</f>
        <v>4</v>
      </c>
      <c r="K50" s="1050">
        <f>'OR08-分公司理赔'!BG25</f>
        <v>4</v>
      </c>
      <c r="L50" s="1050">
        <f>'OR08-分公司理赔'!BM25</f>
        <v>4</v>
      </c>
      <c r="M50" s="1050">
        <f>'OR08-分公司理赔'!BS25</f>
        <v>4</v>
      </c>
      <c r="N50" s="1050">
        <f>'OR08-分公司理赔'!BY25</f>
        <v>4</v>
      </c>
      <c r="O50" s="1050" t="s">
        <v>2111</v>
      </c>
      <c r="Q50" s="256" t="s">
        <v>2123</v>
      </c>
      <c r="R50" s="1038">
        <f>'OR08-分公司理赔'!AB16</f>
        <v>0.37218045112781956</v>
      </c>
      <c r="S50" s="1037">
        <f t="shared" si="2"/>
        <v>4</v>
      </c>
      <c r="T50" s="1036"/>
      <c r="U50" s="1039"/>
      <c r="V50" s="1039"/>
      <c r="W50" s="1039"/>
      <c r="X50" s="1039"/>
      <c r="Y50" s="120"/>
    </row>
    <row r="51" spans="1:26" ht="14.25">
      <c r="A51" s="1768"/>
      <c r="B51" s="1362" t="s">
        <v>2205</v>
      </c>
      <c r="C51" s="1089"/>
      <c r="D51" s="1049"/>
      <c r="E51" s="1050">
        <f>'OR08-分公司理赔'!V29</f>
        <v>0</v>
      </c>
      <c r="F51" s="1050">
        <f>'OR08-分公司理赔'!AB29</f>
        <v>0</v>
      </c>
      <c r="G51" s="1050">
        <f>'OR08-分公司理赔'!AH29</f>
        <v>0</v>
      </c>
      <c r="H51" s="1050">
        <f>'OR08-分公司理赔'!AN29</f>
        <v>0</v>
      </c>
      <c r="I51" s="1050">
        <f>'OR08-分公司理赔'!AT29</f>
        <v>0</v>
      </c>
      <c r="J51" s="1050">
        <f>'OR08-分公司理赔'!AZ29</f>
        <v>0</v>
      </c>
      <c r="K51" s="1050">
        <f>'OR08-分公司理赔'!BF29</f>
        <v>0</v>
      </c>
      <c r="L51" s="1050">
        <f>'OR08-分公司理赔'!BL29</f>
        <v>0</v>
      </c>
      <c r="M51" s="1050">
        <f>'OR08-分公司理赔'!BR29</f>
        <v>0</v>
      </c>
      <c r="N51" s="1050">
        <f>'OR08-分公司理赔'!BX29</f>
        <v>0</v>
      </c>
      <c r="O51" s="1050" t="s">
        <v>2116</v>
      </c>
      <c r="Q51" s="256" t="s">
        <v>2124</v>
      </c>
      <c r="R51" s="1038">
        <f>'OR08-分公司理赔'!AH16</f>
        <v>0.24</v>
      </c>
      <c r="S51" s="1037">
        <f t="shared" si="2"/>
        <v>8</v>
      </c>
      <c r="T51" s="1036"/>
      <c r="U51" s="1039"/>
      <c r="V51" s="1039"/>
      <c r="W51" s="1039"/>
      <c r="X51" s="1039"/>
      <c r="Y51" s="120"/>
    </row>
    <row r="52" spans="1:26" ht="14.25">
      <c r="A52" s="1768"/>
      <c r="B52" s="1362" t="s">
        <v>1336</v>
      </c>
      <c r="C52" s="1361"/>
      <c r="D52" s="1049"/>
      <c r="E52" s="1050">
        <f>'OR08-分公司理赔'!V30</f>
        <v>0</v>
      </c>
      <c r="F52" s="1050">
        <f>'OR08-分公司理赔'!AB30</f>
        <v>0</v>
      </c>
      <c r="G52" s="1050">
        <f>'OR08-分公司理赔'!AH30</f>
        <v>0</v>
      </c>
      <c r="H52" s="1050">
        <f>'OR08-分公司理赔'!AN30</f>
        <v>0</v>
      </c>
      <c r="I52" s="1050">
        <f>'OR08-分公司理赔'!AT30</f>
        <v>0</v>
      </c>
      <c r="J52" s="1050">
        <f>'OR08-分公司理赔'!AZ30</f>
        <v>0</v>
      </c>
      <c r="K52" s="1050">
        <f>'OR08-分公司理赔'!BF30</f>
        <v>0</v>
      </c>
      <c r="L52" s="1050">
        <f>'OR08-分公司理赔'!BL30</f>
        <v>0</v>
      </c>
      <c r="M52" s="1050">
        <f>'OR08-分公司理赔'!BR30</f>
        <v>0</v>
      </c>
      <c r="N52" s="1050">
        <f>'OR08-分公司理赔'!BX30</f>
        <v>0</v>
      </c>
      <c r="O52" s="1050" t="s">
        <v>2115</v>
      </c>
      <c r="Q52" s="256"/>
      <c r="R52" s="1038"/>
      <c r="S52" s="1037"/>
      <c r="T52" s="1036"/>
      <c r="U52" s="1039"/>
      <c r="V52" s="1039"/>
      <c r="W52" s="1039"/>
      <c r="X52" s="1039"/>
      <c r="Y52" s="120"/>
    </row>
    <row r="53" spans="1:26" ht="14.25">
      <c r="A53" s="1768"/>
      <c r="B53" s="1362"/>
      <c r="C53" s="1053">
        <f t="shared" si="0"/>
        <v>3.8888888888888883E-2</v>
      </c>
      <c r="D53" s="1049">
        <v>20</v>
      </c>
      <c r="E53" s="1050">
        <f>'OR08-分公司理赔'!W29</f>
        <v>20</v>
      </c>
      <c r="F53" s="1050">
        <f>'OR08-分公司理赔'!AC29</f>
        <v>20</v>
      </c>
      <c r="G53" s="1050">
        <f>'OR08-分公司理赔'!AI29</f>
        <v>20</v>
      </c>
      <c r="H53" s="1050">
        <f>'OR08-分公司理赔'!AO29</f>
        <v>20</v>
      </c>
      <c r="I53" s="1050">
        <f>'OR08-分公司理赔'!AU29</f>
        <v>20</v>
      </c>
      <c r="J53" s="1050">
        <f>'OR08-分公司理赔'!BA29</f>
        <v>20</v>
      </c>
      <c r="K53" s="1050">
        <f>'OR08-分公司理赔'!BG29</f>
        <v>20</v>
      </c>
      <c r="L53" s="1050">
        <f>'OR08-分公司理赔'!BM29</f>
        <v>20</v>
      </c>
      <c r="M53" s="1050">
        <f>'OR08-分公司理赔'!BS29</f>
        <v>20</v>
      </c>
      <c r="N53" s="1050">
        <f>'OR08-分公司理赔'!BY29</f>
        <v>20</v>
      </c>
      <c r="O53" s="1050" t="s">
        <v>2111</v>
      </c>
      <c r="Q53" s="256" t="s">
        <v>2125</v>
      </c>
      <c r="R53" s="1038">
        <f>'OR08-分公司理赔'!AN16</f>
        <v>0.13043478260869565</v>
      </c>
      <c r="S53" s="1037">
        <f t="shared" si="2"/>
        <v>8</v>
      </c>
      <c r="T53" s="1036"/>
      <c r="U53" s="1039"/>
      <c r="V53" s="1039"/>
      <c r="W53" s="1039"/>
      <c r="X53" s="1039"/>
      <c r="Y53" s="120"/>
    </row>
    <row r="54" spans="1:26" ht="14.25">
      <c r="A54" s="1768"/>
      <c r="B54" s="1362" t="s">
        <v>2206</v>
      </c>
      <c r="C54" s="1361"/>
      <c r="D54" s="1049"/>
      <c r="E54" s="1050">
        <f>'OR08-分公司理赔'!V31</f>
        <v>0</v>
      </c>
      <c r="F54" s="1050">
        <f>'OR08-分公司理赔'!AB31</f>
        <v>0</v>
      </c>
      <c r="G54" s="1050">
        <f>'OR08-分公司理赔'!AH31</f>
        <v>0</v>
      </c>
      <c r="H54" s="1050">
        <f>'OR08-分公司理赔'!AN31</f>
        <v>0</v>
      </c>
      <c r="I54" s="1050">
        <f>'OR08-分公司理赔'!AT31</f>
        <v>0</v>
      </c>
      <c r="J54" s="1050">
        <f>'OR08-分公司理赔'!AZ31</f>
        <v>0</v>
      </c>
      <c r="K54" s="1050">
        <f>'OR08-分公司理赔'!BF31</f>
        <v>0</v>
      </c>
      <c r="L54" s="1050">
        <f>'OR08-分公司理赔'!BL31</f>
        <v>0</v>
      </c>
      <c r="M54" s="1050">
        <f>'OR08-分公司理赔'!BR31</f>
        <v>0</v>
      </c>
      <c r="N54" s="1050">
        <f>'OR08-分公司理赔'!BX31</f>
        <v>0</v>
      </c>
      <c r="O54" s="1050" t="s">
        <v>2116</v>
      </c>
      <c r="Q54" s="256" t="s">
        <v>2128</v>
      </c>
      <c r="R54" s="1038">
        <f>'OR08-分公司理赔'!AT16</f>
        <v>0.14459930313588851</v>
      </c>
      <c r="S54" s="1037">
        <f t="shared" si="2"/>
        <v>8</v>
      </c>
      <c r="T54" s="1036"/>
      <c r="U54" s="1039"/>
      <c r="V54" s="1039"/>
      <c r="W54" s="1039"/>
      <c r="X54" s="1039"/>
      <c r="Y54" s="120"/>
    </row>
    <row r="55" spans="1:26" ht="14.25">
      <c r="A55" s="1768"/>
      <c r="B55" s="1362" t="s">
        <v>1339</v>
      </c>
      <c r="C55" s="1361"/>
      <c r="D55" s="1049"/>
      <c r="E55" s="1050">
        <f>'OR08-分公司理赔'!V32</f>
        <v>0</v>
      </c>
      <c r="F55" s="1050">
        <f>'OR08-分公司理赔'!AB32</f>
        <v>0</v>
      </c>
      <c r="G55" s="1050">
        <f>'OR08-分公司理赔'!AH32</f>
        <v>0</v>
      </c>
      <c r="H55" s="1050">
        <f>'OR08-分公司理赔'!AN32</f>
        <v>0</v>
      </c>
      <c r="I55" s="1050">
        <f>'OR08-分公司理赔'!AT32</f>
        <v>0</v>
      </c>
      <c r="J55" s="1050">
        <f>'OR08-分公司理赔'!AZ32</f>
        <v>0</v>
      </c>
      <c r="K55" s="1050">
        <f>'OR08-分公司理赔'!BF32</f>
        <v>0</v>
      </c>
      <c r="L55" s="1050">
        <f>'OR08-分公司理赔'!BL32</f>
        <v>0</v>
      </c>
      <c r="M55" s="1050">
        <f>'OR08-分公司理赔'!BR32</f>
        <v>0</v>
      </c>
      <c r="N55" s="1050">
        <f>'OR08-分公司理赔'!BX32</f>
        <v>0</v>
      </c>
      <c r="O55" s="1050" t="s">
        <v>2115</v>
      </c>
      <c r="Q55" s="256"/>
      <c r="R55" s="1038"/>
      <c r="S55" s="1037"/>
      <c r="T55" s="1036"/>
      <c r="U55" s="1039"/>
      <c r="V55" s="1039"/>
      <c r="W55" s="1039"/>
      <c r="X55" s="1039"/>
      <c r="Y55" s="120"/>
    </row>
    <row r="56" spans="1:26" ht="14.25">
      <c r="A56" s="1768"/>
      <c r="B56" s="1362"/>
      <c r="C56" s="1084">
        <f t="shared" si="0"/>
        <v>3.8888888888888883E-2</v>
      </c>
      <c r="D56" s="1049">
        <v>12</v>
      </c>
      <c r="E56" s="1050">
        <f>'OR08-分公司理赔'!W31</f>
        <v>12</v>
      </c>
      <c r="F56" s="1050">
        <f>'OR08-分公司理赔'!AC31</f>
        <v>12</v>
      </c>
      <c r="G56" s="1050">
        <f>'OR08-分公司理赔'!AI31</f>
        <v>12</v>
      </c>
      <c r="H56" s="1050">
        <f>'OR08-分公司理赔'!AO31</f>
        <v>12</v>
      </c>
      <c r="I56" s="1050">
        <f>'OR08-分公司理赔'!AU31</f>
        <v>12</v>
      </c>
      <c r="J56" s="1050">
        <f>'OR08-分公司理赔'!BA31</f>
        <v>12</v>
      </c>
      <c r="K56" s="1050">
        <f>'OR08-分公司理赔'!BG31</f>
        <v>12</v>
      </c>
      <c r="L56" s="1050">
        <f>'OR08-分公司理赔'!BM31</f>
        <v>12</v>
      </c>
      <c r="M56" s="1050">
        <f>'OR08-分公司理赔'!BS31</f>
        <v>12</v>
      </c>
      <c r="N56" s="1050">
        <f>'OR08-分公司理赔'!BY31</f>
        <v>12</v>
      </c>
      <c r="O56" s="1050" t="s">
        <v>2111</v>
      </c>
      <c r="Q56" s="256" t="s">
        <v>2126</v>
      </c>
      <c r="R56" s="1038">
        <f>'OR08-分公司理赔'!AZ16</f>
        <v>0.16142857142857142</v>
      </c>
      <c r="S56" s="1037">
        <f t="shared" si="2"/>
        <v>8</v>
      </c>
      <c r="T56" s="1036"/>
      <c r="U56" s="1039"/>
      <c r="V56" s="1039"/>
      <c r="W56" s="1039"/>
      <c r="X56" s="1039"/>
      <c r="Y56" s="120"/>
    </row>
    <row r="57" spans="1:26" ht="14.25">
      <c r="A57" s="1768"/>
      <c r="B57" s="1052" t="s">
        <v>2077</v>
      </c>
      <c r="C57" s="1053">
        <f t="shared" si="0"/>
        <v>3.8888888888888883E-2</v>
      </c>
      <c r="D57" s="1049">
        <v>0</v>
      </c>
      <c r="E57" s="1055">
        <v>0</v>
      </c>
      <c r="F57" s="1055">
        <v>0</v>
      </c>
      <c r="G57" s="1055">
        <v>0</v>
      </c>
      <c r="H57" s="1055">
        <v>0</v>
      </c>
      <c r="I57" s="1055">
        <v>0</v>
      </c>
      <c r="J57" s="1056">
        <v>0</v>
      </c>
      <c r="K57" s="1055">
        <v>0</v>
      </c>
      <c r="L57" s="1055">
        <v>0</v>
      </c>
      <c r="M57" s="1055">
        <v>0</v>
      </c>
      <c r="N57" s="1055">
        <v>0</v>
      </c>
      <c r="O57" s="1050" t="s">
        <v>2132</v>
      </c>
      <c r="Q57" s="256" t="s">
        <v>2127</v>
      </c>
      <c r="R57" s="1038">
        <f>'OR08-分公司理赔'!BF16</f>
        <v>0.41095890410958902</v>
      </c>
      <c r="S57" s="1037">
        <f t="shared" si="2"/>
        <v>2</v>
      </c>
      <c r="T57" s="120"/>
      <c r="U57" s="1039"/>
      <c r="V57" s="1039"/>
      <c r="W57" s="1039"/>
      <c r="X57" s="1039"/>
      <c r="Y57" s="120"/>
    </row>
    <row r="58" spans="1:26" ht="14.25">
      <c r="A58" s="1768"/>
      <c r="B58" s="1054" t="s">
        <v>2088</v>
      </c>
      <c r="C58" s="1053">
        <f t="shared" si="0"/>
        <v>3.8888888888888883E-2</v>
      </c>
      <c r="D58" s="1049">
        <v>2</v>
      </c>
      <c r="E58" s="1050">
        <f>'OR08-分公司理赔'!W34</f>
        <v>2</v>
      </c>
      <c r="F58" s="1050">
        <f>'OR08-分公司理赔'!AC34</f>
        <v>2</v>
      </c>
      <c r="G58" s="1050">
        <f>'OR08-分公司理赔'!AI34</f>
        <v>2</v>
      </c>
      <c r="H58" s="1050">
        <f>'OR08-分公司理赔'!AO34</f>
        <v>2</v>
      </c>
      <c r="I58" s="1050">
        <f>'OR08-分公司理赔'!AU34</f>
        <v>2</v>
      </c>
      <c r="J58" s="1050">
        <f>'OR08-分公司理赔'!BA34</f>
        <v>2</v>
      </c>
      <c r="K58" s="1050">
        <f>'OR08-分公司理赔'!BG34</f>
        <v>2</v>
      </c>
      <c r="L58" s="1050">
        <f>'OR08-分公司理赔'!BM34</f>
        <v>2</v>
      </c>
      <c r="M58" s="1050">
        <f>'OR08-分公司理赔'!BS34</f>
        <v>2</v>
      </c>
      <c r="N58" s="1050">
        <f>'OR08-分公司理赔'!BY34</f>
        <v>2</v>
      </c>
      <c r="O58" s="1050" t="s">
        <v>2111</v>
      </c>
      <c r="Q58" s="256" t="s">
        <v>2129</v>
      </c>
      <c r="R58" s="1038">
        <f>'OR08-分公司理赔'!BL16</f>
        <v>0.13958333333333334</v>
      </c>
      <c r="S58" s="1037">
        <f t="shared" si="2"/>
        <v>8</v>
      </c>
      <c r="T58" s="120"/>
      <c r="U58" s="1039"/>
      <c r="V58" s="1039"/>
      <c r="W58" s="1039"/>
      <c r="X58" s="1039"/>
      <c r="Y58" s="120"/>
    </row>
    <row r="59" spans="1:26" ht="14.25">
      <c r="A59" s="1768"/>
      <c r="B59" s="1054" t="s">
        <v>1344</v>
      </c>
      <c r="C59" s="1053">
        <f t="shared" si="0"/>
        <v>3.8888888888888883E-2</v>
      </c>
      <c r="D59" s="1049">
        <v>2</v>
      </c>
      <c r="E59" s="1050">
        <f>'OR08-分公司理赔'!W36</f>
        <v>2</v>
      </c>
      <c r="F59" s="1050">
        <f>'OR08-分公司理赔'!AC36</f>
        <v>2</v>
      </c>
      <c r="G59" s="1050">
        <f>'OR08-分公司理赔'!AI36</f>
        <v>2</v>
      </c>
      <c r="H59" s="1050">
        <f>'OR08-分公司理赔'!AO36</f>
        <v>2</v>
      </c>
      <c r="I59" s="1050">
        <f>'OR08-分公司理赔'!AU36</f>
        <v>2</v>
      </c>
      <c r="J59" s="1050">
        <f>'OR08-分公司理赔'!BA36</f>
        <v>2</v>
      </c>
      <c r="K59" s="1050">
        <f>'OR08-分公司理赔'!BG36</f>
        <v>2</v>
      </c>
      <c r="L59" s="1050">
        <f>'OR08-分公司理赔'!BM36</f>
        <v>2</v>
      </c>
      <c r="M59" s="1050">
        <f>'OR08-分公司理赔'!BS36</f>
        <v>2</v>
      </c>
      <c r="N59" s="1050">
        <f>'OR08-分公司理赔'!BY36</f>
        <v>2</v>
      </c>
      <c r="O59" s="1050" t="s">
        <v>2111</v>
      </c>
      <c r="Q59" s="256" t="s">
        <v>2087</v>
      </c>
      <c r="R59" s="1038">
        <f>'OR08-分公司理赔'!BR16</f>
        <v>0.30769230769230771</v>
      </c>
      <c r="S59" s="1037">
        <f t="shared" si="2"/>
        <v>4</v>
      </c>
      <c r="T59" s="120"/>
      <c r="U59" s="1039"/>
      <c r="V59" s="1039"/>
      <c r="W59" s="1039"/>
      <c r="X59" s="1039"/>
      <c r="Y59" s="120"/>
    </row>
    <row r="60" spans="1:26" ht="14.25">
      <c r="A60" s="1768"/>
      <c r="B60" s="1054" t="s">
        <v>2089</v>
      </c>
      <c r="C60" s="1053">
        <f t="shared" si="0"/>
        <v>3.8888888888888883E-2</v>
      </c>
      <c r="D60" s="1049">
        <v>1</v>
      </c>
      <c r="E60" s="1050">
        <f>'OR08-分公司理赔'!W37</f>
        <v>1</v>
      </c>
      <c r="F60" s="1050">
        <f>'OR08-分公司理赔'!AC37</f>
        <v>1</v>
      </c>
      <c r="G60" s="1050">
        <f>'OR08-分公司理赔'!AI37</f>
        <v>1</v>
      </c>
      <c r="H60" s="1050">
        <f>'OR08-分公司理赔'!AO37</f>
        <v>1</v>
      </c>
      <c r="I60" s="1050">
        <f>'OR08-分公司理赔'!AU37</f>
        <v>1</v>
      </c>
      <c r="J60" s="1050">
        <f>'OR08-分公司理赔'!BA37</f>
        <v>1</v>
      </c>
      <c r="K60" s="1050">
        <f>'OR08-分公司理赔'!BG37</f>
        <v>1</v>
      </c>
      <c r="L60" s="1050">
        <f>'OR08-分公司理赔'!BM37</f>
        <v>1</v>
      </c>
      <c r="M60" s="1050">
        <f>'OR08-分公司理赔'!BS37</f>
        <v>1</v>
      </c>
      <c r="N60" s="1050">
        <f>'OR08-分公司理赔'!BY37</f>
        <v>1</v>
      </c>
      <c r="O60" s="1050" t="s">
        <v>2111</v>
      </c>
      <c r="Q60" s="256" t="s">
        <v>2130</v>
      </c>
      <c r="R60" s="1038">
        <f>'OR08-分公司理赔'!BX16</f>
        <v>0.36363636363636365</v>
      </c>
      <c r="S60" s="1037">
        <f t="shared" si="2"/>
        <v>4</v>
      </c>
      <c r="T60" s="120"/>
      <c r="U60" s="1039"/>
      <c r="V60" s="1039"/>
      <c r="W60" s="1039"/>
      <c r="X60" s="1039"/>
      <c r="Y60" s="120"/>
    </row>
    <row r="61" spans="1:26" ht="14.25">
      <c r="A61" s="1769"/>
      <c r="B61" s="1052" t="s">
        <v>2090</v>
      </c>
      <c r="C61" s="1053">
        <f t="shared" si="0"/>
        <v>3.8888888888888883E-2</v>
      </c>
      <c r="D61" s="1049">
        <v>10</v>
      </c>
      <c r="E61" s="1050">
        <f>MAX(10-0.5*E51-3*E52-3*E54-1*E55,0)</f>
        <v>10</v>
      </c>
      <c r="F61" s="1050">
        <f t="shared" ref="F61:N61" si="3">MAX(10-0.5*F51-3*F52-3*F54-1*F55,0)</f>
        <v>10</v>
      </c>
      <c r="G61" s="1050">
        <f t="shared" si="3"/>
        <v>10</v>
      </c>
      <c r="H61" s="1050">
        <f t="shared" si="3"/>
        <v>10</v>
      </c>
      <c r="I61" s="1050">
        <f t="shared" si="3"/>
        <v>10</v>
      </c>
      <c r="J61" s="1050">
        <f t="shared" si="3"/>
        <v>10</v>
      </c>
      <c r="K61" s="1050">
        <f t="shared" si="3"/>
        <v>10</v>
      </c>
      <c r="L61" s="1050">
        <f t="shared" si="3"/>
        <v>10</v>
      </c>
      <c r="M61" s="1050">
        <f t="shared" si="3"/>
        <v>10</v>
      </c>
      <c r="N61" s="1050">
        <f t="shared" si="3"/>
        <v>10</v>
      </c>
      <c r="O61" s="1050" t="s">
        <v>2117</v>
      </c>
      <c r="T61" s="120"/>
      <c r="U61" s="120"/>
      <c r="V61" s="120"/>
      <c r="W61" s="120"/>
      <c r="X61" s="120"/>
      <c r="Y61" s="120"/>
    </row>
    <row r="62" spans="1:26" ht="14.25">
      <c r="A62" s="1782" t="s">
        <v>2091</v>
      </c>
      <c r="B62" s="1059" t="s">
        <v>2092</v>
      </c>
      <c r="C62" s="1060">
        <f t="shared" ref="C62:C93" si="4">40%*(1/18)</f>
        <v>2.2222222222222223E-2</v>
      </c>
      <c r="D62" s="1057">
        <v>5</v>
      </c>
      <c r="E62" s="1365">
        <v>5</v>
      </c>
      <c r="F62" s="1365">
        <v>5</v>
      </c>
      <c r="G62" s="1365">
        <v>5</v>
      </c>
      <c r="H62" s="1365">
        <v>5</v>
      </c>
      <c r="I62" s="1365">
        <v>5</v>
      </c>
      <c r="J62" s="1365">
        <v>5</v>
      </c>
      <c r="K62" s="1365">
        <v>5</v>
      </c>
      <c r="L62" s="1365">
        <v>5</v>
      </c>
      <c r="M62" s="1365">
        <v>5</v>
      </c>
      <c r="N62" s="1365">
        <v>5</v>
      </c>
      <c r="O62" s="1040" t="s">
        <v>2112</v>
      </c>
      <c r="T62" s="120"/>
      <c r="U62" s="120"/>
      <c r="V62" s="120"/>
      <c r="W62" s="120"/>
      <c r="X62" s="120"/>
      <c r="Y62" s="120"/>
    </row>
    <row r="63" spans="1:26" ht="14.25">
      <c r="A63" s="1783"/>
      <c r="B63" s="1059" t="s">
        <v>2093</v>
      </c>
      <c r="C63" s="1060">
        <f t="shared" si="4"/>
        <v>2.2222222222222223E-2</v>
      </c>
      <c r="D63" s="1057">
        <v>2</v>
      </c>
      <c r="E63" s="1061">
        <f>'OR13-分公司财务管理'!X5</f>
        <v>0</v>
      </c>
      <c r="F63" s="1061">
        <f>'OR13-分公司财务管理'!AF5</f>
        <v>2</v>
      </c>
      <c r="G63" s="1040">
        <f>'OR13-分公司财务管理'!AN5</f>
        <v>2</v>
      </c>
      <c r="H63" s="1040">
        <f>'OR13-分公司财务管理'!AV5</f>
        <v>2</v>
      </c>
      <c r="I63" s="1040">
        <f>'OR13-分公司财务管理'!BD5</f>
        <v>2</v>
      </c>
      <c r="J63" s="1040">
        <f>'OR13-分公司财务管理'!BL5</f>
        <v>2</v>
      </c>
      <c r="K63" s="1061">
        <f>'OR13-分公司财务管理'!BT5</f>
        <v>0</v>
      </c>
      <c r="L63" s="1061">
        <f>'OR13-分公司财务管理'!CB5</f>
        <v>2</v>
      </c>
      <c r="M63" s="1040">
        <f>'OR13-分公司财务管理'!CJ5</f>
        <v>2</v>
      </c>
      <c r="N63" s="1040">
        <f>'OR13-分公司财务管理'!CR5</f>
        <v>2</v>
      </c>
      <c r="O63" s="1040" t="s">
        <v>2111</v>
      </c>
    </row>
    <row r="64" spans="1:26" ht="14.25">
      <c r="A64" s="1783"/>
      <c r="B64" s="1059" t="s">
        <v>2094</v>
      </c>
      <c r="C64" s="1060">
        <f t="shared" si="4"/>
        <v>2.2222222222222223E-2</v>
      </c>
      <c r="D64" s="1057">
        <v>2</v>
      </c>
      <c r="E64" s="1061">
        <f>'OR13-分公司财务管理'!X9</f>
        <v>2</v>
      </c>
      <c r="F64" s="1061">
        <f>'OR13-分公司财务管理'!AF9</f>
        <v>2</v>
      </c>
      <c r="G64" s="1061">
        <f>'OR13-分公司财务管理'!AN9</f>
        <v>0</v>
      </c>
      <c r="H64" s="1061">
        <f>'OR13-分公司财务管理'!AV9</f>
        <v>2</v>
      </c>
      <c r="I64" s="1061">
        <f>'OR13-分公司财务管理'!BD9</f>
        <v>2</v>
      </c>
      <c r="J64" s="1061">
        <f>'OR13-分公司财务管理'!BL9</f>
        <v>2</v>
      </c>
      <c r="K64" s="1061">
        <f>'OR13-分公司财务管理'!BT9</f>
        <v>2</v>
      </c>
      <c r="L64" s="1061">
        <f>'OR13-分公司财务管理'!CB9</f>
        <v>0</v>
      </c>
      <c r="M64" s="1061">
        <f>'OR13-分公司财务管理'!CJ9</f>
        <v>2</v>
      </c>
      <c r="N64" s="1061">
        <f>'OR13-分公司财务管理'!CR9</f>
        <v>2</v>
      </c>
      <c r="O64" s="1040" t="s">
        <v>2111</v>
      </c>
    </row>
    <row r="65" spans="1:15" ht="14.25">
      <c r="A65" s="1783"/>
      <c r="B65" s="1059" t="s">
        <v>2095</v>
      </c>
      <c r="C65" s="1060">
        <f t="shared" si="4"/>
        <v>2.2222222222222223E-2</v>
      </c>
      <c r="D65" s="1057">
        <v>2</v>
      </c>
      <c r="E65" s="1061">
        <f>'OR13-分公司财务管理'!X12</f>
        <v>2</v>
      </c>
      <c r="F65" s="1061">
        <f>'OR13-分公司财务管理'!AF12</f>
        <v>2</v>
      </c>
      <c r="G65" s="1061">
        <f>'OR13-分公司财务管理'!AN12</f>
        <v>2</v>
      </c>
      <c r="H65" s="1061">
        <f>'OR13-分公司财务管理'!AV12</f>
        <v>2</v>
      </c>
      <c r="I65" s="1061">
        <f>'OR13-分公司财务管理'!BD12</f>
        <v>2</v>
      </c>
      <c r="J65" s="1061">
        <f>'OR13-分公司财务管理'!BL12</f>
        <v>2</v>
      </c>
      <c r="K65" s="1061">
        <f>'OR13-分公司财务管理'!BT12</f>
        <v>2</v>
      </c>
      <c r="L65" s="1061">
        <f>'OR13-分公司财务管理'!CB12</f>
        <v>2</v>
      </c>
      <c r="M65" s="1061">
        <f>'OR13-分公司财务管理'!CJ12</f>
        <v>2</v>
      </c>
      <c r="N65" s="1061">
        <f>'OR13-分公司财务管理'!CR12</f>
        <v>2</v>
      </c>
      <c r="O65" s="1040" t="s">
        <v>2111</v>
      </c>
    </row>
    <row r="66" spans="1:15" ht="14.25">
      <c r="A66" s="1783"/>
      <c r="B66" s="1059" t="s">
        <v>1366</v>
      </c>
      <c r="C66" s="1060">
        <f t="shared" si="4"/>
        <v>2.2222222222222223E-2</v>
      </c>
      <c r="D66" s="1057">
        <v>2</v>
      </c>
      <c r="E66" s="1061">
        <f>'OR13-分公司财务管理'!X15</f>
        <v>2</v>
      </c>
      <c r="F66" s="1061">
        <f>'OR13-分公司财务管理'!AF15</f>
        <v>2</v>
      </c>
      <c r="G66" s="1061">
        <f>'OR13-分公司财务管理'!AN15</f>
        <v>2</v>
      </c>
      <c r="H66" s="1061">
        <f>'OR13-分公司财务管理'!AV15</f>
        <v>2</v>
      </c>
      <c r="I66" s="1061">
        <f>'OR13-分公司财务管理'!BD15</f>
        <v>2</v>
      </c>
      <c r="J66" s="1061">
        <f>'OR13-分公司财务管理'!BL15</f>
        <v>2</v>
      </c>
      <c r="K66" s="1061">
        <f>'OR13-分公司财务管理'!BT15</f>
        <v>2</v>
      </c>
      <c r="L66" s="1061">
        <f>'OR13-分公司财务管理'!CB15</f>
        <v>2</v>
      </c>
      <c r="M66" s="1061">
        <f>'OR13-分公司财务管理'!CJ15</f>
        <v>2</v>
      </c>
      <c r="N66" s="1061">
        <f>'OR13-分公司财务管理'!CR15</f>
        <v>2</v>
      </c>
      <c r="O66" s="1040" t="s">
        <v>2111</v>
      </c>
    </row>
    <row r="67" spans="1:15" ht="14.25">
      <c r="A67" s="1783"/>
      <c r="B67" s="1059" t="s">
        <v>1209</v>
      </c>
      <c r="C67" s="1060">
        <f t="shared" si="4"/>
        <v>2.2222222222222223E-2</v>
      </c>
      <c r="D67" s="1057">
        <v>2</v>
      </c>
      <c r="E67" s="1061">
        <f>'OR13-分公司财务管理'!X16</f>
        <v>2</v>
      </c>
      <c r="F67" s="1061">
        <f>'OR13-分公司财务管理'!AF16</f>
        <v>2</v>
      </c>
      <c r="G67" s="1061">
        <f>'OR13-分公司财务管理'!AN16</f>
        <v>2</v>
      </c>
      <c r="H67" s="1061">
        <f>'OR13-分公司财务管理'!AV16</f>
        <v>2</v>
      </c>
      <c r="I67" s="1061">
        <f>'OR13-分公司财务管理'!BD16</f>
        <v>2</v>
      </c>
      <c r="J67" s="1061">
        <f>'OR13-分公司财务管理'!BL16</f>
        <v>2</v>
      </c>
      <c r="K67" s="1061">
        <f>'OR13-分公司财务管理'!BT16</f>
        <v>2</v>
      </c>
      <c r="L67" s="1061">
        <f>'OR13-分公司财务管理'!CB16</f>
        <v>2</v>
      </c>
      <c r="M67" s="1061">
        <f>'OR13-分公司财务管理'!CJ16</f>
        <v>2</v>
      </c>
      <c r="N67" s="1061">
        <f>'OR13-分公司财务管理'!CR16</f>
        <v>2</v>
      </c>
      <c r="O67" s="1040" t="s">
        <v>2111</v>
      </c>
    </row>
    <row r="68" spans="1:15" ht="14.25">
      <c r="A68" s="1783"/>
      <c r="B68" s="1059" t="s">
        <v>2096</v>
      </c>
      <c r="C68" s="1060">
        <f t="shared" si="4"/>
        <v>2.2222222222222223E-2</v>
      </c>
      <c r="D68" s="1057">
        <v>4</v>
      </c>
      <c r="E68" s="1061">
        <f>'OR13-分公司财务管理'!X17</f>
        <v>4</v>
      </c>
      <c r="F68" s="1061">
        <f>'OR13-分公司财务管理'!AF17</f>
        <v>4</v>
      </c>
      <c r="G68" s="1061">
        <f>'OR13-分公司财务管理'!AN17</f>
        <v>4</v>
      </c>
      <c r="H68" s="1061">
        <f>'OR13-分公司财务管理'!AV17</f>
        <v>4</v>
      </c>
      <c r="I68" s="1061">
        <f>'OR13-分公司财务管理'!BD17</f>
        <v>4</v>
      </c>
      <c r="J68" s="1061">
        <f>'OR13-分公司财务管理'!BL17</f>
        <v>4</v>
      </c>
      <c r="K68" s="1061">
        <f>'OR13-分公司财务管理'!BT17</f>
        <v>4</v>
      </c>
      <c r="L68" s="1061">
        <f>'OR13-分公司财务管理'!CB17</f>
        <v>4</v>
      </c>
      <c r="M68" s="1061">
        <f>'OR13-分公司财务管理'!CJ17</f>
        <v>4</v>
      </c>
      <c r="N68" s="1061">
        <f>'OR13-分公司财务管理'!CR17</f>
        <v>4</v>
      </c>
      <c r="O68" s="1040" t="s">
        <v>2111</v>
      </c>
    </row>
    <row r="69" spans="1:15" ht="14.25">
      <c r="A69" s="1783"/>
      <c r="B69" s="1059" t="s">
        <v>1378</v>
      </c>
      <c r="C69" s="1090"/>
      <c r="D69" s="1057"/>
      <c r="E69" s="1040">
        <f>'OR13-分公司财务管理'!W20</f>
        <v>0</v>
      </c>
      <c r="F69" s="1040">
        <f>'OR13-分公司财务管理'!AE17</f>
        <v>0</v>
      </c>
      <c r="G69" s="1061">
        <f>'OR13-分公司财务管理'!AM17</f>
        <v>0</v>
      </c>
      <c r="H69" s="1040">
        <f>'OR13-分公司财务管理'!AU20</f>
        <v>0</v>
      </c>
      <c r="I69" s="1040">
        <f>'OR13-分公司财务管理'!BC20</f>
        <v>0</v>
      </c>
      <c r="J69" s="1040">
        <f>'OR13-分公司财务管理'!BK20</f>
        <v>0</v>
      </c>
      <c r="K69" s="1040">
        <f>'OR13-分公司财务管理'!BS20</f>
        <v>0</v>
      </c>
      <c r="L69" s="1040">
        <f>'OR13-分公司财务管理'!CA20</f>
        <v>0</v>
      </c>
      <c r="M69" s="1040">
        <f>'OR13-分公司财务管理'!CI20</f>
        <v>0</v>
      </c>
      <c r="N69" s="1040">
        <f>'OR13-分公司财务管理'!CQ20</f>
        <v>0</v>
      </c>
      <c r="O69" s="1040" t="s">
        <v>2116</v>
      </c>
    </row>
    <row r="70" spans="1:15" ht="14.25">
      <c r="A70" s="1783"/>
      <c r="B70" s="1059" t="s">
        <v>1381</v>
      </c>
      <c r="C70" s="1090"/>
      <c r="D70" s="1057"/>
      <c r="E70" s="1040">
        <f>'OR13-分公司财务管理'!W21</f>
        <v>0</v>
      </c>
      <c r="F70" s="1040">
        <f>'OR13-分公司财务管理'!AE18</f>
        <v>0</v>
      </c>
      <c r="G70" s="1061">
        <f>'OR13-分公司财务管理'!AM18</f>
        <v>0</v>
      </c>
      <c r="H70" s="1040">
        <f>'OR13-分公司财务管理'!AU21</f>
        <v>0</v>
      </c>
      <c r="I70" s="1040">
        <f>'OR13-分公司财务管理'!BC21</f>
        <v>0</v>
      </c>
      <c r="J70" s="1040">
        <f>'OR13-分公司财务管理'!BK21</f>
        <v>0</v>
      </c>
      <c r="K70" s="1040">
        <f>'OR13-分公司财务管理'!BS21</f>
        <v>0</v>
      </c>
      <c r="L70" s="1040">
        <f>'OR13-分公司财务管理'!CA21</f>
        <v>0</v>
      </c>
      <c r="M70" s="1040">
        <f>'OR13-分公司财务管理'!CI21</f>
        <v>0</v>
      </c>
      <c r="N70" s="1040">
        <f>'OR13-分公司财务管理'!CQ21</f>
        <v>0</v>
      </c>
      <c r="O70" s="1040" t="s">
        <v>2115</v>
      </c>
    </row>
    <row r="71" spans="1:15" ht="14.25">
      <c r="A71" s="1783"/>
      <c r="B71" s="1059"/>
      <c r="C71" s="1086">
        <f t="shared" si="4"/>
        <v>2.2222222222222223E-2</v>
      </c>
      <c r="D71" s="1057">
        <v>6</v>
      </c>
      <c r="E71" s="1061">
        <f>'OR13-分公司财务管理'!X20</f>
        <v>6</v>
      </c>
      <c r="F71" s="1061">
        <f>'OR13-分公司财务管理'!AF20</f>
        <v>6</v>
      </c>
      <c r="G71" s="1061">
        <f>'OR13-分公司财务管理'!AN20</f>
        <v>6</v>
      </c>
      <c r="H71" s="1061">
        <f>'OR13-分公司财务管理'!AV20</f>
        <v>6</v>
      </c>
      <c r="I71" s="1061">
        <f>'OR13-分公司财务管理'!BD20</f>
        <v>6</v>
      </c>
      <c r="J71" s="1061">
        <f>'OR13-分公司财务管理'!BL20</f>
        <v>6</v>
      </c>
      <c r="K71" s="1061">
        <f>'OR13-分公司财务管理'!BT20</f>
        <v>6</v>
      </c>
      <c r="L71" s="1061">
        <f>'OR13-分公司财务管理'!CB20</f>
        <v>6</v>
      </c>
      <c r="M71" s="1061">
        <f>'OR13-分公司财务管理'!CJ20</f>
        <v>6</v>
      </c>
      <c r="N71" s="1061">
        <f>'OR13-分公司财务管理'!CR20</f>
        <v>6</v>
      </c>
      <c r="O71" s="1040" t="s">
        <v>2111</v>
      </c>
    </row>
    <row r="72" spans="1:15" ht="14.25">
      <c r="A72" s="1783"/>
      <c r="B72" s="1059" t="s">
        <v>170</v>
      </c>
      <c r="C72" s="1060">
        <f t="shared" si="4"/>
        <v>2.2222222222222223E-2</v>
      </c>
      <c r="D72" s="1057">
        <v>1</v>
      </c>
      <c r="E72" s="1061">
        <f>'OR13-分公司财务管理'!X22</f>
        <v>1</v>
      </c>
      <c r="F72" s="1061">
        <f>'OR13-分公司财务管理'!AF22</f>
        <v>1</v>
      </c>
      <c r="G72" s="1061">
        <f>'OR13-分公司财务管理'!AN22</f>
        <v>1</v>
      </c>
      <c r="H72" s="1061">
        <f>'OR13-分公司财务管理'!AV22</f>
        <v>1</v>
      </c>
      <c r="I72" s="1061">
        <f>'OR13-分公司财务管理'!BD22</f>
        <v>0</v>
      </c>
      <c r="J72" s="1061">
        <f>'OR13-分公司财务管理'!BL22</f>
        <v>1</v>
      </c>
      <c r="K72" s="1061">
        <f>'OR13-分公司财务管理'!BT22</f>
        <v>1</v>
      </c>
      <c r="L72" s="1061">
        <f>'OR13-分公司财务管理'!CB22</f>
        <v>1</v>
      </c>
      <c r="M72" s="1061">
        <f>'OR13-分公司财务管理'!CJ22</f>
        <v>1</v>
      </c>
      <c r="N72" s="1061">
        <f>'OR13-分公司财务管理'!CR22</f>
        <v>1</v>
      </c>
      <c r="O72" s="1040" t="s">
        <v>2111</v>
      </c>
    </row>
    <row r="73" spans="1:15" ht="14.25">
      <c r="A73" s="1783"/>
      <c r="B73" s="1059" t="s">
        <v>1386</v>
      </c>
      <c r="C73" s="1060">
        <f t="shared" si="4"/>
        <v>2.2222222222222223E-2</v>
      </c>
      <c r="D73" s="1057">
        <v>3</v>
      </c>
      <c r="E73" s="1061">
        <f>'OR13-分公司财务管理'!X23</f>
        <v>3</v>
      </c>
      <c r="F73" s="1061">
        <f>'OR13-分公司财务管理'!AF23</f>
        <v>3</v>
      </c>
      <c r="G73" s="1061">
        <f>'OR13-分公司财务管理'!AN23</f>
        <v>3</v>
      </c>
      <c r="H73" s="1061">
        <f>'OR13-分公司财务管理'!AV23</f>
        <v>3</v>
      </c>
      <c r="I73" s="1061">
        <f>'OR13-分公司财务管理'!BD23</f>
        <v>3</v>
      </c>
      <c r="J73" s="1061">
        <f>'OR13-分公司财务管理'!BL23</f>
        <v>3</v>
      </c>
      <c r="K73" s="1061">
        <f>'OR13-分公司财务管理'!BT23</f>
        <v>3</v>
      </c>
      <c r="L73" s="1061">
        <f>'OR13-分公司财务管理'!CB23</f>
        <v>3</v>
      </c>
      <c r="M73" s="1061">
        <f>'OR13-分公司财务管理'!CJ23</f>
        <v>3</v>
      </c>
      <c r="N73" s="1061">
        <f>'OR13-分公司财务管理'!CR23</f>
        <v>3</v>
      </c>
      <c r="O73" s="1040" t="s">
        <v>2111</v>
      </c>
    </row>
    <row r="74" spans="1:15" ht="14.25">
      <c r="A74" s="1783"/>
      <c r="B74" s="1059" t="s">
        <v>1393</v>
      </c>
      <c r="C74" s="1060">
        <f t="shared" si="4"/>
        <v>2.2222222222222223E-2</v>
      </c>
      <c r="D74" s="1057">
        <v>3</v>
      </c>
      <c r="E74" s="1061">
        <f>'OR13-分公司财务管理'!X28</f>
        <v>3</v>
      </c>
      <c r="F74" s="1061">
        <f>'OR13-分公司财务管理'!AF28</f>
        <v>3</v>
      </c>
      <c r="G74" s="1061">
        <f>'OR13-分公司财务管理'!AN28</f>
        <v>3</v>
      </c>
      <c r="H74" s="1061">
        <f>'OR13-分公司财务管理'!AV28</f>
        <v>3</v>
      </c>
      <c r="I74" s="1061">
        <f>'OR13-分公司财务管理'!BD28</f>
        <v>3</v>
      </c>
      <c r="J74" s="1061">
        <f>'OR13-分公司财务管理'!BL28</f>
        <v>3</v>
      </c>
      <c r="K74" s="1061">
        <f>'OR13-分公司财务管理'!BT28</f>
        <v>3</v>
      </c>
      <c r="L74" s="1061">
        <f>'OR13-分公司财务管理'!CB28</f>
        <v>3</v>
      </c>
      <c r="M74" s="1061">
        <f>'OR13-分公司财务管理'!CJ28</f>
        <v>3</v>
      </c>
      <c r="N74" s="1061">
        <f>'OR13-分公司财务管理'!CR28</f>
        <v>3</v>
      </c>
      <c r="O74" s="1040" t="s">
        <v>2111</v>
      </c>
    </row>
    <row r="75" spans="1:15" ht="14.25">
      <c r="A75" s="1783"/>
      <c r="B75" s="1059" t="s">
        <v>1399</v>
      </c>
      <c r="C75" s="1060">
        <f t="shared" si="4"/>
        <v>2.2222222222222223E-2</v>
      </c>
      <c r="D75" s="1057">
        <v>3</v>
      </c>
      <c r="E75" s="1061">
        <f>'OR13-分公司财务管理'!X32</f>
        <v>0</v>
      </c>
      <c r="F75" s="1061">
        <f>'OR13-分公司财务管理'!AF32</f>
        <v>3</v>
      </c>
      <c r="G75" s="1061">
        <f>'OR13-分公司财务管理'!AN32</f>
        <v>3</v>
      </c>
      <c r="H75" s="1061">
        <f>'OR13-分公司财务管理'!AV32</f>
        <v>3</v>
      </c>
      <c r="I75" s="1061">
        <f>'OR13-分公司财务管理'!BD32</f>
        <v>3</v>
      </c>
      <c r="J75" s="1061">
        <f>'OR13-分公司财务管理'!BL32</f>
        <v>3</v>
      </c>
      <c r="K75" s="1061">
        <f>'OR13-分公司财务管理'!BT32</f>
        <v>3</v>
      </c>
      <c r="L75" s="1061">
        <f>'OR13-分公司财务管理'!CB32</f>
        <v>3</v>
      </c>
      <c r="M75" s="1061">
        <f>'OR13-分公司财务管理'!CJ32</f>
        <v>3</v>
      </c>
      <c r="N75" s="1061">
        <f>'OR13-分公司财务管理'!CR32</f>
        <v>0</v>
      </c>
      <c r="O75" s="1040" t="s">
        <v>2111</v>
      </c>
    </row>
    <row r="76" spans="1:15" ht="14.25">
      <c r="A76" s="1783"/>
      <c r="B76" s="1059" t="s">
        <v>1969</v>
      </c>
      <c r="C76" s="405"/>
      <c r="D76" s="1057"/>
      <c r="E76" s="1040">
        <f>'OR13-分公司财务管理'!W35</f>
        <v>0</v>
      </c>
      <c r="F76" s="1040">
        <f>'OR13-分公司财务管理'!AE35</f>
        <v>0</v>
      </c>
      <c r="G76" s="1040">
        <f>'OR13-分公司财务管理'!AM35</f>
        <v>0</v>
      </c>
      <c r="H76" s="1040">
        <f>'OR13-分公司财务管理'!AU35</f>
        <v>0</v>
      </c>
      <c r="I76" s="1040">
        <f>'OR13-分公司财务管理'!BC35</f>
        <v>0</v>
      </c>
      <c r="J76" s="1040">
        <f>'OR13-分公司财务管理'!BK35</f>
        <v>0</v>
      </c>
      <c r="K76" s="1040">
        <f>'OR13-分公司财务管理'!BS35</f>
        <v>0</v>
      </c>
      <c r="L76" s="1040">
        <f>'OR13-分公司财务管理'!CA35</f>
        <v>0</v>
      </c>
      <c r="M76" s="1040">
        <f>'OR13-分公司财务管理'!CI35</f>
        <v>0</v>
      </c>
      <c r="N76" s="1040">
        <f>'OR13-分公司财务管理'!CQ35</f>
        <v>0</v>
      </c>
      <c r="O76" s="1040" t="s">
        <v>2116</v>
      </c>
    </row>
    <row r="77" spans="1:15" ht="14.25">
      <c r="A77" s="1783"/>
      <c r="B77" s="1059" t="s">
        <v>2098</v>
      </c>
      <c r="C77" s="405"/>
      <c r="D77" s="1057"/>
      <c r="E77" s="1040">
        <f>'OR13-分公司财务管理'!W36</f>
        <v>0</v>
      </c>
      <c r="F77" s="1040">
        <f>'OR13-分公司财务管理'!AE36</f>
        <v>1</v>
      </c>
      <c r="G77" s="1040">
        <f>'OR13-分公司财务管理'!AM36</f>
        <v>0</v>
      </c>
      <c r="H77" s="1040">
        <f>'OR13-分公司财务管理'!AU36</f>
        <v>0</v>
      </c>
      <c r="I77" s="1040">
        <f>'OR13-分公司财务管理'!BC36</f>
        <v>0</v>
      </c>
      <c r="J77" s="1040">
        <f>'OR13-分公司财务管理'!BK36</f>
        <v>0</v>
      </c>
      <c r="K77" s="1040">
        <f>'OR13-分公司财务管理'!BS36</f>
        <v>0</v>
      </c>
      <c r="L77" s="1040">
        <f>'OR13-分公司财务管理'!CA36</f>
        <v>0</v>
      </c>
      <c r="M77" s="1040">
        <f>'OR13-分公司财务管理'!CI36</f>
        <v>0</v>
      </c>
      <c r="N77" s="1040">
        <f>'OR13-分公司财务管理'!CQ36</f>
        <v>0</v>
      </c>
      <c r="O77" s="1040" t="s">
        <v>2115</v>
      </c>
    </row>
    <row r="78" spans="1:15" ht="14.25">
      <c r="A78" s="1783"/>
      <c r="B78" s="1059"/>
      <c r="C78" s="1086">
        <f t="shared" si="4"/>
        <v>2.2222222222222223E-2</v>
      </c>
      <c r="D78" s="1057">
        <v>10</v>
      </c>
      <c r="E78" s="1061">
        <f>'OR13-分公司财务管理'!X35</f>
        <v>10</v>
      </c>
      <c r="F78" s="1061">
        <f>'OR13-分公司财务管理'!AF35</f>
        <v>9.5</v>
      </c>
      <c r="G78" s="1061">
        <f>'OR13-分公司财务管理'!AN35</f>
        <v>10</v>
      </c>
      <c r="H78" s="1061">
        <f>'OR13-分公司财务管理'!AV35</f>
        <v>10</v>
      </c>
      <c r="I78" s="1061">
        <f>'OR13-分公司财务管理'!BD35</f>
        <v>10</v>
      </c>
      <c r="J78" s="1061">
        <f>'OR13-分公司财务管理'!BL35</f>
        <v>10</v>
      </c>
      <c r="K78" s="1061">
        <f>'OR13-分公司财务管理'!BT35</f>
        <v>10</v>
      </c>
      <c r="L78" s="1061">
        <f>'OR13-分公司财务管理'!CB35</f>
        <v>10</v>
      </c>
      <c r="M78" s="1061">
        <f>'OR13-分公司财务管理'!CJ35</f>
        <v>10</v>
      </c>
      <c r="N78" s="1061">
        <f>'OR13-分公司财务管理'!CR35</f>
        <v>10</v>
      </c>
      <c r="O78" s="1040" t="s">
        <v>2111</v>
      </c>
    </row>
    <row r="79" spans="1:15" ht="14.25">
      <c r="A79" s="1783"/>
      <c r="B79" s="1059" t="s">
        <v>2099</v>
      </c>
      <c r="C79" s="1060">
        <f t="shared" si="4"/>
        <v>2.2222222222222223E-2</v>
      </c>
      <c r="D79" s="1057">
        <v>3</v>
      </c>
      <c r="E79" s="1061">
        <f>'OR13-分公司财务管理'!X37</f>
        <v>3</v>
      </c>
      <c r="F79" s="1061">
        <f>'OR13-分公司财务管理'!AF37</f>
        <v>3</v>
      </c>
      <c r="G79" s="1061">
        <f>'OR13-分公司财务管理'!AN37</f>
        <v>3</v>
      </c>
      <c r="H79" s="1061">
        <f>'OR13-分公司财务管理'!AV37</f>
        <v>3</v>
      </c>
      <c r="I79" s="1061">
        <f>'OR13-分公司财务管理'!BD37</f>
        <v>3</v>
      </c>
      <c r="J79" s="1061">
        <f>'OR13-分公司财务管理'!BL37</f>
        <v>3</v>
      </c>
      <c r="K79" s="1061">
        <f>'OR13-分公司财务管理'!BT37</f>
        <v>3</v>
      </c>
      <c r="L79" s="1061">
        <f>'OR13-分公司财务管理'!CB37</f>
        <v>3</v>
      </c>
      <c r="M79" s="1061">
        <f>'OR13-分公司财务管理'!CJ37</f>
        <v>3</v>
      </c>
      <c r="N79" s="1061">
        <f>'OR13-分公司财务管理'!CR37</f>
        <v>3</v>
      </c>
      <c r="O79" s="1040" t="s">
        <v>2111</v>
      </c>
    </row>
    <row r="80" spans="1:15" ht="14.25">
      <c r="A80" s="1783"/>
      <c r="B80" s="1059" t="s">
        <v>2416</v>
      </c>
      <c r="C80" s="1060"/>
      <c r="D80" s="1057"/>
      <c r="E80" s="1040">
        <f>'OR13-分公司财务管理'!W38</f>
        <v>0</v>
      </c>
      <c r="F80" s="1040">
        <f>'OR13-分公司财务管理'!AE38</f>
        <v>0</v>
      </c>
      <c r="G80" s="1040">
        <f>'OR13-分公司财务管理'!AM38</f>
        <v>0</v>
      </c>
      <c r="H80" s="1040">
        <f>'OR13-分公司财务管理'!AU38</f>
        <v>1</v>
      </c>
      <c r="I80" s="1040">
        <f>'OR13-分公司财务管理'!BC38</f>
        <v>0</v>
      </c>
      <c r="J80" s="1040">
        <f>'OR13-分公司财务管理'!BK38</f>
        <v>0</v>
      </c>
      <c r="K80" s="1040">
        <f>'OR13-分公司财务管理'!BS38</f>
        <v>0</v>
      </c>
      <c r="L80" s="1040">
        <f>'OR13-分公司财务管理'!CA38</f>
        <v>0</v>
      </c>
      <c r="M80" s="1040">
        <f>'OR13-分公司财务管理'!CI38</f>
        <v>0</v>
      </c>
      <c r="N80" s="1040">
        <f>'OR13-分公司财务管理'!CQ38</f>
        <v>0</v>
      </c>
      <c r="O80" s="1040" t="s">
        <v>2115</v>
      </c>
    </row>
    <row r="81" spans="1:17" ht="14.25">
      <c r="A81" s="1783"/>
      <c r="B81" s="1059" t="s">
        <v>2100</v>
      </c>
      <c r="C81" s="405"/>
      <c r="D81" s="1057"/>
      <c r="E81" s="1040">
        <f>'OR13-分公司财务管理'!W39</f>
        <v>0</v>
      </c>
      <c r="F81" s="1040">
        <f>'OR13-分公司财务管理'!AE39</f>
        <v>0</v>
      </c>
      <c r="G81" s="1040">
        <f>'OR13-分公司财务管理'!AM39</f>
        <v>0</v>
      </c>
      <c r="H81" s="1040">
        <f>'OR13-分公司财务管理'!AU39</f>
        <v>0</v>
      </c>
      <c r="I81" s="1040">
        <f>'OR13-分公司财务管理'!BC39</f>
        <v>0</v>
      </c>
      <c r="J81" s="1040">
        <f>'OR13-分公司财务管理'!BK39</f>
        <v>1</v>
      </c>
      <c r="K81" s="1040">
        <f>'OR13-分公司财务管理'!BS39</f>
        <v>0</v>
      </c>
      <c r="L81" s="1040">
        <f>'OR13-分公司财务管理'!CA39</f>
        <v>0</v>
      </c>
      <c r="M81" s="1040">
        <f>'OR13-分公司财务管理'!CI39</f>
        <v>0</v>
      </c>
      <c r="N81" s="1040">
        <f>'OR13-分公司财务管理'!CQ39</f>
        <v>0</v>
      </c>
      <c r="O81" s="1040" t="s">
        <v>2116</v>
      </c>
    </row>
    <row r="82" spans="1:17" ht="14.25">
      <c r="A82" s="1783"/>
      <c r="B82" s="1059"/>
      <c r="C82" s="1086">
        <f t="shared" si="4"/>
        <v>2.2222222222222223E-2</v>
      </c>
      <c r="D82" s="1057">
        <v>12</v>
      </c>
      <c r="E82" s="1061">
        <f>'OR13-分公司财务管理'!X38</f>
        <v>12</v>
      </c>
      <c r="F82" s="1061">
        <f>'OR13-分公司财务管理'!AF38</f>
        <v>12</v>
      </c>
      <c r="G82" s="1061">
        <f>'OR13-分公司财务管理'!AN38</f>
        <v>12</v>
      </c>
      <c r="H82" s="1061">
        <f>'OR13-分公司财务管理'!AV38</f>
        <v>9</v>
      </c>
      <c r="I82" s="1061">
        <f>'OR13-分公司财务管理'!BD38</f>
        <v>12</v>
      </c>
      <c r="J82" s="1061">
        <f>'OR13-分公司财务管理'!BL38</f>
        <v>11.5</v>
      </c>
      <c r="K82" s="1061">
        <f>'OR13-分公司财务管理'!BT38</f>
        <v>12</v>
      </c>
      <c r="L82" s="1061">
        <f>'OR13-分公司财务管理'!CB38</f>
        <v>12</v>
      </c>
      <c r="M82" s="1061">
        <f>'OR13-分公司财务管理'!CJ38</f>
        <v>12</v>
      </c>
      <c r="N82" s="1061">
        <f>'OR13-分公司财务管理'!CR38</f>
        <v>12</v>
      </c>
      <c r="O82" s="1040" t="s">
        <v>2111</v>
      </c>
    </row>
    <row r="83" spans="1:17" ht="14.25">
      <c r="A83" s="1783"/>
      <c r="B83" s="1059" t="s">
        <v>2101</v>
      </c>
      <c r="C83" s="1060">
        <f t="shared" si="4"/>
        <v>2.2222222222222223E-2</v>
      </c>
      <c r="D83" s="1057">
        <v>2</v>
      </c>
      <c r="E83" s="1061">
        <f>'OR13-分公司财务管理'!X40</f>
        <v>2</v>
      </c>
      <c r="F83" s="1061">
        <f>'OR13-分公司财务管理'!AF40</f>
        <v>2</v>
      </c>
      <c r="G83" s="1061">
        <f>'OR13-分公司财务管理'!AN40</f>
        <v>2</v>
      </c>
      <c r="H83" s="1061">
        <f>'OR13-分公司财务管理'!AV40</f>
        <v>2</v>
      </c>
      <c r="I83" s="1061">
        <f>'OR13-分公司财务管理'!BD40</f>
        <v>2</v>
      </c>
      <c r="J83" s="1061">
        <f>'OR13-分公司财务管理'!BL40</f>
        <v>2</v>
      </c>
      <c r="K83" s="1061">
        <f>'OR13-分公司财务管理'!BT40</f>
        <v>2</v>
      </c>
      <c r="L83" s="1061">
        <f>'OR13-分公司财务管理'!CB40</f>
        <v>2</v>
      </c>
      <c r="M83" s="1061">
        <f>'OR13-分公司财务管理'!CJ40</f>
        <v>2</v>
      </c>
      <c r="N83" s="1061">
        <f>'OR13-分公司财务管理'!CR40</f>
        <v>2</v>
      </c>
      <c r="O83" s="1040" t="s">
        <v>2111</v>
      </c>
    </row>
    <row r="84" spans="1:17" ht="14.25">
      <c r="A84" s="1783"/>
      <c r="B84" s="1059" t="s">
        <v>1411</v>
      </c>
      <c r="C84" s="1060">
        <f t="shared" si="4"/>
        <v>2.2222222222222223E-2</v>
      </c>
      <c r="D84" s="1057">
        <v>2</v>
      </c>
      <c r="E84" s="1061">
        <f>'OR13-分公司财务管理'!X43</f>
        <v>2</v>
      </c>
      <c r="F84" s="1061">
        <f>'OR13-分公司财务管理'!AF43</f>
        <v>2</v>
      </c>
      <c r="G84" s="1061">
        <f>'OR13-分公司财务管理'!AN43</f>
        <v>2</v>
      </c>
      <c r="H84" s="1061">
        <f>'OR13-分公司财务管理'!AV43</f>
        <v>2</v>
      </c>
      <c r="I84" s="1061">
        <f>'OR13-分公司财务管理'!BD43</f>
        <v>2</v>
      </c>
      <c r="J84" s="1061">
        <f>'OR13-分公司财务管理'!BL43</f>
        <v>2</v>
      </c>
      <c r="K84" s="1061">
        <f>'OR13-分公司财务管理'!BT43</f>
        <v>2</v>
      </c>
      <c r="L84" s="1061">
        <f>'OR13-分公司财务管理'!CB43</f>
        <v>2</v>
      </c>
      <c r="M84" s="1061">
        <f>'OR13-分公司财务管理'!CJ43</f>
        <v>2</v>
      </c>
      <c r="N84" s="1061">
        <f>'OR13-分公司财务管理'!CR43</f>
        <v>2</v>
      </c>
      <c r="O84" s="1040" t="s">
        <v>2111</v>
      </c>
    </row>
    <row r="85" spans="1:17" ht="14.25">
      <c r="A85" s="1783"/>
      <c r="B85" s="1059" t="s">
        <v>1416</v>
      </c>
      <c r="C85" s="1116"/>
      <c r="D85" s="1057"/>
      <c r="E85" s="1040">
        <f>'OR13-分公司财务管理'!W46</f>
        <v>0</v>
      </c>
      <c r="F85" s="1040">
        <f>'OR13-分公司财务管理'!AE46</f>
        <v>0</v>
      </c>
      <c r="G85" s="1040">
        <f>'OR13-分公司财务管理'!AM46</f>
        <v>0</v>
      </c>
      <c r="H85" s="1040">
        <f>'OR13-分公司财务管理'!AU46</f>
        <v>0</v>
      </c>
      <c r="I85" s="1040">
        <f>'OR13-分公司财务管理'!BC46</f>
        <v>0</v>
      </c>
      <c r="J85" s="1040">
        <f>'OR13-分公司财务管理'!BK46</f>
        <v>0</v>
      </c>
      <c r="K85" s="1040">
        <f>'OR13-分公司财务管理'!BS46</f>
        <v>0</v>
      </c>
      <c r="L85" s="1040">
        <f>'OR13-分公司财务管理'!CA46</f>
        <v>0</v>
      </c>
      <c r="M85" s="1040">
        <f>'OR13-分公司财务管理'!CI46</f>
        <v>0</v>
      </c>
      <c r="N85" s="1040">
        <f>'OR13-分公司财务管理'!CQ46</f>
        <v>0</v>
      </c>
      <c r="O85" s="1040" t="s">
        <v>2116</v>
      </c>
    </row>
    <row r="86" spans="1:17" ht="14.25">
      <c r="A86" s="1783"/>
      <c r="B86" s="1059" t="s">
        <v>2166</v>
      </c>
      <c r="C86" s="1116"/>
      <c r="D86" s="1057"/>
      <c r="E86" s="1040">
        <f>'OR13-分公司财务管理'!W47</f>
        <v>0</v>
      </c>
      <c r="F86" s="1040">
        <f>'OR13-分公司财务管理'!AE47</f>
        <v>0</v>
      </c>
      <c r="G86" s="1040">
        <f>'OR13-分公司财务管理'!AM47</f>
        <v>0</v>
      </c>
      <c r="H86" s="1040">
        <f>'OR13-分公司财务管理'!AU47</f>
        <v>0</v>
      </c>
      <c r="I86" s="1040">
        <f>'OR13-分公司财务管理'!BC47</f>
        <v>0</v>
      </c>
      <c r="J86" s="1040">
        <f>'OR13-分公司财务管理'!BK47</f>
        <v>0</v>
      </c>
      <c r="K86" s="1040">
        <f>'OR13-分公司财务管理'!BS47</f>
        <v>0</v>
      </c>
      <c r="L86" s="1040">
        <f>'OR13-分公司财务管理'!CA47</f>
        <v>0</v>
      </c>
      <c r="M86" s="1040">
        <f>'OR13-分公司财务管理'!CI47</f>
        <v>0</v>
      </c>
      <c r="N86" s="1040">
        <f>'OR13-分公司财务管理'!CQ47</f>
        <v>0</v>
      </c>
      <c r="O86" s="1040"/>
    </row>
    <row r="87" spans="1:17" ht="14.25">
      <c r="A87" s="1783"/>
      <c r="B87" s="1059"/>
      <c r="C87" s="1086">
        <f t="shared" si="4"/>
        <v>2.2222222222222223E-2</v>
      </c>
      <c r="D87" s="1057">
        <v>6</v>
      </c>
      <c r="E87" s="1040">
        <v>6</v>
      </c>
      <c r="F87" s="1040">
        <v>6</v>
      </c>
      <c r="G87" s="1040">
        <v>6</v>
      </c>
      <c r="H87" s="1040">
        <v>6</v>
      </c>
      <c r="I87" s="1040">
        <v>6</v>
      </c>
      <c r="J87" s="1040">
        <v>6</v>
      </c>
      <c r="K87" s="1040">
        <v>6</v>
      </c>
      <c r="L87" s="1040">
        <v>6</v>
      </c>
      <c r="M87" s="1040">
        <v>6</v>
      </c>
      <c r="N87" s="1040">
        <v>6</v>
      </c>
      <c r="O87" s="1040" t="s">
        <v>2111</v>
      </c>
    </row>
    <row r="88" spans="1:17" ht="14.25">
      <c r="A88" s="1783"/>
      <c r="B88" s="1784" t="s">
        <v>2102</v>
      </c>
      <c r="C88" s="405"/>
      <c r="D88" s="1057"/>
      <c r="E88" s="1040">
        <f>'OR13-分公司财务管理'!W48</f>
        <v>0</v>
      </c>
      <c r="F88" s="1040">
        <f>'OR13-分公司财务管理'!AE48</f>
        <v>0</v>
      </c>
      <c r="G88" s="1040">
        <f>'OR13-分公司财务管理'!AM48</f>
        <v>0</v>
      </c>
      <c r="H88" s="1040">
        <f>'OR13-分公司财务管理'!AU48</f>
        <v>0</v>
      </c>
      <c r="I88" s="1040">
        <f>'OR13-分公司财务管理'!BC48</f>
        <v>0</v>
      </c>
      <c r="J88" s="1040">
        <f>'OR13-分公司财务管理'!BK48</f>
        <v>0</v>
      </c>
      <c r="K88" s="1040">
        <f>'OR13-分公司财务管理'!BS48</f>
        <v>0</v>
      </c>
      <c r="L88" s="1040">
        <f>'OR13-分公司财务管理'!CA48</f>
        <v>0</v>
      </c>
      <c r="M88" s="1040">
        <f>'OR13-分公司财务管理'!CI48</f>
        <v>0</v>
      </c>
      <c r="N88" s="1040">
        <f>'OR13-分公司财务管理'!CQ48</f>
        <v>0</v>
      </c>
      <c r="O88" s="1040" t="s">
        <v>2116</v>
      </c>
    </row>
    <row r="89" spans="1:17" ht="14.25">
      <c r="A89" s="1783"/>
      <c r="B89" s="1785"/>
      <c r="C89" s="1086">
        <f t="shared" si="4"/>
        <v>2.2222222222222223E-2</v>
      </c>
      <c r="D89" s="1057">
        <v>5</v>
      </c>
      <c r="E89" s="1061">
        <f>'OR13-分公司财务管理'!X48</f>
        <v>5</v>
      </c>
      <c r="F89" s="1061">
        <f>'OR13-分公司财务管理'!AF48</f>
        <v>5</v>
      </c>
      <c r="G89" s="1061">
        <f>'OR13-分公司财务管理'!AN48</f>
        <v>5</v>
      </c>
      <c r="H89" s="1061">
        <f>'OR13-分公司财务管理'!AV48</f>
        <v>5</v>
      </c>
      <c r="I89" s="1061">
        <f>'OR13-分公司财务管理'!BD48</f>
        <v>5</v>
      </c>
      <c r="J89" s="1061">
        <f>'OR13-分公司财务管理'!BL48</f>
        <v>5</v>
      </c>
      <c r="K89" s="1061">
        <f>'OR13-分公司财务管理'!BT48</f>
        <v>5</v>
      </c>
      <c r="L89" s="1061">
        <f>'OR13-分公司财务管理'!CB48</f>
        <v>5</v>
      </c>
      <c r="M89" s="1061">
        <f>'OR13-分公司财务管理'!CJ48</f>
        <v>5</v>
      </c>
      <c r="N89" s="1061">
        <f>'OR13-分公司财务管理'!CR48</f>
        <v>5</v>
      </c>
      <c r="O89" s="1040" t="s">
        <v>2111</v>
      </c>
    </row>
    <row r="90" spans="1:17" ht="14.25">
      <c r="A90" s="1783"/>
      <c r="B90" s="1059" t="s">
        <v>2103</v>
      </c>
      <c r="C90" s="1060">
        <f t="shared" si="4"/>
        <v>2.2222222222222223E-2</v>
      </c>
      <c r="D90" s="1057">
        <v>0</v>
      </c>
      <c r="E90" s="1062">
        <v>0</v>
      </c>
      <c r="F90" s="1062">
        <v>0</v>
      </c>
      <c r="G90" s="1062">
        <v>0</v>
      </c>
      <c r="H90" s="1062">
        <v>0</v>
      </c>
      <c r="I90" s="1062">
        <v>0</v>
      </c>
      <c r="J90" s="1062">
        <v>0</v>
      </c>
      <c r="K90" s="1062">
        <v>0</v>
      </c>
      <c r="L90" s="1062">
        <v>0</v>
      </c>
      <c r="M90" s="1062">
        <v>0</v>
      </c>
      <c r="N90" s="1062">
        <v>0</v>
      </c>
      <c r="O90" s="1040" t="s">
        <v>2118</v>
      </c>
    </row>
    <row r="91" spans="1:17" ht="14.25">
      <c r="A91" s="1783"/>
      <c r="B91" s="1059" t="s">
        <v>2088</v>
      </c>
      <c r="C91" s="1060">
        <f t="shared" si="4"/>
        <v>2.2222222222222223E-2</v>
      </c>
      <c r="D91" s="1057">
        <v>3</v>
      </c>
      <c r="E91" s="1061">
        <f>'OR13-分公司财务管理'!X50</f>
        <v>3</v>
      </c>
      <c r="F91" s="1061">
        <f>'OR13-分公司财务管理'!AF50</f>
        <v>3</v>
      </c>
      <c r="G91" s="1061">
        <f>'OR13-分公司财务管理'!AN50</f>
        <v>3</v>
      </c>
      <c r="H91" s="1061">
        <f>'OR13-分公司财务管理'!AV50</f>
        <v>3</v>
      </c>
      <c r="I91" s="1061">
        <f>'OR13-分公司财务管理'!BD50</f>
        <v>3</v>
      </c>
      <c r="J91" s="1061">
        <f>'OR13-分公司财务管理'!BL50</f>
        <v>3</v>
      </c>
      <c r="K91" s="1061">
        <f>'OR13-分公司财务管理'!BT50</f>
        <v>3</v>
      </c>
      <c r="L91" s="1061">
        <f>'OR13-分公司财务管理'!CB50</f>
        <v>3</v>
      </c>
      <c r="M91" s="1061">
        <f>'OR13-分公司财务管理'!CJ50</f>
        <v>3</v>
      </c>
      <c r="N91" s="1061">
        <f>'OR13-分公司财务管理'!CR50</f>
        <v>3</v>
      </c>
      <c r="O91" s="1040" t="s">
        <v>2111</v>
      </c>
    </row>
    <row r="92" spans="1:17" ht="14.25">
      <c r="A92" s="1783"/>
      <c r="B92" s="1059" t="s">
        <v>2089</v>
      </c>
      <c r="C92" s="1060">
        <f t="shared" si="4"/>
        <v>2.2222222222222223E-2</v>
      </c>
      <c r="D92" s="1057">
        <v>2</v>
      </c>
      <c r="E92" s="1061">
        <f>'OR13-分公司财务管理'!X52</f>
        <v>2</v>
      </c>
      <c r="F92" s="1061">
        <f>'OR13-分公司财务管理'!AF52</f>
        <v>2</v>
      </c>
      <c r="G92" s="1061">
        <f>'OR13-分公司财务管理'!AN52</f>
        <v>2</v>
      </c>
      <c r="H92" s="1061">
        <f>'OR13-分公司财务管理'!AV52</f>
        <v>2</v>
      </c>
      <c r="I92" s="1061">
        <f>'OR13-分公司财务管理'!BD52</f>
        <v>2</v>
      </c>
      <c r="J92" s="1061">
        <f>'OR13-分公司财务管理'!BL52</f>
        <v>2</v>
      </c>
      <c r="K92" s="1061">
        <f>'OR13-分公司财务管理'!BT52</f>
        <v>2</v>
      </c>
      <c r="L92" s="1061">
        <f>'OR13-分公司财务管理'!CB52</f>
        <v>2</v>
      </c>
      <c r="M92" s="1061">
        <f>'OR13-分公司财务管理'!CJ52</f>
        <v>2</v>
      </c>
      <c r="N92" s="1061">
        <f>'OR13-分公司财务管理'!CR52</f>
        <v>2</v>
      </c>
      <c r="O92" s="1040" t="s">
        <v>2111</v>
      </c>
    </row>
    <row r="93" spans="1:17" ht="14.25">
      <c r="A93" s="1783"/>
      <c r="B93" s="1059" t="s">
        <v>2104</v>
      </c>
      <c r="C93" s="1060">
        <f t="shared" si="4"/>
        <v>2.2222222222222223E-2</v>
      </c>
      <c r="D93" s="1057">
        <v>10</v>
      </c>
      <c r="E93" s="1040">
        <f>MAX($D$93-($D$71-E71)-($D$82-E82)-($D$78-E78)-($D$87-E87)-($D$89-E89),0)</f>
        <v>10</v>
      </c>
      <c r="F93" s="1040">
        <f>MAX($D$93-($D$71-F71)-($D$82-F82)-($D$78-F78)-($D$87-F87)-($D$89-F89),0)</f>
        <v>9.5</v>
      </c>
      <c r="G93" s="1040">
        <f t="shared" ref="G93:M93" si="5">MAX($D$93-($D$71-G71)-($D$82-G82)-($D$78-G78)-($D$87-G87)-($D$89-G89),0)</f>
        <v>10</v>
      </c>
      <c r="H93" s="1040">
        <f t="shared" si="5"/>
        <v>7</v>
      </c>
      <c r="I93" s="1040">
        <f t="shared" si="5"/>
        <v>10</v>
      </c>
      <c r="J93" s="1040">
        <f>MAX($D$93-($D$71-J71)-($D$82-J82)-($D$78-J78)-($D$87-J87)-($D$89-J89),0)</f>
        <v>9.5</v>
      </c>
      <c r="K93" s="1040">
        <f t="shared" si="5"/>
        <v>10</v>
      </c>
      <c r="L93" s="1040">
        <f t="shared" si="5"/>
        <v>10</v>
      </c>
      <c r="M93" s="1040">
        <f t="shared" si="5"/>
        <v>10</v>
      </c>
      <c r="N93" s="1040">
        <f>MAX($D$93-($D$71-N71)-($D$82-N82)-($D$78-N78)-($D$87-N87)-($D$89-N89),0)</f>
        <v>10</v>
      </c>
      <c r="O93" s="1040" t="s">
        <v>2117</v>
      </c>
    </row>
    <row r="94" spans="1:17" s="743" customFormat="1" ht="14.25" customHeight="1">
      <c r="A94" s="1788" t="s">
        <v>2283</v>
      </c>
      <c r="B94" s="1772" t="s">
        <v>2010</v>
      </c>
      <c r="C94" s="1117"/>
      <c r="D94" s="1068"/>
      <c r="E94" s="1051">
        <v>0</v>
      </c>
      <c r="F94" s="1051">
        <v>0</v>
      </c>
      <c r="G94" s="1051">
        <v>0</v>
      </c>
      <c r="H94" s="1051">
        <v>0</v>
      </c>
      <c r="I94" s="1051">
        <v>0</v>
      </c>
      <c r="J94" s="1051">
        <v>0</v>
      </c>
      <c r="K94" s="1051">
        <v>0</v>
      </c>
      <c r="L94" s="1051">
        <v>0</v>
      </c>
      <c r="M94" s="1051">
        <v>0</v>
      </c>
      <c r="N94" s="1051">
        <v>0</v>
      </c>
      <c r="O94" s="1070" t="s">
        <v>2134</v>
      </c>
      <c r="P94" s="1033"/>
      <c r="Q94" s="1033"/>
    </row>
    <row r="95" spans="1:17" s="743" customFormat="1" ht="14.25">
      <c r="A95" s="1788"/>
      <c r="B95" s="1772"/>
      <c r="C95" s="1085">
        <f>30%*(1/18)</f>
        <v>1.6666666666666666E-2</v>
      </c>
      <c r="D95" s="1068">
        <v>8</v>
      </c>
      <c r="E95" s="1069">
        <f>MAX(8-2*E94,0)</f>
        <v>8</v>
      </c>
      <c r="F95" s="1069">
        <f t="shared" ref="F95:N95" si="6">MAX(8-2*F94,0)</f>
        <v>8</v>
      </c>
      <c r="G95" s="1069">
        <f t="shared" si="6"/>
        <v>8</v>
      </c>
      <c r="H95" s="1069">
        <f t="shared" si="6"/>
        <v>8</v>
      </c>
      <c r="I95" s="1069">
        <f t="shared" si="6"/>
        <v>8</v>
      </c>
      <c r="J95" s="1069">
        <f t="shared" si="6"/>
        <v>8</v>
      </c>
      <c r="K95" s="1069">
        <f t="shared" si="6"/>
        <v>8</v>
      </c>
      <c r="L95" s="1069">
        <f t="shared" si="6"/>
        <v>8</v>
      </c>
      <c r="M95" s="1069">
        <f t="shared" si="6"/>
        <v>8</v>
      </c>
      <c r="N95" s="1069">
        <f t="shared" si="6"/>
        <v>8</v>
      </c>
      <c r="O95" s="1069" t="s">
        <v>2117</v>
      </c>
      <c r="P95" s="1033"/>
      <c r="Q95" s="1033"/>
    </row>
    <row r="96" spans="1:17" s="743" customFormat="1" ht="14.25" customHeight="1">
      <c r="A96" s="1788"/>
      <c r="B96" s="1772" t="s">
        <v>2135</v>
      </c>
      <c r="C96" s="1117"/>
      <c r="D96" s="1068"/>
      <c r="E96" s="1051">
        <v>0</v>
      </c>
      <c r="F96" s="1051">
        <v>0</v>
      </c>
      <c r="G96" s="1051">
        <v>1</v>
      </c>
      <c r="H96" s="1051">
        <v>1</v>
      </c>
      <c r="I96" s="1051">
        <v>3</v>
      </c>
      <c r="J96" s="1051">
        <v>1</v>
      </c>
      <c r="K96" s="1051">
        <v>0</v>
      </c>
      <c r="L96" s="1051">
        <v>1</v>
      </c>
      <c r="M96" s="1051">
        <v>0</v>
      </c>
      <c r="N96" s="1051">
        <v>0</v>
      </c>
      <c r="O96" s="1069" t="s">
        <v>2116</v>
      </c>
      <c r="P96" s="1033"/>
      <c r="Q96" s="1033"/>
    </row>
    <row r="97" spans="1:17" s="743" customFormat="1" ht="14.25">
      <c r="A97" s="1788"/>
      <c r="B97" s="1772"/>
      <c r="C97" s="1071">
        <f>30%*(1/18)</f>
        <v>1.6666666666666666E-2</v>
      </c>
      <c r="D97" s="1068">
        <v>4</v>
      </c>
      <c r="E97" s="1069">
        <f>MAX(4-2*E96,0)</f>
        <v>4</v>
      </c>
      <c r="F97" s="1069">
        <f t="shared" ref="F97:N97" si="7">MAX(4-2*F96,0)</f>
        <v>4</v>
      </c>
      <c r="G97" s="1069">
        <f t="shared" si="7"/>
        <v>2</v>
      </c>
      <c r="H97" s="1069">
        <f t="shared" si="7"/>
        <v>2</v>
      </c>
      <c r="I97" s="1069">
        <f t="shared" si="7"/>
        <v>0</v>
      </c>
      <c r="J97" s="1069">
        <f t="shared" si="7"/>
        <v>2</v>
      </c>
      <c r="K97" s="1069">
        <f t="shared" si="7"/>
        <v>4</v>
      </c>
      <c r="L97" s="1069">
        <f t="shared" si="7"/>
        <v>2</v>
      </c>
      <c r="M97" s="1069">
        <f t="shared" si="7"/>
        <v>4</v>
      </c>
      <c r="N97" s="1069">
        <f t="shared" si="7"/>
        <v>4</v>
      </c>
      <c r="O97" s="1069" t="s">
        <v>2111</v>
      </c>
      <c r="P97" s="1033"/>
      <c r="Q97" s="1033"/>
    </row>
    <row r="98" spans="1:17" s="743" customFormat="1" ht="14.25">
      <c r="A98" s="1788"/>
      <c r="B98" s="1772" t="s">
        <v>2136</v>
      </c>
      <c r="C98" s="1118"/>
      <c r="D98" s="1068"/>
      <c r="E98" s="1051">
        <v>0</v>
      </c>
      <c r="F98" s="1051">
        <v>0</v>
      </c>
      <c r="G98" s="1051">
        <v>0</v>
      </c>
      <c r="H98" s="1051">
        <v>2</v>
      </c>
      <c r="I98" s="1051">
        <v>0</v>
      </c>
      <c r="J98" s="1051">
        <v>0</v>
      </c>
      <c r="K98" s="1051">
        <v>0</v>
      </c>
      <c r="L98" s="1051">
        <v>0</v>
      </c>
      <c r="M98" s="1051">
        <v>0</v>
      </c>
      <c r="N98" s="1051">
        <v>0</v>
      </c>
      <c r="O98" s="1069" t="s">
        <v>2116</v>
      </c>
      <c r="P98" s="1033"/>
      <c r="Q98" s="1033"/>
    </row>
    <row r="99" spans="1:17" s="743" customFormat="1" ht="14.25">
      <c r="A99" s="1788"/>
      <c r="B99" s="1772"/>
      <c r="C99" s="1085">
        <f>30%*(1/18)</f>
        <v>1.6666666666666666E-2</v>
      </c>
      <c r="D99" s="1068">
        <v>4</v>
      </c>
      <c r="E99" s="1069">
        <f>MAX(4-2*E98,0)</f>
        <v>4</v>
      </c>
      <c r="F99" s="1069">
        <f t="shared" ref="F99" si="8">MAX(4-2*F98,0)</f>
        <v>4</v>
      </c>
      <c r="G99" s="1069">
        <f t="shared" ref="G99" si="9">MAX(4-2*G98,0)</f>
        <v>4</v>
      </c>
      <c r="H99" s="1069">
        <f t="shared" ref="H99" si="10">MAX(4-2*H98,0)</f>
        <v>0</v>
      </c>
      <c r="I99" s="1069">
        <f t="shared" ref="I99" si="11">MAX(4-2*I98,0)</f>
        <v>4</v>
      </c>
      <c r="J99" s="1069">
        <f t="shared" ref="J99" si="12">MAX(4-2*J98,0)</f>
        <v>4</v>
      </c>
      <c r="K99" s="1069">
        <f t="shared" ref="K99" si="13">MAX(4-2*K98,0)</f>
        <v>4</v>
      </c>
      <c r="L99" s="1069">
        <f t="shared" ref="L99" si="14">MAX(4-2*L98,0)</f>
        <v>4</v>
      </c>
      <c r="M99" s="1069">
        <f t="shared" ref="M99" si="15">MAX(4-2*M98,0)</f>
        <v>4</v>
      </c>
      <c r="N99" s="1069">
        <f t="shared" ref="N99" si="16">MAX(4-2*N98,0)</f>
        <v>4</v>
      </c>
      <c r="O99" s="1069" t="s">
        <v>2111</v>
      </c>
      <c r="P99" s="1033"/>
      <c r="Q99" s="1033"/>
    </row>
    <row r="100" spans="1:17" s="743" customFormat="1" ht="14.25">
      <c r="A100" s="1788"/>
      <c r="B100" s="1772" t="s">
        <v>1962</v>
      </c>
      <c r="C100" s="1119"/>
      <c r="D100" s="1068"/>
      <c r="E100" s="1051">
        <v>0</v>
      </c>
      <c r="F100" s="1051">
        <v>0</v>
      </c>
      <c r="G100" s="1051">
        <v>0</v>
      </c>
      <c r="H100" s="1051">
        <v>0</v>
      </c>
      <c r="I100" s="1051">
        <v>0</v>
      </c>
      <c r="J100" s="1051">
        <v>1</v>
      </c>
      <c r="K100" s="1051">
        <v>0</v>
      </c>
      <c r="L100" s="1051">
        <v>0</v>
      </c>
      <c r="M100" s="1051">
        <v>0</v>
      </c>
      <c r="N100" s="1051">
        <v>0</v>
      </c>
      <c r="O100" s="1069" t="s">
        <v>2116</v>
      </c>
      <c r="P100" s="1033"/>
      <c r="Q100" s="1033"/>
    </row>
    <row r="101" spans="1:17" s="743" customFormat="1" ht="14.25">
      <c r="A101" s="1788"/>
      <c r="B101" s="1772" t="s">
        <v>552</v>
      </c>
      <c r="C101" s="1085">
        <f t="shared" ref="C101:C107" si="17">30%*(1/18)</f>
        <v>1.6666666666666666E-2</v>
      </c>
      <c r="D101" s="1068">
        <v>5</v>
      </c>
      <c r="E101" s="1069">
        <f>MAX(5-2*E100,0)</f>
        <v>5</v>
      </c>
      <c r="F101" s="1069">
        <f t="shared" ref="F101:N101" si="18">MAX(5-2*F100,0)</f>
        <v>5</v>
      </c>
      <c r="G101" s="1069">
        <f t="shared" si="18"/>
        <v>5</v>
      </c>
      <c r="H101" s="1069">
        <f t="shared" si="18"/>
        <v>5</v>
      </c>
      <c r="I101" s="1069">
        <f t="shared" si="18"/>
        <v>5</v>
      </c>
      <c r="J101" s="1069">
        <f t="shared" si="18"/>
        <v>3</v>
      </c>
      <c r="K101" s="1069">
        <f t="shared" si="18"/>
        <v>5</v>
      </c>
      <c r="L101" s="1069">
        <f t="shared" si="18"/>
        <v>5</v>
      </c>
      <c r="M101" s="1069">
        <f t="shared" si="18"/>
        <v>5</v>
      </c>
      <c r="N101" s="1069">
        <f t="shared" si="18"/>
        <v>5</v>
      </c>
      <c r="O101" s="1069" t="s">
        <v>2111</v>
      </c>
      <c r="P101" s="1033"/>
      <c r="Q101" s="1033"/>
    </row>
    <row r="102" spans="1:17" s="743" customFormat="1" ht="14.25">
      <c r="A102" s="1788"/>
      <c r="B102" s="1786" t="s">
        <v>2138</v>
      </c>
      <c r="C102" s="1118"/>
      <c r="D102" s="1068"/>
      <c r="E102" s="1051">
        <v>0</v>
      </c>
      <c r="F102" s="1051">
        <v>0</v>
      </c>
      <c r="G102" s="1051">
        <v>0</v>
      </c>
      <c r="H102" s="1051">
        <v>0</v>
      </c>
      <c r="I102" s="1051">
        <v>0</v>
      </c>
      <c r="J102" s="1051">
        <v>0</v>
      </c>
      <c r="K102" s="1051">
        <v>0</v>
      </c>
      <c r="L102" s="1051">
        <v>0</v>
      </c>
      <c r="M102" s="1051">
        <v>0</v>
      </c>
      <c r="N102" s="1051">
        <v>0</v>
      </c>
      <c r="O102" s="1069" t="s">
        <v>2116</v>
      </c>
      <c r="P102" s="1033"/>
      <c r="Q102" s="1033"/>
    </row>
    <row r="103" spans="1:17" s="743" customFormat="1" ht="14.25">
      <c r="A103" s="1788"/>
      <c r="B103" s="1787"/>
      <c r="C103" s="1085">
        <f t="shared" si="17"/>
        <v>1.6666666666666666E-2</v>
      </c>
      <c r="D103" s="1068">
        <v>5</v>
      </c>
      <c r="E103" s="1069">
        <f>MAX(5-2*E102,0)</f>
        <v>5</v>
      </c>
      <c r="F103" s="1069">
        <f t="shared" ref="F103" si="19">MAX(5-2*F102,0)</f>
        <v>5</v>
      </c>
      <c r="G103" s="1069">
        <f t="shared" ref="G103" si="20">MAX(5-2*G102,0)</f>
        <v>5</v>
      </c>
      <c r="H103" s="1069">
        <f t="shared" ref="H103" si="21">MAX(5-2*H102,0)</f>
        <v>5</v>
      </c>
      <c r="I103" s="1069">
        <f t="shared" ref="I103" si="22">MAX(5-2*I102,0)</f>
        <v>5</v>
      </c>
      <c r="J103" s="1069">
        <f t="shared" ref="J103" si="23">MAX(5-2*J102,0)</f>
        <v>5</v>
      </c>
      <c r="K103" s="1069">
        <f t="shared" ref="K103" si="24">MAX(5-2*K102,0)</f>
        <v>5</v>
      </c>
      <c r="L103" s="1069">
        <f t="shared" ref="L103" si="25">MAX(5-2*L102,0)</f>
        <v>5</v>
      </c>
      <c r="M103" s="1069">
        <f t="shared" ref="M103" si="26">MAX(5-2*M102,0)</f>
        <v>5</v>
      </c>
      <c r="N103" s="1069">
        <f t="shared" ref="N103" si="27">MAX(5-2*N102,0)</f>
        <v>5</v>
      </c>
      <c r="O103" s="1069" t="s">
        <v>2111</v>
      </c>
      <c r="P103" s="1033"/>
      <c r="Q103" s="1033"/>
    </row>
    <row r="104" spans="1:17" s="743" customFormat="1" ht="14.25">
      <c r="A104" s="1788"/>
      <c r="B104" s="1772" t="s">
        <v>2139</v>
      </c>
      <c r="C104" s="1118"/>
      <c r="D104" s="1068"/>
      <c r="E104" s="1051">
        <v>0</v>
      </c>
      <c r="F104" s="1051">
        <v>0</v>
      </c>
      <c r="G104" s="1051">
        <v>0</v>
      </c>
      <c r="H104" s="1051">
        <v>0</v>
      </c>
      <c r="I104" s="1051">
        <v>0</v>
      </c>
      <c r="J104" s="1051">
        <v>0</v>
      </c>
      <c r="K104" s="1051">
        <v>0</v>
      </c>
      <c r="L104" s="1051">
        <v>0</v>
      </c>
      <c r="M104" s="1051">
        <v>0</v>
      </c>
      <c r="N104" s="1051">
        <v>0</v>
      </c>
      <c r="O104" s="1069" t="s">
        <v>2116</v>
      </c>
      <c r="P104" s="1033"/>
      <c r="Q104" s="1033"/>
    </row>
    <row r="105" spans="1:17" s="743" customFormat="1" ht="14.25">
      <c r="A105" s="1788"/>
      <c r="B105" s="1772" t="s">
        <v>554</v>
      </c>
      <c r="C105" s="1085">
        <f t="shared" si="17"/>
        <v>1.6666666666666666E-2</v>
      </c>
      <c r="D105" s="1068">
        <v>5</v>
      </c>
      <c r="E105" s="1069">
        <f>MAX(5-2*E104,0)</f>
        <v>5</v>
      </c>
      <c r="F105" s="1069">
        <f t="shared" ref="F105" si="28">MAX(5-2*F104,0)</f>
        <v>5</v>
      </c>
      <c r="G105" s="1069">
        <f t="shared" ref="G105" si="29">MAX(5-2*G104,0)</f>
        <v>5</v>
      </c>
      <c r="H105" s="1069">
        <f t="shared" ref="H105" si="30">MAX(5-2*H104,0)</f>
        <v>5</v>
      </c>
      <c r="I105" s="1069">
        <f t="shared" ref="I105" si="31">MAX(5-2*I104,0)</f>
        <v>5</v>
      </c>
      <c r="J105" s="1069">
        <f t="shared" ref="J105" si="32">MAX(5-2*J104,0)</f>
        <v>5</v>
      </c>
      <c r="K105" s="1069">
        <f t="shared" ref="K105" si="33">MAX(5-2*K104,0)</f>
        <v>5</v>
      </c>
      <c r="L105" s="1069">
        <f t="shared" ref="L105" si="34">MAX(5-2*L104,0)</f>
        <v>5</v>
      </c>
      <c r="M105" s="1069">
        <f t="shared" ref="M105" si="35">MAX(5-2*M104,0)</f>
        <v>5</v>
      </c>
      <c r="N105" s="1069">
        <f t="shared" ref="N105" si="36">MAX(5-2*N104,0)</f>
        <v>5</v>
      </c>
      <c r="O105" s="1069" t="s">
        <v>2111</v>
      </c>
      <c r="P105" s="1033"/>
      <c r="Q105" s="1033"/>
    </row>
    <row r="106" spans="1:17" s="743" customFormat="1" ht="14.25">
      <c r="A106" s="1788"/>
      <c r="B106" s="1786" t="s">
        <v>2141</v>
      </c>
      <c r="C106" s="1118"/>
      <c r="D106" s="1068"/>
      <c r="E106" s="1051">
        <v>0</v>
      </c>
      <c r="F106" s="1051">
        <v>0</v>
      </c>
      <c r="G106" s="1051">
        <v>0</v>
      </c>
      <c r="H106" s="1051">
        <v>0</v>
      </c>
      <c r="I106" s="1051">
        <v>0</v>
      </c>
      <c r="J106" s="1051">
        <v>0</v>
      </c>
      <c r="K106" s="1051">
        <v>0</v>
      </c>
      <c r="L106" s="1051">
        <v>0</v>
      </c>
      <c r="M106" s="1051">
        <v>0</v>
      </c>
      <c r="N106" s="1051">
        <v>0</v>
      </c>
      <c r="O106" s="1069" t="s">
        <v>2116</v>
      </c>
      <c r="P106" s="1033"/>
      <c r="Q106" s="1033"/>
    </row>
    <row r="107" spans="1:17" s="743" customFormat="1" ht="14.25">
      <c r="A107" s="1788"/>
      <c r="B107" s="1787"/>
      <c r="C107" s="1085">
        <f t="shared" si="17"/>
        <v>1.6666666666666666E-2</v>
      </c>
      <c r="D107" s="1068">
        <v>5</v>
      </c>
      <c r="E107" s="1069">
        <f>MAX(5-2*E106,0)</f>
        <v>5</v>
      </c>
      <c r="F107" s="1069">
        <f t="shared" ref="F107" si="37">MAX(5-2*F106,0)</f>
        <v>5</v>
      </c>
      <c r="G107" s="1069">
        <f t="shared" ref="G107" si="38">MAX(5-2*G106,0)</f>
        <v>5</v>
      </c>
      <c r="H107" s="1069">
        <f t="shared" ref="H107" si="39">MAX(5-2*H106,0)</f>
        <v>5</v>
      </c>
      <c r="I107" s="1069">
        <f t="shared" ref="I107" si="40">MAX(5-2*I106,0)</f>
        <v>5</v>
      </c>
      <c r="J107" s="1069">
        <f t="shared" ref="J107" si="41">MAX(5-2*J106,0)</f>
        <v>5</v>
      </c>
      <c r="K107" s="1069">
        <f t="shared" ref="K107" si="42">MAX(5-2*K106,0)</f>
        <v>5</v>
      </c>
      <c r="L107" s="1069">
        <f t="shared" ref="L107" si="43">MAX(5-2*L106,0)</f>
        <v>5</v>
      </c>
      <c r="M107" s="1069">
        <f t="shared" ref="M107" si="44">MAX(5-2*M106,0)</f>
        <v>5</v>
      </c>
      <c r="N107" s="1069">
        <f t="shared" ref="N107" si="45">MAX(5-2*N106,0)</f>
        <v>5</v>
      </c>
      <c r="O107" s="1069" t="s">
        <v>2111</v>
      </c>
      <c r="P107" s="1033"/>
      <c r="Q107" s="1033"/>
    </row>
    <row r="108" spans="1:17" ht="15" customHeight="1">
      <c r="A108" s="1780" t="s">
        <v>2105</v>
      </c>
      <c r="B108" s="1781"/>
      <c r="C108" s="1074"/>
      <c r="D108" s="1075">
        <f t="shared" ref="D108:N108" si="46">SUMPRODUCT($C$2:$C$107,D2:D107)</f>
        <v>9.5999999999999979</v>
      </c>
      <c r="E108" s="1075">
        <f t="shared" si="46"/>
        <v>8.7461111111111087</v>
      </c>
      <c r="F108" s="1075">
        <f t="shared" si="46"/>
        <v>8.6813439677301041</v>
      </c>
      <c r="G108" s="1075">
        <f t="shared" si="46"/>
        <v>8.7437919463087219</v>
      </c>
      <c r="H108" s="1075">
        <f t="shared" si="46"/>
        <v>8.4464110127826952</v>
      </c>
      <c r="I108" s="1075">
        <f t="shared" si="46"/>
        <v>8.7824671445639169</v>
      </c>
      <c r="J108" s="1075">
        <f t="shared" si="46"/>
        <v>8.5974910394265205</v>
      </c>
      <c r="K108" s="1075">
        <f t="shared" si="46"/>
        <v>8.5813888888888883</v>
      </c>
      <c r="L108" s="1075">
        <f t="shared" si="46"/>
        <v>8.7674897119341537</v>
      </c>
      <c r="M108" s="1075">
        <f t="shared" si="46"/>
        <v>8.8149837793998351</v>
      </c>
      <c r="N108" s="1075">
        <f t="shared" si="46"/>
        <v>9.1608852755194192</v>
      </c>
    </row>
    <row r="109" spans="1:17" ht="15">
      <c r="A109" s="1780" t="s">
        <v>2106</v>
      </c>
      <c r="B109" s="1781"/>
      <c r="C109" s="1074"/>
      <c r="D109" s="1074"/>
      <c r="E109" s="1078">
        <f t="shared" ref="E109:N109" si="47">E108/$D$108*100</f>
        <v>91.105324074074062</v>
      </c>
      <c r="F109" s="1078">
        <f t="shared" si="47"/>
        <v>90.43066633052193</v>
      </c>
      <c r="G109" s="1078">
        <f t="shared" si="47"/>
        <v>91.081166107382543</v>
      </c>
      <c r="H109" s="1078">
        <f t="shared" si="47"/>
        <v>87.983448049819756</v>
      </c>
      <c r="I109" s="1078">
        <f t="shared" si="47"/>
        <v>91.484032755874154</v>
      </c>
      <c r="J109" s="1078">
        <f t="shared" si="47"/>
        <v>89.557198327359615</v>
      </c>
      <c r="K109" s="1078">
        <f t="shared" si="47"/>
        <v>89.389467592592609</v>
      </c>
      <c r="L109" s="1078">
        <f t="shared" si="47"/>
        <v>91.328017832647461</v>
      </c>
      <c r="M109" s="1078">
        <f t="shared" si="47"/>
        <v>91.822747702081642</v>
      </c>
      <c r="N109" s="1078">
        <f t="shared" si="47"/>
        <v>95.425888286660637</v>
      </c>
    </row>
    <row r="110" spans="1:17" ht="15" customHeight="1">
      <c r="A110" s="1780" t="s">
        <v>2107</v>
      </c>
      <c r="B110" s="1781"/>
      <c r="C110" s="1076">
        <v>0.1</v>
      </c>
      <c r="D110" s="1077"/>
      <c r="E110" s="1073"/>
      <c r="F110" s="1073"/>
      <c r="G110" s="1073"/>
      <c r="H110" s="1073"/>
      <c r="I110" s="1073"/>
      <c r="J110" s="1073"/>
      <c r="K110" s="1073"/>
      <c r="L110" s="1073"/>
      <c r="M110" s="1073"/>
      <c r="N110" s="1073"/>
    </row>
    <row r="111" spans="1:17" ht="15" customHeight="1">
      <c r="A111" s="1780" t="s">
        <v>2108</v>
      </c>
      <c r="B111" s="1781"/>
      <c r="C111" s="1076">
        <v>0.15</v>
      </c>
      <c r="D111" s="1077"/>
      <c r="E111" s="1073"/>
      <c r="F111" s="1073"/>
      <c r="G111" s="1073"/>
      <c r="H111" s="1073"/>
      <c r="I111" s="1073"/>
      <c r="J111" s="1073"/>
      <c r="K111" s="1073"/>
      <c r="L111" s="1073"/>
      <c r="M111" s="1073"/>
      <c r="N111" s="1073"/>
    </row>
    <row r="112" spans="1:17" ht="15">
      <c r="A112" s="1780" t="s">
        <v>2109</v>
      </c>
      <c r="B112" s="1781"/>
      <c r="C112" s="1076">
        <v>0.25</v>
      </c>
      <c r="D112" s="1077"/>
      <c r="E112" s="1073"/>
      <c r="F112" s="1073"/>
      <c r="G112" s="1073"/>
      <c r="H112" s="1073"/>
      <c r="I112" s="1073"/>
      <c r="J112" s="1073"/>
      <c r="K112" s="1073"/>
      <c r="L112" s="1073"/>
      <c r="M112" s="1073"/>
      <c r="N112" s="1073"/>
    </row>
    <row r="113" spans="1:14" ht="14.25">
      <c r="A113" s="1780" t="s">
        <v>2110</v>
      </c>
      <c r="B113" s="1781" t="s">
        <v>2110</v>
      </c>
      <c r="C113" s="1077"/>
      <c r="D113" s="1077"/>
      <c r="E113" s="1032">
        <f>E109+E110+E111+E112</f>
        <v>91.105324074074062</v>
      </c>
      <c r="F113" s="1032">
        <f t="shared" ref="F113:N113" si="48">F109+F110+F111+F112</f>
        <v>90.43066633052193</v>
      </c>
      <c r="G113" s="1032">
        <f t="shared" si="48"/>
        <v>91.081166107382543</v>
      </c>
      <c r="H113" s="1032">
        <f t="shared" si="48"/>
        <v>87.983448049819756</v>
      </c>
      <c r="I113" s="1032">
        <f t="shared" si="48"/>
        <v>91.484032755874154</v>
      </c>
      <c r="J113" s="1032">
        <f t="shared" si="48"/>
        <v>89.557198327359615</v>
      </c>
      <c r="K113" s="1032">
        <f t="shared" si="48"/>
        <v>89.389467592592609</v>
      </c>
      <c r="L113" s="1032">
        <f t="shared" si="48"/>
        <v>91.328017832647461</v>
      </c>
      <c r="M113" s="1032">
        <f t="shared" si="48"/>
        <v>91.822747702081642</v>
      </c>
      <c r="N113" s="1032">
        <f t="shared" si="48"/>
        <v>95.425888286660637</v>
      </c>
    </row>
    <row r="117" spans="1:14" ht="15">
      <c r="C117" s="1035" t="s">
        <v>1181</v>
      </c>
      <c r="D117" s="1079">
        <f>VALUE($M$113)</f>
        <v>91.822747702081642</v>
      </c>
    </row>
    <row r="118" spans="1:14" ht="15">
      <c r="C118" s="1035" t="s">
        <v>1182</v>
      </c>
      <c r="D118" s="1079">
        <f>VALUE($N$113)</f>
        <v>95.425888286660637</v>
      </c>
    </row>
    <row r="119" spans="1:14" ht="15">
      <c r="C119" s="1035" t="s">
        <v>1180</v>
      </c>
      <c r="D119" s="1079">
        <f>VALUE($L$113)</f>
        <v>91.328017832647461</v>
      </c>
    </row>
    <row r="120" spans="1:14" ht="15">
      <c r="B120" s="1080" t="s">
        <v>2142</v>
      </c>
      <c r="C120" s="1035" t="s">
        <v>1173</v>
      </c>
      <c r="D120" s="1079">
        <f>VALUE($E$113)</f>
        <v>91.105324074074062</v>
      </c>
    </row>
    <row r="121" spans="1:14" ht="15">
      <c r="C121" s="1035" t="s">
        <v>1175</v>
      </c>
      <c r="D121" s="1079">
        <f>VALUE($G$113)</f>
        <v>91.081166107382543</v>
      </c>
    </row>
    <row r="122" spans="1:14" ht="15">
      <c r="C122" s="1035" t="s">
        <v>1177</v>
      </c>
      <c r="D122" s="1079">
        <f>VALUE($I$113)</f>
        <v>91.484032755874154</v>
      </c>
    </row>
    <row r="123" spans="1:14" ht="15">
      <c r="C123" s="1035" t="s">
        <v>1174</v>
      </c>
      <c r="D123" s="1079">
        <f>VALUE($F$113)</f>
        <v>90.43066633052193</v>
      </c>
    </row>
    <row r="124" spans="1:14" ht="15">
      <c r="C124" s="1035" t="s">
        <v>1178</v>
      </c>
      <c r="D124" s="1079">
        <f>VALUE($J$113)</f>
        <v>89.557198327359615</v>
      </c>
    </row>
    <row r="125" spans="1:14" ht="15">
      <c r="C125" s="1035" t="s">
        <v>1179</v>
      </c>
      <c r="D125" s="1079">
        <f>VALUE($K$113)</f>
        <v>89.389467592592609</v>
      </c>
    </row>
    <row r="126" spans="1:14" ht="15">
      <c r="C126" s="1035" t="s">
        <v>1176</v>
      </c>
      <c r="D126" s="1079">
        <f>VALUE($H$113)</f>
        <v>87.983448049819756</v>
      </c>
    </row>
    <row r="129" spans="1:1">
      <c r="A129" s="843" t="s">
        <v>2336</v>
      </c>
    </row>
    <row r="130" spans="1:1">
      <c r="A130" s="843" t="s">
        <v>2335</v>
      </c>
    </row>
    <row r="131" spans="1:1">
      <c r="A131" s="843" t="s">
        <v>2332</v>
      </c>
    </row>
    <row r="132" spans="1:1">
      <c r="A132" s="843" t="s">
        <v>2333</v>
      </c>
    </row>
  </sheetData>
  <sortState ref="B117:D126">
    <sortCondition descending="1" ref="D117"/>
  </sortState>
  <mergeCells count="25">
    <mergeCell ref="A2:A41"/>
    <mergeCell ref="A113:B113"/>
    <mergeCell ref="A62:A93"/>
    <mergeCell ref="B88:B89"/>
    <mergeCell ref="A108:B108"/>
    <mergeCell ref="A109:B109"/>
    <mergeCell ref="A110:B110"/>
    <mergeCell ref="A111:B111"/>
    <mergeCell ref="A112:B112"/>
    <mergeCell ref="B106:B107"/>
    <mergeCell ref="B100:B101"/>
    <mergeCell ref="B104:B105"/>
    <mergeCell ref="B102:B103"/>
    <mergeCell ref="A94:A107"/>
    <mergeCell ref="B96:B97"/>
    <mergeCell ref="B98:B99"/>
    <mergeCell ref="A42:A61"/>
    <mergeCell ref="Y47:Z47"/>
    <mergeCell ref="B94:B95"/>
    <mergeCell ref="T48:U48"/>
    <mergeCell ref="V48:W48"/>
    <mergeCell ref="X48:Y48"/>
    <mergeCell ref="S47:T47"/>
    <mergeCell ref="U47:V47"/>
    <mergeCell ref="W47:X47"/>
  </mergeCells>
  <phoneticPr fontId="3" type="noConversion"/>
  <conditionalFormatting sqref="E2:N2">
    <cfRule type="cellIs" dxfId="307" priority="228" operator="lessThan">
      <formula>$D$2</formula>
    </cfRule>
  </conditionalFormatting>
  <conditionalFormatting sqref="E3:N3">
    <cfRule type="cellIs" dxfId="306" priority="226" operator="lessThan">
      <formula>$D$3</formula>
    </cfRule>
  </conditionalFormatting>
  <conditionalFormatting sqref="E4:N4">
    <cfRule type="cellIs" dxfId="305" priority="224" operator="lessThan">
      <formula>$D$4</formula>
    </cfRule>
  </conditionalFormatting>
  <conditionalFormatting sqref="E5 F13:N13 F16:N16 F19:N19 F28:N28 F32:N32 F5:N6">
    <cfRule type="cellIs" dxfId="304" priority="222" operator="lessThan">
      <formula>$D$5</formula>
    </cfRule>
  </conditionalFormatting>
  <conditionalFormatting sqref="E7:N7">
    <cfRule type="cellIs" dxfId="303" priority="219" operator="lessThan">
      <formula>$D$7</formula>
    </cfRule>
  </conditionalFormatting>
  <conditionalFormatting sqref="H9:N9 E8:N8">
    <cfRule type="cellIs" dxfId="302" priority="217" operator="lessThan">
      <formula>$D$8</formula>
    </cfRule>
  </conditionalFormatting>
  <conditionalFormatting sqref="E9:N9">
    <cfRule type="cellIs" dxfId="301" priority="215" operator="lessThan">
      <formula>$D$9</formula>
    </cfRule>
  </conditionalFormatting>
  <conditionalFormatting sqref="E10:N10">
    <cfRule type="cellIs" dxfId="300" priority="213" operator="lessThan">
      <formula>$D$10</formula>
    </cfRule>
  </conditionalFormatting>
  <conditionalFormatting sqref="E13:N13">
    <cfRule type="cellIs" dxfId="299" priority="211" operator="lessThan">
      <formula>$D$13</formula>
    </cfRule>
  </conditionalFormatting>
  <conditionalFormatting sqref="F13:N13">
    <cfRule type="cellIs" dxfId="298" priority="210" operator="lessThan">
      <formula>$D$6</formula>
    </cfRule>
  </conditionalFormatting>
  <conditionalFormatting sqref="E77:N77 E88:N88 E17:N18 E69:N70 E94:N94 E96:N96 E11:N12 E26:N27 E23:N24 E35:N36 E51:N52 E81:N81 E85:N86">
    <cfRule type="cellIs" dxfId="297" priority="206" operator="greaterThan">
      <formula>0</formula>
    </cfRule>
  </conditionalFormatting>
  <conditionalFormatting sqref="E19:N19">
    <cfRule type="cellIs" dxfId="296" priority="201" operator="lessThan">
      <formula>$D$19</formula>
    </cfRule>
  </conditionalFormatting>
  <conditionalFormatting sqref="E20:N20">
    <cfRule type="cellIs" dxfId="295" priority="197" operator="lessThan">
      <formula>$D$20</formula>
    </cfRule>
  </conditionalFormatting>
  <conditionalFormatting sqref="E21:N21">
    <cfRule type="cellIs" dxfId="294" priority="193" operator="lessThan">
      <formula>$D$21</formula>
    </cfRule>
  </conditionalFormatting>
  <conditionalFormatting sqref="E22:N22">
    <cfRule type="cellIs" dxfId="293" priority="189" operator="lessThan">
      <formula>$D$22</formula>
    </cfRule>
  </conditionalFormatting>
  <conditionalFormatting sqref="E25:N25">
    <cfRule type="cellIs" dxfId="292" priority="183" operator="lessThan">
      <formula>$D$25</formula>
    </cfRule>
  </conditionalFormatting>
  <conditionalFormatting sqref="E29:N29">
    <cfRule type="cellIs" dxfId="291" priority="181" operator="lessThan">
      <formula>$D$29</formula>
    </cfRule>
  </conditionalFormatting>
  <conditionalFormatting sqref="E30:N30">
    <cfRule type="cellIs" dxfId="290" priority="177" operator="lessThan">
      <formula>$D$30</formula>
    </cfRule>
  </conditionalFormatting>
  <conditionalFormatting sqref="E31:N32">
    <cfRule type="cellIs" dxfId="289" priority="173" operator="lessThan">
      <formula>$D$31</formula>
    </cfRule>
  </conditionalFormatting>
  <conditionalFormatting sqref="E33:N33">
    <cfRule type="cellIs" dxfId="288" priority="167" operator="lessThan">
      <formula>$D$33</formula>
    </cfRule>
  </conditionalFormatting>
  <conditionalFormatting sqref="E34:N34">
    <cfRule type="cellIs" dxfId="287" priority="163" operator="lessThan">
      <formula>$D$34</formula>
    </cfRule>
  </conditionalFormatting>
  <conditionalFormatting sqref="E37:N37">
    <cfRule type="cellIs" dxfId="286" priority="156" operator="lessThan">
      <formula>$D$37</formula>
    </cfRule>
  </conditionalFormatting>
  <conditionalFormatting sqref="E39:N39">
    <cfRule type="cellIs" dxfId="285" priority="152" operator="lessThan">
      <formula>$D$39</formula>
    </cfRule>
  </conditionalFormatting>
  <conditionalFormatting sqref="E40:N40">
    <cfRule type="cellIs" dxfId="284" priority="148" operator="lessThan">
      <formula>$D$40</formula>
    </cfRule>
  </conditionalFormatting>
  <conditionalFormatting sqref="E41:N41">
    <cfRule type="cellIs" dxfId="283" priority="146" operator="lessThan">
      <formula>$D$41</formula>
    </cfRule>
  </conditionalFormatting>
  <conditionalFormatting sqref="E43:N43">
    <cfRule type="cellIs" dxfId="282" priority="144" operator="lessThan">
      <formula>$D$43</formula>
    </cfRule>
  </conditionalFormatting>
  <conditionalFormatting sqref="E44:N44">
    <cfRule type="cellIs" dxfId="281" priority="140" operator="lessThan">
      <formula>$D$44</formula>
    </cfRule>
  </conditionalFormatting>
  <conditionalFormatting sqref="E45:N45">
    <cfRule type="cellIs" dxfId="280" priority="134" operator="lessThan">
      <formula>$D$45</formula>
    </cfRule>
  </conditionalFormatting>
  <conditionalFormatting sqref="E46:N46">
    <cfRule type="cellIs" dxfId="279" priority="132" operator="lessThan">
      <formula>$D$46</formula>
    </cfRule>
  </conditionalFormatting>
  <conditionalFormatting sqref="E47:N47">
    <cfRule type="cellIs" dxfId="278" priority="130" operator="lessThan">
      <formula>$D$47</formula>
    </cfRule>
  </conditionalFormatting>
  <conditionalFormatting sqref="E49:N49">
    <cfRule type="cellIs" dxfId="277" priority="126" operator="lessThan">
      <formula>$D$49</formula>
    </cfRule>
  </conditionalFormatting>
  <conditionalFormatting sqref="E48:N48">
    <cfRule type="cellIs" dxfId="276" priority="124" operator="lessThan">
      <formula>$D$48</formula>
    </cfRule>
  </conditionalFormatting>
  <conditionalFormatting sqref="E50:N50 F53:N53">
    <cfRule type="cellIs" dxfId="275" priority="120" operator="lessThan">
      <formula>$D$50</formula>
    </cfRule>
  </conditionalFormatting>
  <conditionalFormatting sqref="E53:N53">
    <cfRule type="cellIs" dxfId="274" priority="114" operator="lessThan">
      <formula>$D$53</formula>
    </cfRule>
    <cfRule type="cellIs" dxfId="273" priority="118" operator="lessThan">
      <formula>$D$50</formula>
    </cfRule>
  </conditionalFormatting>
  <conditionalFormatting sqref="E54:N55">
    <cfRule type="cellIs" dxfId="272" priority="104" operator="lessThan">
      <formula>0</formula>
    </cfRule>
  </conditionalFormatting>
  <conditionalFormatting sqref="E56:N56">
    <cfRule type="cellIs" dxfId="271" priority="103" operator="lessThan">
      <formula>$D$56</formula>
    </cfRule>
  </conditionalFormatting>
  <conditionalFormatting sqref="E58:N58">
    <cfRule type="cellIs" dxfId="270" priority="101" operator="lessThan">
      <formula>$D$58</formula>
    </cfRule>
  </conditionalFormatting>
  <conditionalFormatting sqref="E59:N59">
    <cfRule type="cellIs" dxfId="269" priority="97" operator="lessThan">
      <formula>$D$59</formula>
    </cfRule>
  </conditionalFormatting>
  <conditionalFormatting sqref="E60:N60">
    <cfRule type="cellIs" dxfId="268" priority="93" operator="lessThan">
      <formula>$D$60</formula>
    </cfRule>
  </conditionalFormatting>
  <conditionalFormatting sqref="E63:N63">
    <cfRule type="cellIs" dxfId="267" priority="91" operator="lessThan">
      <formula>$D$63</formula>
    </cfRule>
  </conditionalFormatting>
  <conditionalFormatting sqref="E64:N64">
    <cfRule type="cellIs" dxfId="266" priority="89" operator="lessThan">
      <formula>$D$64</formula>
    </cfRule>
  </conditionalFormatting>
  <conditionalFormatting sqref="E65:N65">
    <cfRule type="cellIs" dxfId="265" priority="85" operator="lessThan">
      <formula>$D$65</formula>
    </cfRule>
  </conditionalFormatting>
  <conditionalFormatting sqref="E66:N68">
    <cfRule type="cellIs" dxfId="264" priority="81" operator="lessThan">
      <formula>$D$66</formula>
    </cfRule>
  </conditionalFormatting>
  <conditionalFormatting sqref="E71:N71">
    <cfRule type="cellIs" dxfId="263" priority="75" operator="lessThan">
      <formula>$D$71</formula>
    </cfRule>
  </conditionalFormatting>
  <conditionalFormatting sqref="E72:N72">
    <cfRule type="cellIs" dxfId="262" priority="74" operator="lessThan">
      <formula>$D$72</formula>
    </cfRule>
  </conditionalFormatting>
  <conditionalFormatting sqref="E73:N73">
    <cfRule type="cellIs" dxfId="261" priority="72" operator="lessThan">
      <formula>$D$73</formula>
    </cfRule>
  </conditionalFormatting>
  <conditionalFormatting sqref="E74:N74">
    <cfRule type="cellIs" dxfId="260" priority="70" operator="lessThan">
      <formula>$D$74</formula>
    </cfRule>
  </conditionalFormatting>
  <conditionalFormatting sqref="E75:N75">
    <cfRule type="cellIs" dxfId="259" priority="66" operator="lessThan">
      <formula>$D$75</formula>
    </cfRule>
  </conditionalFormatting>
  <conditionalFormatting sqref="E78:N78">
    <cfRule type="cellIs" dxfId="258" priority="56" operator="lessThan">
      <formula>$D$78</formula>
    </cfRule>
  </conditionalFormatting>
  <conditionalFormatting sqref="E79:N79">
    <cfRule type="cellIs" dxfId="257" priority="54" operator="lessThan">
      <formula>$D$79</formula>
    </cfRule>
  </conditionalFormatting>
  <conditionalFormatting sqref="E82:N82">
    <cfRule type="cellIs" dxfId="256" priority="49" operator="lessThan">
      <formula>$D$82</formula>
    </cfRule>
  </conditionalFormatting>
  <conditionalFormatting sqref="E83:N83">
    <cfRule type="cellIs" dxfId="255" priority="47" operator="lessThan">
      <formula>$D$83</formula>
    </cfRule>
  </conditionalFormatting>
  <conditionalFormatting sqref="E84:N84">
    <cfRule type="cellIs" dxfId="254" priority="43" operator="lessThan">
      <formula>$D$84</formula>
    </cfRule>
  </conditionalFormatting>
  <conditionalFormatting sqref="E87:N87">
    <cfRule type="cellIs" dxfId="253" priority="35" operator="lessThan">
      <formula>$D$87</formula>
    </cfRule>
  </conditionalFormatting>
  <conditionalFormatting sqref="E89:N89">
    <cfRule type="cellIs" dxfId="252" priority="34" operator="lessThan">
      <formula>$D$89</formula>
    </cfRule>
  </conditionalFormatting>
  <conditionalFormatting sqref="E88:N88">
    <cfRule type="cellIs" dxfId="251" priority="32" operator="greaterThan">
      <formula>0</formula>
    </cfRule>
    <cfRule type="cellIs" dxfId="250" priority="33" operator="greaterThan">
      <formula>0</formula>
    </cfRule>
  </conditionalFormatting>
  <conditionalFormatting sqref="E91:N91">
    <cfRule type="cellIs" dxfId="249" priority="30" operator="lessThan">
      <formula>$D$91</formula>
    </cfRule>
  </conditionalFormatting>
  <conditionalFormatting sqref="E92:N92">
    <cfRule type="cellIs" dxfId="248" priority="26" operator="lessThan">
      <formula>$D$92</formula>
    </cfRule>
  </conditionalFormatting>
  <conditionalFormatting sqref="E93:N93">
    <cfRule type="cellIs" dxfId="247" priority="24" operator="lessThan">
      <formula>10</formula>
    </cfRule>
  </conditionalFormatting>
  <conditionalFormatting sqref="E95:N95">
    <cfRule type="cellIs" dxfId="246" priority="23" operator="lessThan">
      <formula>$D$95</formula>
    </cfRule>
  </conditionalFormatting>
  <conditionalFormatting sqref="E97:N97">
    <cfRule type="cellIs" dxfId="245" priority="20" operator="lessThan">
      <formula>4</formula>
    </cfRule>
  </conditionalFormatting>
  <conditionalFormatting sqref="E99:N99 E101:N101 E103:N103 E105:N105 E107:N107">
    <cfRule type="cellIs" dxfId="244" priority="18" operator="lessThan">
      <formula>$D$99</formula>
    </cfRule>
  </conditionalFormatting>
  <conditionalFormatting sqref="E76:N76">
    <cfRule type="cellIs" dxfId="243" priority="12" operator="greaterThan">
      <formula>0</formula>
    </cfRule>
  </conditionalFormatting>
  <conditionalFormatting sqref="N80">
    <cfRule type="cellIs" dxfId="242" priority="2" operator="greaterThan">
      <formula>0</formula>
    </cfRule>
  </conditionalFormatting>
  <conditionalFormatting sqref="F80">
    <cfRule type="cellIs" dxfId="241" priority="10" operator="greaterThan">
      <formula>0</formula>
    </cfRule>
  </conditionalFormatting>
  <conditionalFormatting sqref="G80">
    <cfRule type="cellIs" dxfId="240" priority="9" operator="greaterThan">
      <formula>0</formula>
    </cfRule>
  </conditionalFormatting>
  <conditionalFormatting sqref="H80">
    <cfRule type="cellIs" dxfId="239" priority="8" operator="greaterThan">
      <formula>0</formula>
    </cfRule>
  </conditionalFormatting>
  <conditionalFormatting sqref="I80">
    <cfRule type="cellIs" dxfId="238" priority="7" operator="greaterThan">
      <formula>0</formula>
    </cfRule>
  </conditionalFormatting>
  <conditionalFormatting sqref="J80">
    <cfRule type="cellIs" dxfId="237" priority="6" operator="greaterThan">
      <formula>0</formula>
    </cfRule>
  </conditionalFormatting>
  <conditionalFormatting sqref="K80">
    <cfRule type="cellIs" dxfId="236" priority="5" operator="greaterThan">
      <formula>0</formula>
    </cfRule>
  </conditionalFormatting>
  <conditionalFormatting sqref="L80">
    <cfRule type="cellIs" dxfId="235" priority="4" operator="greaterThan">
      <formula>0</formula>
    </cfRule>
  </conditionalFormatting>
  <conditionalFormatting sqref="M80">
    <cfRule type="cellIs" dxfId="234" priority="3" operator="greaterThan">
      <formula>0</formula>
    </cfRule>
  </conditionalFormatting>
  <conditionalFormatting sqref="E80:N81">
    <cfRule type="cellIs" priority="1" operator="greaterThan">
      <formula>0</formula>
    </cfRule>
  </conditionalFormatting>
  <hyperlinks>
    <hyperlink ref="A129" location="绩效总分!A1" display="绩效总分"/>
    <hyperlink ref="A130" location="'总公司绩效-I'!A1" display="总公司绩效-I"/>
    <hyperlink ref="A132" location="目录!A1" display="目录"/>
    <hyperlink ref="A131" location="'总公司绩效-II'!A1" display="总公司绩效-II"/>
  </hyperlinks>
  <pageMargins left="0.7" right="0.7" top="0.75" bottom="0.75" header="0.3" footer="0.3"/>
  <ignoredErrors>
    <ignoredError sqref="E9:G9 I9:N9" formula="1"/>
  </ignoredErrors>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1:E27"/>
  <sheetViews>
    <sheetView workbookViewId="0">
      <selection activeCell="B5" sqref="B5"/>
    </sheetView>
  </sheetViews>
  <sheetFormatPr defaultRowHeight="13.5"/>
  <cols>
    <col min="1" max="1" width="8.625" style="32" customWidth="1"/>
    <col min="2" max="2" width="67.625" customWidth="1"/>
    <col min="3" max="3" width="16.625" bestFit="1" customWidth="1"/>
    <col min="4" max="4" width="15" bestFit="1" customWidth="1"/>
  </cols>
  <sheetData>
    <row r="1" spans="1:5" ht="51" customHeight="1">
      <c r="A1" s="1789" t="s">
        <v>1949</v>
      </c>
      <c r="B1" s="1790"/>
    </row>
    <row r="2" spans="1:5" ht="25.5" customHeight="1" thickBot="1">
      <c r="A2" s="1311" t="s">
        <v>231</v>
      </c>
      <c r="B2" s="1312" t="s">
        <v>232</v>
      </c>
    </row>
    <row r="3" spans="1:5" ht="16.5">
      <c r="A3" s="1313">
        <f>ROW()-2</f>
        <v>1</v>
      </c>
      <c r="B3" s="1314" t="s">
        <v>1431</v>
      </c>
    </row>
    <row r="4" spans="1:5" ht="16.5">
      <c r="A4" s="29">
        <f>ROW()-2</f>
        <v>2</v>
      </c>
      <c r="B4" s="33" t="s">
        <v>1432</v>
      </c>
    </row>
    <row r="5" spans="1:5" ht="16.5">
      <c r="A5" s="29">
        <f>ROW()-2</f>
        <v>3</v>
      </c>
      <c r="B5" s="33" t="s">
        <v>1433</v>
      </c>
    </row>
    <row r="6" spans="1:5" ht="16.5">
      <c r="A6" s="29">
        <f t="shared" ref="A6:A11" si="0">ROW()-2</f>
        <v>4</v>
      </c>
      <c r="B6" s="33" t="s">
        <v>1434</v>
      </c>
    </row>
    <row r="7" spans="1:5" ht="16.5">
      <c r="A7" s="29">
        <f t="shared" si="0"/>
        <v>5</v>
      </c>
      <c r="B7" s="33" t="s">
        <v>1435</v>
      </c>
    </row>
    <row r="8" spans="1:5" ht="16.5">
      <c r="A8" s="29">
        <f t="shared" si="0"/>
        <v>6</v>
      </c>
      <c r="B8" s="33" t="s">
        <v>2288</v>
      </c>
    </row>
    <row r="9" spans="1:5" ht="16.5">
      <c r="A9" s="29">
        <f t="shared" si="0"/>
        <v>7</v>
      </c>
      <c r="B9" s="33" t="s">
        <v>2289</v>
      </c>
    </row>
    <row r="10" spans="1:5" ht="16.5">
      <c r="A10" s="29">
        <f t="shared" si="0"/>
        <v>8</v>
      </c>
      <c r="B10" s="33" t="s">
        <v>2290</v>
      </c>
    </row>
    <row r="11" spans="1:5" ht="16.5">
      <c r="A11" s="29">
        <f t="shared" si="0"/>
        <v>9</v>
      </c>
      <c r="B11" s="33" t="s">
        <v>2291</v>
      </c>
    </row>
    <row r="12" spans="1:5" ht="16.5">
      <c r="A12" s="29">
        <f>ROW()-2</f>
        <v>10</v>
      </c>
      <c r="B12" s="33" t="s">
        <v>2292</v>
      </c>
    </row>
    <row r="13" spans="1:5" ht="16.5">
      <c r="A13" s="29">
        <v>11</v>
      </c>
      <c r="B13" s="33" t="s">
        <v>2293</v>
      </c>
    </row>
    <row r="14" spans="1:5" ht="16.5">
      <c r="A14" s="29">
        <v>12</v>
      </c>
      <c r="B14" s="33" t="s">
        <v>2294</v>
      </c>
    </row>
    <row r="15" spans="1:5" ht="18.75">
      <c r="A15" s="29">
        <v>13</v>
      </c>
      <c r="B15" s="33" t="s">
        <v>2295</v>
      </c>
      <c r="C15" s="741"/>
      <c r="D15" s="742"/>
      <c r="E15" s="743"/>
    </row>
    <row r="16" spans="1:5" ht="18.75">
      <c r="A16" s="29">
        <v>14</v>
      </c>
      <c r="B16" s="33" t="s">
        <v>2296</v>
      </c>
      <c r="C16" s="742"/>
      <c r="D16" s="740"/>
      <c r="E16" s="743"/>
    </row>
    <row r="17" spans="1:5" ht="18.75">
      <c r="A17" s="29">
        <v>15</v>
      </c>
      <c r="B17" s="33" t="s">
        <v>2297</v>
      </c>
      <c r="C17" s="741"/>
      <c r="D17" s="742"/>
      <c r="E17" s="743"/>
    </row>
    <row r="18" spans="1:5" ht="18.75">
      <c r="A18" s="29">
        <v>16</v>
      </c>
      <c r="B18" s="33" t="s">
        <v>2298</v>
      </c>
      <c r="C18" s="742"/>
      <c r="D18" s="740"/>
      <c r="E18" s="743"/>
    </row>
    <row r="19" spans="1:5" ht="16.5">
      <c r="A19" s="29">
        <v>17</v>
      </c>
      <c r="B19" s="33" t="s">
        <v>2299</v>
      </c>
    </row>
    <row r="20" spans="1:5" ht="18.75">
      <c r="A20" s="29">
        <v>18</v>
      </c>
      <c r="B20" s="33" t="s">
        <v>2284</v>
      </c>
      <c r="C20" s="740"/>
      <c r="D20" s="740"/>
      <c r="E20" s="743"/>
    </row>
    <row r="21" spans="1:5" ht="18.75">
      <c r="A21" s="29">
        <v>19</v>
      </c>
      <c r="B21" s="33" t="s">
        <v>2285</v>
      </c>
      <c r="C21" s="740"/>
      <c r="D21" s="740"/>
      <c r="E21" s="743"/>
    </row>
    <row r="22" spans="1:5" ht="16.5">
      <c r="A22" s="29">
        <v>20</v>
      </c>
      <c r="B22" s="33" t="s">
        <v>2300</v>
      </c>
      <c r="C22" s="743"/>
      <c r="D22" s="743"/>
      <c r="E22" s="743"/>
    </row>
    <row r="23" spans="1:5" ht="16.5">
      <c r="A23" s="29">
        <v>21</v>
      </c>
      <c r="B23" s="33" t="s">
        <v>2301</v>
      </c>
      <c r="C23" s="743"/>
      <c r="D23" s="743"/>
      <c r="E23" s="743"/>
    </row>
    <row r="24" spans="1:5" ht="16.5">
      <c r="A24" s="29">
        <v>22</v>
      </c>
      <c r="B24" s="33" t="s">
        <v>2302</v>
      </c>
      <c r="C24" s="743"/>
      <c r="D24" s="743"/>
      <c r="E24" s="743"/>
    </row>
    <row r="25" spans="1:5" ht="16.5">
      <c r="A25" s="29">
        <v>23</v>
      </c>
      <c r="B25" s="33" t="s">
        <v>2303</v>
      </c>
    </row>
    <row r="26" spans="1:5" ht="16.5">
      <c r="A26" s="29">
        <v>24</v>
      </c>
      <c r="B26" s="33" t="s">
        <v>2286</v>
      </c>
    </row>
    <row r="27" spans="1:5" ht="17.25" thickBot="1">
      <c r="A27" s="30">
        <v>25</v>
      </c>
      <c r="B27" s="34" t="s">
        <v>2287</v>
      </c>
    </row>
  </sheetData>
  <mergeCells count="1">
    <mergeCell ref="A1:B1"/>
  </mergeCells>
  <phoneticPr fontId="3" type="noConversion"/>
  <hyperlinks>
    <hyperlink ref="B6" location="'OR02-销售承保'!A1" display="OR02-销售承保"/>
    <hyperlink ref="B7" location="'OR06-理赔保全'!A1" display="OR06-理赔保全"/>
    <hyperlink ref="B8" location="'OR10-资金运用'!A1" display="OR10-资金运用"/>
    <hyperlink ref="B9" location="'OR12-财务管理'!A1" display="OR12-财务管理"/>
    <hyperlink ref="B10" location="'OR15-准备金再保险'!A1" display="OR15-准备金再保险"/>
    <hyperlink ref="B11" location="'OR18-合规风险'!A1" display="OR18-合规风险"/>
    <hyperlink ref="B12" location="'RR01-声誉风险'!A1" display="RR01-声誉风险"/>
    <hyperlink ref="B3" location="'OR04-分公司销售、承保、保全'!A1" display="OR04-人身保险公司分支机构销售、承保、保全业务线操作风险"/>
    <hyperlink ref="B4" location="'OR08-分公司理赔'!A1" display="OR08-人身保险公司分支机构理赔业务线操作风险"/>
    <hyperlink ref="B5" location="'OR13-分公司财务管理'!A1" display="OR13-保险分支机构财务管理操作风险"/>
    <hyperlink ref="B13" location="信息系统!A1" display="信息系统"/>
    <hyperlink ref="B14" location="案件管理!A1" display="案件管理"/>
    <hyperlink ref="B15" location="流动性风险!A1" display="流动性风险"/>
    <hyperlink ref="B16" location="公司治理!A1" display="公司治理"/>
    <hyperlink ref="B17" location="战略风险!A1" display="战略风险"/>
    <hyperlink ref="B18" location="'FM02-分支机构封面页'!A1" display="分支机构页"/>
    <hyperlink ref="B20" location="'总公司绩效-I'!A1" display="总公司绩效-I"/>
    <hyperlink ref="B21" location="'总公司绩效-II'!A1" display="总公司绩效-II"/>
    <hyperlink ref="B22" location="分公司绩效!A1" display="分公司绩效"/>
    <hyperlink ref="B23" location="退撤保率!A1" display="退撤保率"/>
    <hyperlink ref="B24" location="续期收费率!A1" display="续期收费率"/>
    <hyperlink ref="B25" location="新契约回访完成率!A1" display="新契约回访完成率"/>
    <hyperlink ref="B26" location="犹豫期内电话回访成功率!A1" display="犹豫期内电话回访成功率"/>
    <hyperlink ref="B27" location="员工流失率!A1" display="员工流失率"/>
    <hyperlink ref="B19" location="绩效总分!A1" display="绩效总分"/>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30</vt:i4>
      </vt:variant>
      <vt:variant>
        <vt:lpstr>命名范围</vt:lpstr>
      </vt:variant>
      <vt:variant>
        <vt:i4>2</vt:i4>
      </vt:variant>
    </vt:vector>
  </HeadingPairs>
  <TitlesOfParts>
    <vt:vector size="32" baseType="lpstr">
      <vt:lpstr>员工流失率</vt:lpstr>
      <vt:lpstr>犹豫期内电话回访成功率</vt:lpstr>
      <vt:lpstr>新契约回访完成率</vt:lpstr>
      <vt:lpstr>续期收费率</vt:lpstr>
      <vt:lpstr>退撤保率</vt:lpstr>
      <vt:lpstr>总公司绩效-II</vt:lpstr>
      <vt:lpstr>总公司绩效-I</vt:lpstr>
      <vt:lpstr>分公司绩效</vt:lpstr>
      <vt:lpstr>目录</vt:lpstr>
      <vt:lpstr>绩效总分</vt:lpstr>
      <vt:lpstr>FM02-分支机构封面页</vt:lpstr>
      <vt:lpstr>权重</vt:lpstr>
      <vt:lpstr>OR04-分公司销售、承保、保全</vt:lpstr>
      <vt:lpstr>OR08-分公司理赔</vt:lpstr>
      <vt:lpstr>单证遗失情况</vt:lpstr>
      <vt:lpstr>绩效评分汇总页</vt:lpstr>
      <vt:lpstr>OR13-分公司财务管理</vt:lpstr>
      <vt:lpstr>OR02-销售承保</vt:lpstr>
      <vt:lpstr>OR06-理赔保全</vt:lpstr>
      <vt:lpstr>OR12-财务管理</vt:lpstr>
      <vt:lpstr>OR10-资金运用</vt:lpstr>
      <vt:lpstr>OR18-合规风险</vt:lpstr>
      <vt:lpstr>OR15-准备金再保险</vt:lpstr>
      <vt:lpstr>RR01-声誉风险</vt:lpstr>
      <vt:lpstr>信息系统</vt:lpstr>
      <vt:lpstr>案件管理</vt:lpstr>
      <vt:lpstr>流动性风险</vt:lpstr>
      <vt:lpstr>公司治理</vt:lpstr>
      <vt:lpstr>战略风险</vt:lpstr>
      <vt:lpstr>Sheet1</vt:lpstr>
      <vt:lpstr>案件管理!Print_Area</vt:lpstr>
      <vt:lpstr>案件管理!Print_Titles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WH</cp:lastModifiedBy>
  <cp:lastPrinted>2018-01-09T06:16:55Z</cp:lastPrinted>
  <dcterms:created xsi:type="dcterms:W3CDTF">2016-07-18T02:45:56Z</dcterms:created>
  <dcterms:modified xsi:type="dcterms:W3CDTF">2018-12-21T10:13:01Z</dcterms:modified>
</cp:coreProperties>
</file>