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ы аналитической модели" sheetId="1" r:id="rId4"/>
    <sheet state="visible" name="Графики анал. (РСеМО)" sheetId="2" r:id="rId5"/>
    <sheet state="visible" name="Графики анал. (ЗСеМО)" sheetId="3" r:id="rId6"/>
    <sheet state="visible" name="Узкое место" sheetId="4" r:id="rId7"/>
    <sheet state="visible" name="Марковские модели (ЗСеМО)" sheetId="5" r:id="rId8"/>
    <sheet state="visible" name="Марковские модели (НЗСеМО)" sheetId="6" r:id="rId9"/>
    <sheet state="visible" name="Марковские сравнение" sheetId="7" r:id="rId10"/>
    <sheet state="visible" name="GPS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5">
      <text>
        <t xml:space="preserve">???
	-Egor Krivonosov</t>
      </text>
    </comment>
    <comment authorId="0" ref="I15">
      <text>
        <t xml:space="preserve">???
	-Egor Krivonosov</t>
      </text>
    </comment>
    <comment authorId="0" ref="I13">
      <text>
        <t xml:space="preserve">???
	-Egor Krivonosov</t>
      </text>
    </comment>
    <comment authorId="0" ref="E22">
      <text>
        <t xml:space="preserve">Тут короче у нас же 2 прибора, значит время пребывания остается таким же как и с 1 заявкой???
Это я чекнул курчас человека и проверил на его значениях. Тогда у нас будет схоже с марковским моделированием
	-Egor Krivonosov
Но в рекурсивных формулах поправок на количество приборов нет
	-Леся Нечкасова</t>
      </text>
    </comment>
    <comment authorId="0" ref="H7">
      <text>
        <t xml:space="preserve">Кол-во заявок
	-Egor Krivonosov</t>
      </text>
    </comment>
  </commentList>
</comments>
</file>

<file path=xl/sharedStrings.xml><?xml version="1.0" encoding="utf-8"?>
<sst xmlns="http://schemas.openxmlformats.org/spreadsheetml/2006/main" count="411" uniqueCount="155">
  <si>
    <t>Матрица вероятностей передач</t>
  </si>
  <si>
    <t>a0</t>
  </si>
  <si>
    <t>Условие перегрузки</t>
  </si>
  <si>
    <t>a1</t>
  </si>
  <si>
    <t>2</t>
  </si>
  <si>
    <t>b1</t>
  </si>
  <si>
    <t>0.5</t>
  </si>
  <si>
    <t>k1</t>
  </si>
  <si>
    <t>a2</t>
  </si>
  <si>
    <t>b2</t>
  </si>
  <si>
    <t>0.25</t>
  </si>
  <si>
    <t>k2</t>
  </si>
  <si>
    <t>0.1</t>
  </si>
  <si>
    <t>0.15</t>
  </si>
  <si>
    <t>a3</t>
  </si>
  <si>
    <t>0.2</t>
  </si>
  <si>
    <t>b3</t>
  </si>
  <si>
    <t>k3</t>
  </si>
  <si>
    <t>a4</t>
  </si>
  <si>
    <t>0.3</t>
  </si>
  <si>
    <t>b4</t>
  </si>
  <si>
    <t>k4</t>
  </si>
  <si>
    <t>М*</t>
  </si>
  <si>
    <t>Характеристики СеМО</t>
  </si>
  <si>
    <t>Замкнутая СеМО</t>
  </si>
  <si>
    <t>Разомкнутая СеМО</t>
  </si>
  <si>
    <t>Узел 1</t>
  </si>
  <si>
    <t>Узел 2</t>
  </si>
  <si>
    <t>Узел 3</t>
  </si>
  <si>
    <t>Узел 4</t>
  </si>
  <si>
    <t>Сеть</t>
  </si>
  <si>
    <t>Загрузка</t>
  </si>
  <si>
    <t>Длина очереди</t>
  </si>
  <si>
    <t>Производительность</t>
  </si>
  <si>
    <t>Число заявок</t>
  </si>
  <si>
    <t>Время пребывания</t>
  </si>
  <si>
    <t>Время ожидания</t>
  </si>
  <si>
    <t>M</t>
  </si>
  <si>
    <t>М</t>
  </si>
  <si>
    <t>Для Разомкнутой СеМО</t>
  </si>
  <si>
    <t>u1(1)</t>
  </si>
  <si>
    <t>u1(2)</t>
  </si>
  <si>
    <t>u1(3)</t>
  </si>
  <si>
    <t>u1(4)</t>
  </si>
  <si>
    <t>u1(5)</t>
  </si>
  <si>
    <t>λ0</t>
  </si>
  <si>
    <t>u2(1)</t>
  </si>
  <si>
    <t>u2(2)</t>
  </si>
  <si>
    <t>u2(3)</t>
  </si>
  <si>
    <t>u2(4)</t>
  </si>
  <si>
    <t>u2(5)</t>
  </si>
  <si>
    <t>U</t>
  </si>
  <si>
    <t>u3(1)</t>
  </si>
  <si>
    <t>u3(2)</t>
  </si>
  <si>
    <t>u3(3)</t>
  </si>
  <si>
    <t>u3(4)</t>
  </si>
  <si>
    <t>u3(5)</t>
  </si>
  <si>
    <t>W</t>
  </si>
  <si>
    <t>u4(1)</t>
  </si>
  <si>
    <t>u4(2)</t>
  </si>
  <si>
    <t>u4(3)</t>
  </si>
  <si>
    <t>u4(4)</t>
  </si>
  <si>
    <t>u4(5)</t>
  </si>
  <si>
    <t>L</t>
  </si>
  <si>
    <t>U(1)</t>
  </si>
  <si>
    <t>U(2)</t>
  </si>
  <si>
    <t>U(3)</t>
  </si>
  <si>
    <t>U(4)</t>
  </si>
  <si>
    <t>U(5)</t>
  </si>
  <si>
    <t>λ0(1)</t>
  </si>
  <si>
    <t>λ0(2)</t>
  </si>
  <si>
    <t>λ0(3)</t>
  </si>
  <si>
    <t>λ0(4)</t>
  </si>
  <si>
    <t>λ0(5)</t>
  </si>
  <si>
    <t>m1(1)</t>
  </si>
  <si>
    <t>m1(2)</t>
  </si>
  <si>
    <t>m1(3)</t>
  </si>
  <si>
    <t>m1(4)</t>
  </si>
  <si>
    <t>m1(5)</t>
  </si>
  <si>
    <t>Для Замкнутой СеМО</t>
  </si>
  <si>
    <t>m2(1)</t>
  </si>
  <si>
    <t>m2(2)</t>
  </si>
  <si>
    <t>m2(3)</t>
  </si>
  <si>
    <t>m2(4)</t>
  </si>
  <si>
    <t>m2(5)</t>
  </si>
  <si>
    <t>m3(1)</t>
  </si>
  <si>
    <t>m3(2)</t>
  </si>
  <si>
    <t>m3(3)</t>
  </si>
  <si>
    <t>m3(4)</t>
  </si>
  <si>
    <t>m3(5)</t>
  </si>
  <si>
    <t>m4(1)</t>
  </si>
  <si>
    <t>m4(2)</t>
  </si>
  <si>
    <t>m4(3)</t>
  </si>
  <si>
    <t>m4(4)</t>
  </si>
  <si>
    <t>m4(5)</t>
  </si>
  <si>
    <t>%</t>
  </si>
  <si>
    <t>Время обслуживания</t>
  </si>
  <si>
    <t>-</t>
  </si>
  <si>
    <t>с "узким местом"</t>
  </si>
  <si>
    <t>без "узкого места"</t>
  </si>
  <si>
    <t>У1 / У2 / У3 / У4</t>
  </si>
  <si>
    <t>Вероятность</t>
  </si>
  <si>
    <t>Уз. 1</t>
  </si>
  <si>
    <t>2 / 0 / 0 / 0</t>
  </si>
  <si>
    <t>p1</t>
  </si>
  <si>
    <t>Уз. 2</t>
  </si>
  <si>
    <t>1 / 1 / 0 / 0</t>
  </si>
  <si>
    <t>p2</t>
  </si>
  <si>
    <t>Уз. 3</t>
  </si>
  <si>
    <t>1 / 0 / 1 / 0</t>
  </si>
  <si>
    <t>p3</t>
  </si>
  <si>
    <t>Уз. 4</t>
  </si>
  <si>
    <t>1 / 0 / 0 / 1</t>
  </si>
  <si>
    <t>p4</t>
  </si>
  <si>
    <t>0 / 2 / 0 / 0</t>
  </si>
  <si>
    <t>p5</t>
  </si>
  <si>
    <t>0 / 1 / 1 / 0</t>
  </si>
  <si>
    <t>p6</t>
  </si>
  <si>
    <t>0 / 1 / 0 / 1</t>
  </si>
  <si>
    <t>p7</t>
  </si>
  <si>
    <t>0 / 0 / 2 / 0</t>
  </si>
  <si>
    <t>p8</t>
  </si>
  <si>
    <t>0 / 0 / 1 / 1</t>
  </si>
  <si>
    <t>p9</t>
  </si>
  <si>
    <t>0 / 0 / 0 / 2</t>
  </si>
  <si>
    <t>p10</t>
  </si>
  <si>
    <t>1 / 0 / 11 / 0</t>
  </si>
  <si>
    <t>1 / 0 / 12 / 0</t>
  </si>
  <si>
    <t>0 / 1 / 11 / 0</t>
  </si>
  <si>
    <t>0 / 1 / 12 / 0</t>
  </si>
  <si>
    <t>0 / 0 / 21 / 0</t>
  </si>
  <si>
    <t>0 / 0 / 22 / 0</t>
  </si>
  <si>
    <t>p11</t>
  </si>
  <si>
    <t>0 / 0 / 11 / 1</t>
  </si>
  <si>
    <t>p12</t>
  </si>
  <si>
    <t>0 / 0 / 12 / 1</t>
  </si>
  <si>
    <t>p13</t>
  </si>
  <si>
    <t>p14</t>
  </si>
  <si>
    <t>Характеристика СеМО</t>
  </si>
  <si>
    <t>Экспоненциальная СеМО</t>
  </si>
  <si>
    <t>Не экспоненциальная СеМО</t>
  </si>
  <si>
    <t>У1</t>
  </si>
  <si>
    <t>У2</t>
  </si>
  <si>
    <t>У3</t>
  </si>
  <si>
    <t>У4</t>
  </si>
  <si>
    <t>ЗСеМО-экспоненциальная</t>
  </si>
  <si>
    <t>ЗСеМО-неэкспоненциальная</t>
  </si>
  <si>
    <t>Узловые</t>
  </si>
  <si>
    <t>У3 (эксп)</t>
  </si>
  <si>
    <t>Сеть (эксп)</t>
  </si>
  <si>
    <t>У3 (не эксп)</t>
  </si>
  <si>
    <t>Сеть (не эксп)</t>
  </si>
  <si>
    <t>Дов. интервал</t>
  </si>
  <si>
    <t>РСеМО-экспоненциальная</t>
  </si>
  <si>
    <t>РСеМО-неэкспоненциальная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</si>
</sst>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0.0000"/>
    <numFmt numFmtId="165" formatCode="0.0000"/>
    <numFmt numFmtId="166" formatCode="±##0.000"/>
  </numFmts>
  <fonts count="13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</font>
    <font>
      <color rgb="FF000000"/>
      <name val="Arial"/>
    </font>
    <font>
      <color rgb="FF21212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49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right" vertical="bottom"/>
    </xf>
    <xf borderId="0" fillId="0" fontId="3" numFmtId="0" xfId="0" applyFont="1"/>
    <xf borderId="2" fillId="2" fontId="1" numFmtId="0" xfId="0" applyAlignment="1" applyBorder="1" applyFont="1">
      <alignment horizontal="right" vertical="bottom"/>
    </xf>
    <xf borderId="3" fillId="3" fontId="1" numFmtId="0" xfId="0" applyAlignment="1" applyBorder="1" applyFill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1" numFmtId="4" xfId="0" applyAlignment="1" applyBorder="1" applyFont="1" applyNumberFormat="1">
      <alignment horizontal="center" vertical="bottom"/>
    </xf>
    <xf borderId="3" fillId="4" fontId="1" numFmtId="0" xfId="0" applyAlignment="1" applyBorder="1" applyFill="1" applyFont="1">
      <alignment vertical="bottom"/>
    </xf>
    <xf borderId="3" fillId="0" fontId="1" numFmtId="0" xfId="0" applyAlignment="1" applyBorder="1" applyFont="1">
      <alignment readingOrder="0" vertical="bottom"/>
    </xf>
    <xf borderId="5" fillId="5" fontId="4" numFmtId="0" xfId="0" applyAlignment="1" applyBorder="1" applyFill="1" applyFont="1">
      <alignment horizontal="center" shrinkToFit="0" vertical="bottom" wrapText="1"/>
    </xf>
    <xf borderId="1" fillId="5" fontId="4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4" fillId="5" fontId="4" numFmtId="0" xfId="0" applyAlignment="1" applyBorder="1" applyFont="1">
      <alignment horizontal="center" shrinkToFit="0" vertical="bottom" wrapText="1"/>
    </xf>
    <xf borderId="6" fillId="5" fontId="4" numFmtId="0" xfId="0" applyAlignment="1" applyBorder="1" applyFont="1">
      <alignment horizontal="center" shrinkToFit="0" vertical="bottom" wrapText="1"/>
    </xf>
    <xf borderId="7" fillId="5" fontId="4" numFmtId="0" xfId="0" applyAlignment="1" applyBorder="1" applyFont="1">
      <alignment horizontal="center" shrinkToFit="0" vertical="bottom" wrapText="1"/>
    </xf>
    <xf borderId="7" fillId="0" fontId="2" numFmtId="0" xfId="0" applyBorder="1" applyFont="1"/>
    <xf borderId="8" fillId="0" fontId="2" numFmtId="0" xfId="0" applyBorder="1" applyFont="1"/>
    <xf borderId="2" fillId="0" fontId="2" numFmtId="0" xfId="0" applyBorder="1" applyFont="1"/>
    <xf borderId="3" fillId="2" fontId="4" numFmtId="0" xfId="0" applyAlignment="1" applyBorder="1" applyFont="1">
      <alignment horizontal="center" shrinkToFit="0" vertical="bottom" wrapText="1"/>
    </xf>
    <xf borderId="9" fillId="0" fontId="2" numFmtId="0" xfId="0" applyBorder="1" applyFont="1"/>
    <xf borderId="10" fillId="2" fontId="4" numFmtId="0" xfId="0" applyAlignment="1" applyBorder="1" applyFont="1">
      <alignment horizontal="center" shrinkToFit="0" vertical="bottom" wrapText="1"/>
    </xf>
    <xf borderId="2" fillId="2" fontId="4" numFmtId="0" xfId="0" applyAlignment="1" applyBorder="1" applyFont="1">
      <alignment shrinkToFit="0" vertical="bottom" wrapText="1"/>
    </xf>
    <xf borderId="3" fillId="0" fontId="1" numFmtId="164" xfId="0" applyAlignment="1" applyBorder="1" applyFont="1" applyNumberFormat="1">
      <alignment horizontal="center" vertical="center"/>
    </xf>
    <xf borderId="3" fillId="2" fontId="4" numFmtId="0" xfId="0" applyAlignment="1" applyBorder="1" applyFont="1">
      <alignment shrinkToFit="0" vertical="bottom" wrapText="1"/>
    </xf>
    <xf borderId="9" fillId="2" fontId="4" numFmtId="0" xfId="0" applyAlignment="1" applyBorder="1" applyFont="1">
      <alignment shrinkToFit="0" vertical="bottom" wrapText="1"/>
    </xf>
    <xf borderId="10" fillId="0" fontId="1" numFmtId="164" xfId="0" applyAlignment="1" applyBorder="1" applyFont="1" applyNumberFormat="1">
      <alignment horizontal="center" vertical="center"/>
    </xf>
    <xf borderId="11" fillId="2" fontId="4" numFmtId="0" xfId="0" applyAlignment="1" applyBorder="1" applyFont="1">
      <alignment shrinkToFit="0" vertical="bottom" wrapText="1"/>
    </xf>
    <xf borderId="12" fillId="0" fontId="1" numFmtId="164" xfId="0" applyAlignment="1" applyBorder="1" applyFont="1" applyNumberFormat="1">
      <alignment horizontal="center" vertical="center"/>
    </xf>
    <xf borderId="13" fillId="6" fontId="1" numFmtId="164" xfId="0" applyAlignment="1" applyBorder="1" applyFill="1" applyFont="1" applyNumberFormat="1">
      <alignment horizontal="center" vertical="center"/>
    </xf>
    <xf borderId="3" fillId="0" fontId="1" numFmtId="164" xfId="0" applyAlignment="1" applyBorder="1" applyFont="1" applyNumberFormat="1">
      <alignment horizontal="center" readingOrder="0" vertical="center"/>
    </xf>
    <xf borderId="13" fillId="0" fontId="1" numFmtId="164" xfId="0" applyAlignment="1" applyBorder="1" applyFont="1" applyNumberFormat="1">
      <alignment horizontal="center" vertical="center"/>
    </xf>
    <xf borderId="14" fillId="2" fontId="4" numFmtId="0" xfId="0" applyAlignment="1" applyBorder="1" applyFont="1">
      <alignment shrinkToFit="0" vertical="bottom" wrapText="1"/>
    </xf>
    <xf borderId="15" fillId="0" fontId="3" numFmtId="164" xfId="0" applyAlignment="1" applyBorder="1" applyFont="1" applyNumberFormat="1">
      <alignment horizontal="center" vertical="center"/>
    </xf>
    <xf borderId="16" fillId="0" fontId="3" numFmtId="164" xfId="0" applyAlignment="1" applyBorder="1" applyFont="1" applyNumberFormat="1">
      <alignment horizontal="center" vertical="center"/>
    </xf>
    <xf borderId="17" fillId="0" fontId="3" numFmtId="164" xfId="0" applyAlignment="1" applyBorder="1" applyFont="1" applyNumberFormat="1">
      <alignment horizontal="center" vertical="center"/>
    </xf>
    <xf borderId="18" fillId="0" fontId="3" numFmtId="164" xfId="0" applyAlignment="1" applyBorder="1" applyFont="1" applyNumberFormat="1">
      <alignment horizontal="center" vertical="center"/>
    </xf>
    <xf borderId="19" fillId="0" fontId="3" numFmtId="164" xfId="0" applyAlignment="1" applyBorder="1" applyFont="1" applyNumberFormat="1">
      <alignment horizontal="center" vertical="center"/>
    </xf>
    <xf borderId="20" fillId="0" fontId="3" numFmtId="164" xfId="0" applyAlignment="1" applyBorder="1" applyFont="1" applyNumberFormat="1">
      <alignment horizontal="center" vertical="center"/>
    </xf>
    <xf borderId="21" fillId="0" fontId="3" numFmtId="164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readingOrder="0" vertical="bottom"/>
    </xf>
    <xf borderId="23" fillId="0" fontId="1" numFmtId="0" xfId="0" applyAlignment="1" applyBorder="1" applyFont="1">
      <alignment readingOrder="0" vertical="bottom"/>
    </xf>
    <xf borderId="14" fillId="0" fontId="1" numFmtId="0" xfId="0" applyAlignment="1" applyBorder="1" applyFont="1">
      <alignment readingOrder="0" vertical="bottom"/>
    </xf>
    <xf borderId="24" fillId="0" fontId="1" numFmtId="0" xfId="0" applyAlignment="1" applyBorder="1" applyFont="1">
      <alignment readingOrder="0" vertical="bottom"/>
    </xf>
    <xf borderId="16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25" fillId="5" fontId="1" numFmtId="0" xfId="0" applyAlignment="1" applyBorder="1" applyFont="1">
      <alignment horizontal="center" readingOrder="0" vertical="bottom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horizontal="center" vertical="bottom"/>
    </xf>
    <xf borderId="26" fillId="0" fontId="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28" fillId="2" fontId="1" numFmtId="0" xfId="0" applyAlignment="1" applyBorder="1" applyFont="1">
      <alignment vertical="bottom"/>
    </xf>
    <xf borderId="29" fillId="0" fontId="5" numFmtId="164" xfId="0" applyAlignment="1" applyBorder="1" applyFont="1" applyNumberFormat="1">
      <alignment horizontal="center" readingOrder="0" shrinkToFit="0" wrapText="1"/>
    </xf>
    <xf borderId="29" fillId="0" fontId="5" numFmtId="0" xfId="0" applyAlignment="1" applyBorder="1" applyFont="1">
      <alignment horizontal="center" readingOrder="0" shrinkToFit="0" wrapText="1"/>
    </xf>
    <xf borderId="30" fillId="2" fontId="1" numFmtId="0" xfId="0" applyAlignment="1" applyBorder="1" applyFont="1">
      <alignment readingOrder="0" vertical="bottom"/>
    </xf>
    <xf borderId="29" fillId="4" fontId="6" numFmtId="164" xfId="0" applyAlignment="1" applyBorder="1" applyFont="1" applyNumberFormat="1">
      <alignment horizontal="center" readingOrder="0" shrinkToFit="0" wrapText="1"/>
    </xf>
    <xf borderId="14" fillId="2" fontId="1" numFmtId="0" xfId="0" applyAlignment="1" applyBorder="1" applyFont="1">
      <alignment readingOrder="0" vertical="bottom"/>
    </xf>
    <xf borderId="28" fillId="2" fontId="1" numFmtId="0" xfId="0" applyAlignment="1" applyBorder="1" applyFont="1">
      <alignment readingOrder="0" vertical="bottom"/>
    </xf>
    <xf borderId="27" fillId="0" fontId="1" numFmtId="0" xfId="0" applyAlignment="1" applyBorder="1" applyFont="1">
      <alignment vertical="bottom"/>
    </xf>
    <xf borderId="31" fillId="2" fontId="1" numFmtId="0" xfId="0" applyAlignment="1" applyBorder="1" applyFont="1">
      <alignment readingOrder="0" vertical="bottom"/>
    </xf>
    <xf borderId="26" fillId="0" fontId="3" numFmtId="0" xfId="0" applyAlignment="1" applyBorder="1" applyFont="1">
      <alignment readingOrder="0"/>
    </xf>
    <xf borderId="27" fillId="0" fontId="3" numFmtId="0" xfId="0" applyBorder="1" applyFont="1"/>
    <xf borderId="4" fillId="0" fontId="3" numFmtId="0" xfId="0" applyBorder="1" applyFont="1"/>
    <xf borderId="0" fillId="0" fontId="3" numFmtId="0" xfId="0" applyAlignment="1" applyFont="1">
      <alignment horizontal="center" readingOrder="0"/>
    </xf>
    <xf borderId="32" fillId="5" fontId="1" numFmtId="0" xfId="0" applyAlignment="1" applyBorder="1" applyFont="1">
      <alignment horizontal="center" readingOrder="0" vertical="bottom"/>
    </xf>
    <xf borderId="33" fillId="0" fontId="2" numFmtId="0" xfId="0" applyBorder="1" applyFont="1"/>
    <xf borderId="34" fillId="0" fontId="2" numFmtId="0" xfId="0" applyBorder="1" applyFont="1"/>
    <xf borderId="9" fillId="2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35" fillId="0" fontId="3" numFmtId="164" xfId="0" applyAlignment="1" applyBorder="1" applyFont="1" applyNumberFormat="1">
      <alignment horizontal="center" readingOrder="0" vertical="center"/>
    </xf>
    <xf borderId="36" fillId="0" fontId="3" numFmtId="164" xfId="0" applyAlignment="1" applyBorder="1" applyFont="1" applyNumberFormat="1">
      <alignment horizontal="center" vertical="center"/>
    </xf>
    <xf borderId="36" fillId="0" fontId="3" numFmtId="164" xfId="0" applyAlignment="1" applyBorder="1" applyFont="1" applyNumberFormat="1">
      <alignment horizontal="center" readingOrder="0" vertical="center"/>
    </xf>
    <xf borderId="37" fillId="0" fontId="3" numFmtId="164" xfId="0" applyAlignment="1" applyBorder="1" applyFont="1" applyNumberFormat="1">
      <alignment horizontal="center" readingOrder="0" vertical="center"/>
    </xf>
    <xf borderId="38" fillId="0" fontId="3" numFmtId="164" xfId="0" applyAlignment="1" applyBorder="1" applyFont="1" applyNumberFormat="1">
      <alignment horizontal="center" vertical="center"/>
    </xf>
    <xf borderId="38" fillId="0" fontId="3" numFmtId="164" xfId="0" applyAlignment="1" applyBorder="1" applyFont="1" applyNumberFormat="1">
      <alignment horizontal="center" readingOrder="0" vertical="center"/>
    </xf>
    <xf borderId="16" fillId="0" fontId="3" numFmtId="164" xfId="0" applyAlignment="1" applyBorder="1" applyFont="1" applyNumberFormat="1">
      <alignment horizontal="center" readingOrder="0" vertical="center"/>
    </xf>
    <xf borderId="39" fillId="0" fontId="3" numFmtId="0" xfId="0" applyAlignment="1" applyBorder="1" applyFont="1">
      <alignment readingOrder="0"/>
    </xf>
    <xf borderId="13" fillId="0" fontId="3" numFmtId="0" xfId="0" applyBorder="1" applyFont="1"/>
    <xf borderId="40" fillId="0" fontId="3" numFmtId="0" xfId="0" applyBorder="1" applyFont="1"/>
    <xf borderId="12" fillId="0" fontId="3" numFmtId="0" xfId="0" applyBorder="1" applyFont="1"/>
    <xf borderId="20" fillId="0" fontId="3" numFmtId="164" xfId="0" applyAlignment="1" applyBorder="1" applyFont="1" applyNumberFormat="1">
      <alignment horizontal="center" readingOrder="0" vertical="center"/>
    </xf>
    <xf borderId="21" fillId="0" fontId="3" numFmtId="164" xfId="0" applyAlignment="1" applyBorder="1" applyFont="1" applyNumberFormat="1">
      <alignment horizontal="center" readingOrder="0" vertical="center"/>
    </xf>
    <xf borderId="11" fillId="2" fontId="3" numFmtId="0" xfId="0" applyAlignment="1" applyBorder="1" applyFont="1">
      <alignment readingOrder="0"/>
    </xf>
    <xf borderId="40" fillId="6" fontId="3" numFmtId="0" xfId="0" applyAlignment="1" applyBorder="1" applyFont="1">
      <alignment horizontal="center" readingOrder="0" vertical="center"/>
    </xf>
    <xf borderId="13" fillId="6" fontId="3" numFmtId="0" xfId="0" applyAlignment="1" applyBorder="1" applyFont="1">
      <alignment horizontal="center" readingOrder="0" vertical="center"/>
    </xf>
    <xf borderId="0" fillId="7" fontId="3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6" fontId="3" numFmtId="0" xfId="0" applyAlignment="1" applyFont="1">
      <alignment readingOrder="0"/>
    </xf>
    <xf borderId="0" fillId="8" fontId="3" numFmtId="0" xfId="0" applyFill="1" applyFont="1"/>
    <xf borderId="0" fillId="9" fontId="3" numFmtId="165" xfId="0" applyFill="1" applyFont="1" applyNumberFormat="1"/>
    <xf borderId="29" fillId="0" fontId="7" numFmtId="0" xfId="0" applyAlignment="1" applyBorder="1" applyFont="1">
      <alignment horizontal="center" readingOrder="0" shrinkToFit="0" wrapText="1"/>
    </xf>
    <xf borderId="41" fillId="0" fontId="7" numFmtId="0" xfId="0" applyAlignment="1" applyBorder="1" applyFont="1">
      <alignment horizontal="center" readingOrder="0" shrinkToFit="0" wrapText="1"/>
    </xf>
    <xf borderId="42" fillId="0" fontId="2" numFmtId="0" xfId="0" applyBorder="1" applyFont="1"/>
    <xf borderId="17" fillId="0" fontId="2" numFmtId="0" xfId="0" applyBorder="1" applyFont="1"/>
    <xf borderId="29" fillId="0" fontId="7" numFmtId="0" xfId="0" applyAlignment="1" applyBorder="1" applyFont="1">
      <alignment horizontal="left" readingOrder="0" shrinkToFit="0" wrapText="1"/>
    </xf>
    <xf borderId="29" fillId="0" fontId="8" numFmtId="0" xfId="0" applyAlignment="1" applyBorder="1" applyFont="1">
      <alignment horizontal="center" readingOrder="0" shrinkToFit="0" wrapText="1"/>
    </xf>
    <xf borderId="29" fillId="0" fontId="8" numFmtId="0" xfId="0" applyAlignment="1" applyBorder="1" applyFont="1">
      <alignment horizontal="center" readingOrder="0" shrinkToFit="0" vertical="center" wrapText="1"/>
    </xf>
    <xf borderId="29" fillId="0" fontId="3" numFmtId="0" xfId="0" applyAlignment="1" applyBorder="1" applyFont="1">
      <alignment horizontal="center" readingOrder="0" shrinkToFit="0" vertical="center" wrapText="1"/>
    </xf>
    <xf borderId="29" fillId="8" fontId="3" numFmtId="0" xfId="0" applyAlignment="1" applyBorder="1" applyFont="1">
      <alignment horizontal="center" readingOrder="0" shrinkToFit="0" vertical="center" wrapText="1"/>
    </xf>
    <xf borderId="29" fillId="0" fontId="3" numFmtId="165" xfId="0" applyAlignment="1" applyBorder="1" applyFont="1" applyNumberFormat="1">
      <alignment horizontal="center" readingOrder="0" shrinkToFit="0" vertical="center" wrapText="1"/>
    </xf>
    <xf borderId="29" fillId="0" fontId="8" numFmtId="165" xfId="0" applyAlignment="1" applyBorder="1" applyFont="1" applyNumberFormat="1">
      <alignment horizontal="center" readingOrder="0" shrinkToFit="0" vertical="center" wrapText="1"/>
    </xf>
    <xf borderId="29" fillId="0" fontId="3" numFmtId="165" xfId="0" applyAlignment="1" applyBorder="1" applyFont="1" applyNumberFormat="1">
      <alignment horizontal="center" shrinkToFit="0" vertical="center" wrapText="1"/>
    </xf>
    <xf borderId="29" fillId="0" fontId="9" numFmtId="0" xfId="0" applyAlignment="1" applyBorder="1" applyFont="1">
      <alignment horizontal="center" readingOrder="0" vertical="center"/>
    </xf>
    <xf borderId="29" fillId="0" fontId="3" numFmtId="0" xfId="0" applyBorder="1" applyFont="1"/>
    <xf borderId="29" fillId="0" fontId="9" numFmtId="164" xfId="0" applyAlignment="1" applyBorder="1" applyFont="1" applyNumberFormat="1">
      <alignment horizontal="center" vertical="center"/>
    </xf>
    <xf borderId="29" fillId="0" fontId="10" numFmtId="0" xfId="0" applyAlignment="1" applyBorder="1" applyFont="1">
      <alignment horizontal="center" readingOrder="0" shrinkToFit="0" wrapText="1"/>
    </xf>
    <xf borderId="36" fillId="0" fontId="8" numFmtId="0" xfId="0" applyAlignment="1" applyBorder="1" applyFont="1">
      <alignment horizontal="center" readingOrder="0" shrinkToFit="0" vertical="center" wrapText="1"/>
    </xf>
    <xf borderId="29" fillId="0" fontId="8" numFmtId="0" xfId="0" applyAlignment="1" applyBorder="1" applyFont="1">
      <alignment horizontal="left" readingOrder="0" shrinkToFit="0" wrapText="1"/>
    </xf>
    <xf borderId="29" fillId="0" fontId="3" numFmtId="164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vertical="bottom"/>
    </xf>
    <xf borderId="29" fillId="4" fontId="10" numFmtId="164" xfId="0" applyAlignment="1" applyBorder="1" applyFont="1" applyNumberFormat="1">
      <alignment horizontal="center" readingOrder="0"/>
    </xf>
    <xf borderId="5" fillId="0" fontId="2" numFmtId="0" xfId="0" applyBorder="1" applyFont="1"/>
    <xf borderId="2" fillId="0" fontId="1" numFmtId="0" xfId="0" applyAlignment="1" applyBorder="1" applyFont="1">
      <alignment horizontal="center" vertical="bottom"/>
    </xf>
    <xf borderId="29" fillId="0" fontId="3" numFmtId="164" xfId="0" applyAlignment="1" applyBorder="1" applyFont="1" applyNumberFormat="1">
      <alignment horizontal="center" readingOrder="0" shrinkToFit="0" vertical="center" wrapText="1"/>
    </xf>
    <xf borderId="29" fillId="0" fontId="11" numFmtId="164" xfId="0" applyAlignment="1" applyBorder="1" applyFont="1" applyNumberFormat="1">
      <alignment horizontal="center" readingOrder="0" shrinkToFit="0" vertical="center" wrapText="1"/>
    </xf>
    <xf borderId="36" fillId="0" fontId="8" numFmtId="0" xfId="0" applyAlignment="1" applyBorder="1" applyFont="1">
      <alignment horizontal="center" readingOrder="0" shrinkToFit="0" wrapText="1"/>
    </xf>
    <xf borderId="41" fillId="0" fontId="8" numFmtId="0" xfId="0" applyAlignment="1" applyBorder="1" applyFont="1">
      <alignment horizontal="center" readingOrder="0" shrinkToFit="0" wrapText="1"/>
    </xf>
    <xf borderId="43" fillId="5" fontId="7" numFmtId="0" xfId="0" applyAlignment="1" applyBorder="1" applyFont="1">
      <alignment horizontal="center" readingOrder="0" shrinkToFit="0" vertical="center" wrapText="1"/>
    </xf>
    <xf borderId="32" fillId="5" fontId="7" numFmtId="0" xfId="0" applyAlignment="1" applyBorder="1" applyFont="1">
      <alignment horizontal="center" readingOrder="0" shrinkToFit="0" vertical="center" wrapText="1"/>
    </xf>
    <xf borderId="44" fillId="0" fontId="2" numFmtId="0" xfId="0" applyBorder="1" applyFont="1"/>
    <xf borderId="45" fillId="5" fontId="7" numFmtId="0" xfId="0" applyAlignment="1" applyBorder="1" applyFont="1">
      <alignment horizontal="center" readingOrder="0" shrinkToFit="0" vertical="center" wrapText="1"/>
    </xf>
    <xf borderId="46" fillId="0" fontId="2" numFmtId="0" xfId="0" applyBorder="1" applyFont="1"/>
    <xf borderId="25" fillId="2" fontId="8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47" fillId="2" fontId="8" numFmtId="0" xfId="0" applyAlignment="1" applyBorder="1" applyFont="1">
      <alignment horizontal="center" readingOrder="0" shrinkToFit="0" vertical="center" wrapText="1"/>
    </xf>
    <xf borderId="47" fillId="2" fontId="9" numFmtId="0" xfId="0" applyAlignment="1" applyBorder="1" applyFont="1">
      <alignment horizontal="center" readingOrder="0" vertical="center"/>
    </xf>
    <xf borderId="48" fillId="0" fontId="2" numFmtId="0" xfId="0" applyBorder="1" applyFont="1"/>
    <xf borderId="31" fillId="10" fontId="8" numFmtId="0" xfId="0" applyAlignment="1" applyBorder="1" applyFill="1" applyFont="1">
      <alignment horizontal="center" readingOrder="0" shrinkToFit="0" vertical="center" wrapText="1"/>
    </xf>
    <xf borderId="20" fillId="10" fontId="8" numFmtId="0" xfId="0" applyAlignment="1" applyBorder="1" applyFont="1">
      <alignment horizontal="center" readingOrder="0" shrinkToFit="0" vertical="center" wrapText="1"/>
    </xf>
    <xf borderId="49" fillId="0" fontId="2" numFmtId="0" xfId="0" applyBorder="1" applyFont="1"/>
    <xf borderId="20" fillId="10" fontId="9" numFmtId="0" xfId="0" applyAlignment="1" applyBorder="1" applyFont="1">
      <alignment horizontal="center" readingOrder="0" vertical="center"/>
    </xf>
    <xf borderId="43" fillId="5" fontId="7" numFmtId="0" xfId="0" applyAlignment="1" applyBorder="1" applyFont="1">
      <alignment horizontal="left" readingOrder="0" shrinkToFit="0" vertical="center" wrapText="1"/>
    </xf>
    <xf borderId="14" fillId="0" fontId="8" numFmtId="164" xfId="0" applyAlignment="1" applyBorder="1" applyFont="1" applyNumberFormat="1">
      <alignment horizontal="center" readingOrder="0" shrinkToFit="0" vertical="center" wrapText="1"/>
    </xf>
    <xf borderId="38" fillId="0" fontId="8" numFmtId="164" xfId="0" applyAlignment="1" applyBorder="1" applyFont="1" applyNumberFormat="1">
      <alignment horizontal="center" readingOrder="0" shrinkToFit="0" vertical="center" wrapText="1"/>
    </xf>
    <xf borderId="16" fillId="10" fontId="8" numFmtId="164" xfId="0" applyAlignment="1" applyBorder="1" applyFont="1" applyNumberFormat="1">
      <alignment horizontal="center" readingOrder="0" shrinkToFit="0" vertical="center" wrapText="1"/>
    </xf>
    <xf borderId="38" fillId="0" fontId="9" numFmtId="164" xfId="0" applyAlignment="1" applyBorder="1" applyFont="1" applyNumberFormat="1">
      <alignment horizontal="center" readingOrder="0" vertical="center"/>
    </xf>
    <xf borderId="16" fillId="10" fontId="9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31" fillId="0" fontId="8" numFmtId="164" xfId="0" applyAlignment="1" applyBorder="1" applyFont="1" applyNumberFormat="1">
      <alignment horizontal="center" readingOrder="0" shrinkToFit="0" vertical="center" wrapText="1"/>
    </xf>
    <xf borderId="20" fillId="0" fontId="8" numFmtId="164" xfId="0" applyAlignment="1" applyBorder="1" applyFont="1" applyNumberFormat="1">
      <alignment horizontal="center" readingOrder="0" shrinkToFit="0" vertical="center" wrapText="1"/>
    </xf>
    <xf borderId="21" fillId="10" fontId="8" numFmtId="164" xfId="0" applyAlignment="1" applyBorder="1" applyFont="1" applyNumberFormat="1">
      <alignment horizontal="center" readingOrder="0" shrinkToFit="0" vertical="center" wrapText="1"/>
    </xf>
    <xf borderId="31" fillId="0" fontId="8" numFmtId="10" xfId="0" applyAlignment="1" applyBorder="1" applyFont="1" applyNumberFormat="1">
      <alignment horizontal="center" readingOrder="0" shrinkToFit="0" vertical="center" wrapText="1"/>
    </xf>
    <xf borderId="20" fillId="0" fontId="8" numFmtId="10" xfId="0" applyAlignment="1" applyBorder="1" applyFont="1" applyNumberFormat="1">
      <alignment horizontal="center" readingOrder="0" shrinkToFit="0" vertical="center" wrapText="1"/>
    </xf>
    <xf borderId="21" fillId="10" fontId="8" numFmtId="10" xfId="0" applyAlignment="1" applyBorder="1" applyFont="1" applyNumberFormat="1">
      <alignment horizontal="center" readingOrder="0" shrinkToFit="0" vertical="center" wrapText="1"/>
    </xf>
    <xf borderId="28" fillId="0" fontId="9" numFmtId="164" xfId="0" applyAlignment="1" applyBorder="1" applyFont="1" applyNumberFormat="1">
      <alignment horizontal="center" readingOrder="0" vertical="center"/>
    </xf>
    <xf borderId="29" fillId="0" fontId="9" numFmtId="164" xfId="0" applyAlignment="1" applyBorder="1" applyFont="1" applyNumberFormat="1">
      <alignment horizontal="center" readingOrder="0" vertical="center"/>
    </xf>
    <xf borderId="18" fillId="10" fontId="9" numFmtId="164" xfId="0" applyAlignment="1" applyBorder="1" applyFont="1" applyNumberFormat="1">
      <alignment horizontal="center" readingOrder="0" vertical="center"/>
    </xf>
    <xf borderId="50" fillId="5" fontId="7" numFmtId="0" xfId="0" applyAlignment="1" applyBorder="1" applyFont="1">
      <alignment horizontal="left" readingOrder="0" shrinkToFit="0" vertical="center" wrapText="1"/>
    </xf>
    <xf borderId="31" fillId="0" fontId="9" numFmtId="166" xfId="0" applyAlignment="1" applyBorder="1" applyFont="1" applyNumberFormat="1">
      <alignment horizontal="center" readingOrder="0" vertical="center"/>
    </xf>
    <xf borderId="20" fillId="0" fontId="9" numFmtId="166" xfId="0" applyAlignment="1" applyBorder="1" applyFont="1" applyNumberFormat="1">
      <alignment horizontal="center" vertical="center"/>
    </xf>
    <xf borderId="21" fillId="10" fontId="9" numFmtId="166" xfId="0" applyAlignment="1" applyBorder="1" applyFont="1" applyNumberFormat="1">
      <alignment horizontal="center" vertical="center"/>
    </xf>
    <xf borderId="20" fillId="0" fontId="9" numFmtId="166" xfId="0" applyAlignment="1" applyBorder="1" applyFont="1" applyNumberFormat="1">
      <alignment horizontal="center" readingOrder="0" vertical="center"/>
    </xf>
    <xf borderId="14" fillId="0" fontId="9" numFmtId="164" xfId="0" applyAlignment="1" applyBorder="1" applyFont="1" applyNumberFormat="1">
      <alignment horizontal="center" vertical="center"/>
    </xf>
    <xf borderId="38" fillId="0" fontId="9" numFmtId="164" xfId="0" applyAlignment="1" applyBorder="1" applyFont="1" applyNumberFormat="1">
      <alignment horizontal="center" vertical="center"/>
    </xf>
    <xf borderId="28" fillId="0" fontId="8" numFmtId="10" xfId="0" applyAlignment="1" applyBorder="1" applyFont="1" applyNumberFormat="1">
      <alignment horizontal="center" readingOrder="0" shrinkToFit="0" vertical="center" wrapText="1"/>
    </xf>
    <xf borderId="29" fillId="0" fontId="8" numFmtId="10" xfId="0" applyAlignment="1" applyBorder="1" applyFont="1" applyNumberFormat="1">
      <alignment horizontal="center" readingOrder="0" shrinkToFit="0" vertical="center" wrapText="1"/>
    </xf>
    <xf borderId="18" fillId="10" fontId="8" numFmtId="10" xfId="0" applyAlignment="1" applyBorder="1" applyFont="1" applyNumberFormat="1">
      <alignment horizontal="center" readingOrder="0" shrinkToFit="0" vertical="center" wrapText="1"/>
    </xf>
    <xf borderId="50" fillId="5" fontId="1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right"/>
    </xf>
    <xf borderId="20" fillId="10" fontId="8" numFmtId="164" xfId="0" applyAlignment="1" applyBorder="1" applyFont="1" applyNumberFormat="1">
      <alignment horizontal="center" readingOrder="0" shrinkToFit="0" vertical="center" wrapText="1"/>
    </xf>
    <xf borderId="29" fillId="10" fontId="9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'Расчеты аналитической модели'!$F$12:$F$13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'Расчеты аналитической модели'!$M$12:$M$13</c:f>
              <c:numCache/>
            </c:numRef>
          </c:val>
        </c:ser>
        <c:overlap val="100"/>
        <c:axId val="1759893781"/>
        <c:axId val="473107470"/>
      </c:barChart>
      <c:catAx>
        <c:axId val="1759893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107470"/>
      </c:catAx>
      <c:valAx>
        <c:axId val="473107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893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'Узкое место'!$B$1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'Узкое место'!$A$2:$A$3</c:f>
            </c:strRef>
          </c:cat>
          <c:val>
            <c:numRef>
              <c:f>'Узкое место'!$B$2:$B$3</c:f>
              <c:numCache/>
            </c:numRef>
          </c:val>
        </c:ser>
        <c:ser>
          <c:idx val="1"/>
          <c:order val="1"/>
          <c:tx>
            <c:strRef>
              <c:f>'Узкое место'!$C$1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'Узкое место'!$A$2:$A$3</c:f>
            </c:strRef>
          </c:cat>
          <c:val>
            <c:numRef>
              <c:f>'Узкое место'!$C$2:$C$3</c:f>
              <c:numCache/>
            </c:numRef>
          </c:val>
        </c:ser>
        <c:axId val="536432301"/>
        <c:axId val="1863835421"/>
      </c:barChart>
      <c:catAx>
        <c:axId val="536432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835421"/>
      </c:catAx>
      <c:valAx>
        <c:axId val="186383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432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'Узкое место'!$B$7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'Узкое место'!$A$8:$A$9</c:f>
            </c:strRef>
          </c:cat>
          <c:val>
            <c:numRef>
              <c:f>'Узкое место'!$B$8:$B$9</c:f>
              <c:numCache/>
            </c:numRef>
          </c:val>
        </c:ser>
        <c:ser>
          <c:idx val="1"/>
          <c:order val="1"/>
          <c:tx>
            <c:strRef>
              <c:f>'Узкое место'!$C$7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'Узкое место'!$A$8:$A$9</c:f>
            </c:strRef>
          </c:cat>
          <c:val>
            <c:numRef>
              <c:f>'Узкое место'!$C$8:$C$9</c:f>
              <c:numCache/>
            </c:numRef>
          </c:val>
        </c:ser>
        <c:axId val="77194681"/>
        <c:axId val="102821474"/>
      </c:barChart>
      <c:catAx>
        <c:axId val="77194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21474"/>
      </c:catAx>
      <c:valAx>
        <c:axId val="10282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94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'Марковские сравнение'!$B$2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сравнение'!$B$3:$B$8</c:f>
              <c:numCache/>
            </c:numRef>
          </c:val>
        </c:ser>
        <c:ser>
          <c:idx val="1"/>
          <c:order val="1"/>
          <c:tx>
            <c:strRef>
              <c:f>'Марковские сравнение'!$C$2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сравнение'!$C$3:$C$8</c:f>
              <c:numCache/>
            </c:numRef>
          </c:val>
        </c:ser>
        <c:ser>
          <c:idx val="2"/>
          <c:order val="2"/>
          <c:tx>
            <c:strRef>
              <c:f>'Марковские сравнение'!$D$2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сравнение'!$D$3:$D$8</c:f>
              <c:numCache/>
            </c:numRef>
          </c:val>
        </c:ser>
        <c:ser>
          <c:idx val="3"/>
          <c:order val="3"/>
          <c:tx>
            <c:strRef>
              <c:f>'Марковские сравнение'!$E$2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сравнение'!$E$3:$E$8</c:f>
              <c:numCache/>
            </c:numRef>
          </c:val>
        </c:ser>
        <c:ser>
          <c:idx val="4"/>
          <c:order val="4"/>
          <c:tx>
            <c:strRef>
              <c:f>'Марковские сравнение'!$F$2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сравнение'!$F$3:$F$8</c:f>
              <c:numCache/>
            </c:numRef>
          </c:val>
        </c:ser>
        <c:axId val="1287439710"/>
        <c:axId val="2018817283"/>
      </c:barChart>
      <c:catAx>
        <c:axId val="1287439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17283"/>
      </c:catAx>
      <c:valAx>
        <c:axId val="2018817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439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'Марковские сравнение'!$G$2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сравнение'!$G$3:$G$8</c:f>
              <c:numCache/>
            </c:numRef>
          </c:val>
        </c:ser>
        <c:ser>
          <c:idx val="1"/>
          <c:order val="1"/>
          <c:tx>
            <c:strRef>
              <c:f>'Марковские сравнение'!$H$2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сравнение'!$H$3:$H$8</c:f>
              <c:numCache/>
            </c:numRef>
          </c:val>
        </c:ser>
        <c:ser>
          <c:idx val="2"/>
          <c:order val="2"/>
          <c:tx>
            <c:strRef>
              <c:f>'Марковские сравнение'!$I$2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сравнение'!$I$3:$I$8</c:f>
              <c:numCache/>
            </c:numRef>
          </c:val>
        </c:ser>
        <c:ser>
          <c:idx val="3"/>
          <c:order val="3"/>
          <c:tx>
            <c:strRef>
              <c:f>'Марковские сравнение'!$J$2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сравнение'!$J$3:$J$8</c:f>
              <c:numCache/>
            </c:numRef>
          </c:val>
        </c:ser>
        <c:ser>
          <c:idx val="4"/>
          <c:order val="4"/>
          <c:tx>
            <c:strRef>
              <c:f>'Марковские сравнение'!$K$2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'Марковские сравнение'!$A$3:$A$8</c:f>
            </c:strRef>
          </c:cat>
          <c:val>
            <c:numRef>
              <c:f>'Марковские сравнение'!$K$3:$K$8</c:f>
              <c:numCache/>
            </c:numRef>
          </c:val>
        </c:ser>
        <c:axId val="835867839"/>
        <c:axId val="1382037402"/>
      </c:barChart>
      <c:catAx>
        <c:axId val="83586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037402"/>
      </c:catAx>
      <c:valAx>
        <c:axId val="1382037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867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GPSS!$P$3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GPSS!$P$4:$P$8</c:f>
              <c:numCache/>
            </c:numRef>
          </c:val>
        </c:ser>
        <c:ser>
          <c:idx val="1"/>
          <c:order val="1"/>
          <c:tx>
            <c:strRef>
              <c:f>GPSS!$U$3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GPSS!$U$4:$U$8</c:f>
              <c:numCache/>
            </c:numRef>
          </c:val>
        </c:ser>
        <c:ser>
          <c:idx val="2"/>
          <c:order val="2"/>
          <c:tx>
            <c:strRef>
              <c:f>GPSS!$R$3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GPSS!$R$4:$R$8</c:f>
              <c:numCache/>
            </c:numRef>
          </c:val>
        </c:ser>
        <c:ser>
          <c:idx val="3"/>
          <c:order val="3"/>
          <c:tx>
            <c:strRef>
              <c:f>GPSS!$W$3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GPSS!$W$4:$W$8</c:f>
              <c:numCache/>
            </c:numRef>
          </c:val>
        </c:ser>
        <c:axId val="892291993"/>
        <c:axId val="1963568535"/>
      </c:barChart>
      <c:catAx>
        <c:axId val="892291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68535"/>
      </c:catAx>
      <c:valAx>
        <c:axId val="196356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291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GPSS!$P$8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GPSS!$P$9:$P$12</c:f>
              <c:numCache/>
            </c:numRef>
          </c:val>
        </c:ser>
        <c:ser>
          <c:idx val="1"/>
          <c:order val="1"/>
          <c:tx>
            <c:strRef>
              <c:f>GPSS!$U$8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GPSS!$U$9:$U$12</c:f>
              <c:numCache/>
            </c:numRef>
          </c:val>
        </c:ser>
        <c:ser>
          <c:idx val="2"/>
          <c:order val="2"/>
          <c:tx>
            <c:strRef>
              <c:f>GPSS!$R$8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GPSS!$R$9:$R$12</c:f>
              <c:numCache/>
            </c:numRef>
          </c:val>
        </c:ser>
        <c:ser>
          <c:idx val="3"/>
          <c:order val="3"/>
          <c:tx>
            <c:strRef>
              <c:f>GPSS!$W$8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GPSS!$M$4:$M$7</c:f>
            </c:strRef>
          </c:cat>
          <c:val>
            <c:numRef>
              <c:f>GPSS!$W$9:$W$12</c:f>
              <c:numCache/>
            </c:numRef>
          </c:val>
        </c:ser>
        <c:axId val="883223985"/>
        <c:axId val="215734570"/>
      </c:barChart>
      <c:catAx>
        <c:axId val="883223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734570"/>
      </c:catAx>
      <c:valAx>
        <c:axId val="215734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223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'Расчеты аналитической модели'!$F$14:$F$15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'Расчеты аналитической модели'!$M$14:$M$15</c:f>
              <c:numCache/>
            </c:numRef>
          </c:val>
        </c:ser>
        <c:overlap val="100"/>
        <c:axId val="881410248"/>
        <c:axId val="1386549020"/>
      </c:barChart>
      <c:catAx>
        <c:axId val="88141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49020"/>
      </c:catAx>
      <c:valAx>
        <c:axId val="1386549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10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U, W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модели'!$O$20:$T$20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модели'!$O$21:$T$21</c:f>
              <c:numCache/>
            </c:numRef>
          </c:val>
          <c:smooth val="0"/>
        </c:ser>
        <c:axId val="1060874684"/>
        <c:axId val="514452570"/>
      </c:lineChart>
      <c:catAx>
        <c:axId val="106087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λ0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452570"/>
      </c:catAx>
      <c:valAx>
        <c:axId val="514452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87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 - РСеМО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модели'!$O$22:$T$22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модели'!$O$23:$T$23</c:f>
              <c:numCache/>
            </c:numRef>
          </c:val>
          <c:smooth val="0"/>
        </c:ser>
        <c:axId val="2137965850"/>
        <c:axId val="2071560179"/>
      </c:lineChart>
      <c:catAx>
        <c:axId val="2137965850"/>
        <c:scaling>
          <c:orientation val="minMax"/>
          <c:max val="2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λ0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560179"/>
      </c:catAx>
      <c:valAx>
        <c:axId val="2071560179"/>
        <c:scaling>
          <c:orientation val="minMax"/>
          <c:min val="-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965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U, W - РСеМО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модели'!$O$20:$T$20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модели'!$O$21:$T$21</c:f>
              <c:numCache/>
            </c:numRef>
          </c:val>
          <c:smooth val="0"/>
        </c:ser>
        <c:axId val="1876552636"/>
        <c:axId val="1582568520"/>
      </c:lineChart>
      <c:catAx>
        <c:axId val="1876552636"/>
        <c:scaling>
          <c:orientation val="minMax"/>
          <c:max val="2.1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λ0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568520"/>
      </c:catAx>
      <c:valAx>
        <c:axId val="1582568520"/>
        <c:scaling>
          <c:orientation val="minMax"/>
          <c:min val="-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52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U, W, L, M  - РСеМО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модели'!$O$20:$T$20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модели'!$O$21:$T$21</c:f>
              <c:numCache/>
            </c:numRef>
          </c:val>
          <c:smooth val="0"/>
        </c:ser>
        <c:ser>
          <c:idx val="2"/>
          <c:order val="2"/>
          <c:tx>
            <c:strRef>
              <c:f>'Расчеты аналитической модели'!$N$22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модели'!$O$22:$T$22</c:f>
              <c:numCache/>
            </c:numRef>
          </c:val>
          <c:smooth val="0"/>
        </c:ser>
        <c:ser>
          <c:idx val="3"/>
          <c:order val="3"/>
          <c:tx>
            <c:strRef>
              <c:f>'Расчеты аналитической модели'!$N$23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'Расчеты аналитической модели'!$O$19:$T$19</c:f>
            </c:strRef>
          </c:cat>
          <c:val>
            <c:numRef>
              <c:f>'Расчеты аналитической модели'!$O$23:$T$23</c:f>
              <c:numCache/>
            </c:numRef>
          </c:val>
          <c:smooth val="0"/>
        </c:ser>
        <c:axId val="850931566"/>
        <c:axId val="751337792"/>
      </c:lineChart>
      <c:catAx>
        <c:axId val="850931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λ0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37792"/>
      </c:catAx>
      <c:valAx>
        <c:axId val="75133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931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U, W, L, M - ЗСеМО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модели'!$O$26:$T$26</c:f>
            </c:strRef>
          </c:cat>
          <c:val>
            <c:numRef>
              <c:f>'Расчеты аналитической модели'!$O$27:$T$27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модели'!$O$26:$T$26</c:f>
            </c:strRef>
          </c:cat>
          <c:val>
            <c:numRef>
              <c:f>'Расчеты аналитической модели'!$O$28:$T$28</c:f>
              <c:numCache/>
            </c:numRef>
          </c:val>
          <c:smooth val="0"/>
        </c:ser>
        <c:ser>
          <c:idx val="2"/>
          <c:order val="2"/>
          <c:tx>
            <c:strRef>
              <c:f>'Расчеты аналитической модели'!$N$29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'Расчеты аналитической модели'!$O$26:$T$26</c:f>
            </c:strRef>
          </c:cat>
          <c:val>
            <c:numRef>
              <c:f>'Расчеты аналитической модели'!$O$29:$T$29</c:f>
              <c:numCache/>
            </c:numRef>
          </c:val>
          <c:smooth val="0"/>
        </c:ser>
        <c:ser>
          <c:idx val="3"/>
          <c:order val="3"/>
          <c:tx>
            <c:strRef>
              <c:f>'Расчеты аналитической модели'!$N$30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'Расчеты аналитической модели'!$O$26:$T$26</c:f>
            </c:strRef>
          </c:cat>
          <c:val>
            <c:numRef>
              <c:f>'Расчеты аналитической модели'!$O$30:$T$30</c:f>
              <c:numCache/>
            </c:numRef>
          </c:val>
          <c:smooth val="0"/>
        </c:ser>
        <c:axId val="784542053"/>
        <c:axId val="1792270011"/>
      </c:lineChart>
      <c:catAx>
        <c:axId val="784542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270011"/>
      </c:catAx>
      <c:valAx>
        <c:axId val="179227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542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L, M - ЗСеМО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модели'!$O$30:$T$30</c:f>
            </c:strRef>
          </c:cat>
          <c:val>
            <c:numRef>
              <c:f>'Расчеты аналитической модели'!$O$29:$T$29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модели'!$O$30:$T$30</c:f>
            </c:strRef>
          </c:cat>
          <c:val>
            <c:numRef>
              <c:f>'Расчеты аналитической модели'!$O$26:$T$26</c:f>
              <c:numCache/>
            </c:numRef>
          </c:val>
          <c:smooth val="0"/>
        </c:ser>
        <c:axId val="790716479"/>
        <c:axId val="752412540"/>
      </c:lineChart>
      <c:catAx>
        <c:axId val="790716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12540"/>
      </c:catAx>
      <c:valAx>
        <c:axId val="752412540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716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U, W - ЗСеМО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'Расчеты аналитической модели'!$N$27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'Расчеты аналитической модели'!$O$30:$T$30</c:f>
            </c:strRef>
          </c:cat>
          <c:val>
            <c:numRef>
              <c:f>'Расчеты аналитической модели'!$O$27:$T$27</c:f>
              <c:numCache/>
            </c:numRef>
          </c:val>
          <c:smooth val="0"/>
        </c:ser>
        <c:ser>
          <c:idx val="1"/>
          <c:order val="1"/>
          <c:tx>
            <c:strRef>
              <c:f>'Расчеты аналитической модели'!$N$28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'Расчеты аналитической модели'!$O$30:$T$30</c:f>
            </c:strRef>
          </c:cat>
          <c:val>
            <c:numRef>
              <c:f>'Расчеты аналитической модели'!$O$28:$T$28</c:f>
              <c:numCache/>
            </c:numRef>
          </c:val>
          <c:smooth val="0"/>
        </c:ser>
        <c:axId val="278679147"/>
        <c:axId val="1288946184"/>
      </c:lineChart>
      <c:catAx>
        <c:axId val="27867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946184"/>
      </c:catAx>
      <c:valAx>
        <c:axId val="1288946184"/>
        <c:scaling>
          <c:orientation val="minMax"/>
          <c:min val="-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67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857250</xdr:colOff>
      <xdr:row>3</xdr:row>
      <xdr:rowOff>76200</xdr:rowOff>
    </xdr:from>
    <xdr:ext cx="4476750" cy="27622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333375</xdr:colOff>
      <xdr:row>14</xdr:row>
      <xdr:rowOff>257175</xdr:rowOff>
    </xdr:from>
    <xdr:ext cx="4476750" cy="2762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66675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17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17</xdr:row>
      <xdr:rowOff>133350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180975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8</xdr:row>
      <xdr:rowOff>180975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314325</xdr:colOff>
      <xdr:row>12</xdr:row>
      <xdr:rowOff>114300</xdr:rowOff>
    </xdr:from>
    <xdr:ext cx="4705350" cy="50958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457200</xdr:colOff>
      <xdr:row>13</xdr:row>
      <xdr:rowOff>9525</xdr:rowOff>
    </xdr:from>
    <xdr:ext cx="4705350" cy="50958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4">
        <v>1.0</v>
      </c>
      <c r="J1" s="3"/>
      <c r="K1" s="5"/>
      <c r="L1" s="5"/>
      <c r="M1" s="3"/>
      <c r="N1" s="5"/>
      <c r="O1" s="5"/>
      <c r="Q1" s="6" t="s">
        <v>2</v>
      </c>
    </row>
    <row r="2">
      <c r="A2" s="7"/>
      <c r="B2" s="8">
        <v>0.0</v>
      </c>
      <c r="C2" s="8">
        <v>1.0</v>
      </c>
      <c r="D2" s="8">
        <v>2.0</v>
      </c>
      <c r="E2" s="8">
        <v>3.0</v>
      </c>
      <c r="F2" s="8">
        <v>4.0</v>
      </c>
      <c r="G2" s="9"/>
      <c r="H2" s="10" t="s">
        <v>3</v>
      </c>
      <c r="I2" s="11" t="s">
        <v>4</v>
      </c>
      <c r="J2" s="9"/>
      <c r="K2" s="10" t="s">
        <v>5</v>
      </c>
      <c r="L2" s="10" t="s">
        <v>6</v>
      </c>
      <c r="M2" s="9"/>
      <c r="N2" s="10" t="s">
        <v>7</v>
      </c>
      <c r="O2" s="12">
        <v>2.0</v>
      </c>
      <c r="Q2" s="13">
        <f t="shared" ref="Q2:Q5" si="1">O2/(I2*L2)</f>
        <v>2</v>
      </c>
    </row>
    <row r="3">
      <c r="A3" s="14">
        <v>0.0</v>
      </c>
      <c r="B3" s="15"/>
      <c r="C3" s="16">
        <v>1.0</v>
      </c>
      <c r="D3" s="10"/>
      <c r="E3" s="10"/>
      <c r="F3" s="10"/>
      <c r="G3" s="9"/>
      <c r="H3" s="10" t="s">
        <v>8</v>
      </c>
      <c r="I3" s="17" t="s">
        <v>6</v>
      </c>
      <c r="J3" s="9"/>
      <c r="K3" s="10" t="s">
        <v>9</v>
      </c>
      <c r="L3" s="18" t="s">
        <v>10</v>
      </c>
      <c r="M3" s="9"/>
      <c r="N3" s="10" t="s">
        <v>11</v>
      </c>
      <c r="O3" s="12">
        <v>1.0</v>
      </c>
      <c r="Q3" s="13">
        <f t="shared" si="1"/>
        <v>8</v>
      </c>
    </row>
    <row r="4">
      <c r="A4" s="14">
        <v>1.0</v>
      </c>
      <c r="B4" s="16" t="s">
        <v>6</v>
      </c>
      <c r="C4" s="15"/>
      <c r="D4" s="16" t="s">
        <v>10</v>
      </c>
      <c r="E4" s="16" t="s">
        <v>12</v>
      </c>
      <c r="F4" s="16" t="s">
        <v>13</v>
      </c>
      <c r="G4" s="9"/>
      <c r="H4" s="10" t="s">
        <v>14</v>
      </c>
      <c r="I4" s="17" t="s">
        <v>15</v>
      </c>
      <c r="J4" s="9"/>
      <c r="K4" s="10" t="s">
        <v>16</v>
      </c>
      <c r="L4" s="18" t="s">
        <v>6</v>
      </c>
      <c r="M4" s="9"/>
      <c r="N4" s="10" t="s">
        <v>17</v>
      </c>
      <c r="O4" s="12">
        <v>1.0</v>
      </c>
      <c r="Q4" s="13">
        <f t="shared" si="1"/>
        <v>10</v>
      </c>
    </row>
    <row r="5">
      <c r="A5" s="14">
        <v>2.0</v>
      </c>
      <c r="B5" s="10"/>
      <c r="C5" s="16">
        <v>1.0</v>
      </c>
      <c r="D5" s="15"/>
      <c r="E5" s="10"/>
      <c r="F5" s="10"/>
      <c r="G5" s="9"/>
      <c r="H5" s="10" t="s">
        <v>18</v>
      </c>
      <c r="I5" s="17" t="s">
        <v>19</v>
      </c>
      <c r="J5" s="9"/>
      <c r="K5" s="10" t="s">
        <v>20</v>
      </c>
      <c r="L5" s="18" t="s">
        <v>6</v>
      </c>
      <c r="M5" s="9"/>
      <c r="N5" s="10" t="s">
        <v>21</v>
      </c>
      <c r="O5" s="12">
        <v>2.0</v>
      </c>
      <c r="Q5" s="13">
        <f t="shared" si="1"/>
        <v>13.33333333</v>
      </c>
    </row>
    <row r="6">
      <c r="A6" s="14">
        <v>3.0</v>
      </c>
      <c r="B6" s="10"/>
      <c r="C6" s="16">
        <v>1.0</v>
      </c>
      <c r="D6" s="10"/>
      <c r="E6" s="15"/>
      <c r="F6" s="10"/>
      <c r="G6" s="3"/>
      <c r="H6" s="5"/>
      <c r="I6" s="5"/>
      <c r="J6" s="3"/>
      <c r="K6" s="3"/>
      <c r="L6" s="3"/>
      <c r="M6" s="3"/>
      <c r="N6" s="3"/>
      <c r="O6" s="3"/>
    </row>
    <row r="7">
      <c r="A7" s="14">
        <v>4.0</v>
      </c>
      <c r="B7" s="10"/>
      <c r="C7" s="16">
        <v>1.0</v>
      </c>
      <c r="D7" s="10"/>
      <c r="E7" s="10"/>
      <c r="F7" s="15"/>
      <c r="G7" s="9"/>
      <c r="H7" s="19" t="s">
        <v>22</v>
      </c>
      <c r="I7" s="12">
        <v>2.0</v>
      </c>
      <c r="J7" s="3"/>
      <c r="K7" s="3"/>
      <c r="L7" s="3"/>
      <c r="M7" s="3"/>
      <c r="N7" s="3"/>
      <c r="O7" s="3"/>
    </row>
    <row r="8">
      <c r="A8" s="5"/>
      <c r="B8" s="5"/>
      <c r="C8" s="5"/>
      <c r="D8" s="5"/>
      <c r="E8" s="5"/>
      <c r="F8" s="5"/>
      <c r="G8" s="3"/>
      <c r="H8" s="5"/>
      <c r="I8" s="5"/>
      <c r="J8" s="5"/>
      <c r="K8" s="5"/>
      <c r="L8" s="5"/>
      <c r="M8" s="5"/>
      <c r="N8" s="3"/>
      <c r="O8" s="3"/>
    </row>
    <row r="9">
      <c r="A9" s="20" t="s">
        <v>23</v>
      </c>
      <c r="B9" s="21" t="s">
        <v>24</v>
      </c>
      <c r="C9" s="2"/>
      <c r="D9" s="2"/>
      <c r="E9" s="2"/>
      <c r="F9" s="22"/>
      <c r="G9" s="9"/>
      <c r="H9" s="23" t="s">
        <v>23</v>
      </c>
      <c r="I9" s="21" t="s">
        <v>25</v>
      </c>
      <c r="J9" s="2"/>
      <c r="K9" s="2"/>
      <c r="L9" s="2"/>
      <c r="M9" s="22"/>
      <c r="N9" s="3"/>
      <c r="O9" s="24" t="s">
        <v>23</v>
      </c>
      <c r="P9" s="25" t="s">
        <v>25</v>
      </c>
      <c r="Q9" s="26"/>
      <c r="R9" s="26"/>
      <c r="S9" s="26"/>
      <c r="T9" s="27"/>
    </row>
    <row r="10">
      <c r="A10" s="28"/>
      <c r="B10" s="29" t="s">
        <v>26</v>
      </c>
      <c r="C10" s="29" t="s">
        <v>27</v>
      </c>
      <c r="D10" s="29" t="s">
        <v>28</v>
      </c>
      <c r="E10" s="29" t="s">
        <v>29</v>
      </c>
      <c r="F10" s="29" t="s">
        <v>30</v>
      </c>
      <c r="G10" s="9"/>
      <c r="H10" s="22"/>
      <c r="I10" s="29" t="s">
        <v>26</v>
      </c>
      <c r="J10" s="29" t="s">
        <v>27</v>
      </c>
      <c r="K10" s="29" t="s">
        <v>28</v>
      </c>
      <c r="L10" s="29" t="s">
        <v>29</v>
      </c>
      <c r="M10" s="29" t="s">
        <v>30</v>
      </c>
      <c r="N10" s="3"/>
      <c r="O10" s="30"/>
      <c r="P10" s="29" t="s">
        <v>26</v>
      </c>
      <c r="Q10" s="29" t="s">
        <v>27</v>
      </c>
      <c r="R10" s="29" t="s">
        <v>28</v>
      </c>
      <c r="S10" s="29" t="s">
        <v>29</v>
      </c>
      <c r="T10" s="31" t="s">
        <v>30</v>
      </c>
    </row>
    <row r="11">
      <c r="A11" s="32" t="s">
        <v>31</v>
      </c>
      <c r="B11" s="33">
        <f>(I2*$F$16*L2)/O2</f>
        <v>0.7175472929</v>
      </c>
      <c r="C11" s="33">
        <f>(I3*$F$16*L3)/O3</f>
        <v>0.1793868232</v>
      </c>
      <c r="D11" s="33">
        <f>(I4*$F$16*L4)/O4</f>
        <v>0.1435094586</v>
      </c>
      <c r="E11" s="33">
        <f>(I5*$F$16*L5)/O5</f>
        <v>0.1076320939</v>
      </c>
      <c r="F11" s="33">
        <f t="shared" ref="F11:F12" si="2">SUM(B11:E11)</f>
        <v>1.148075669</v>
      </c>
      <c r="G11" s="9"/>
      <c r="H11" s="34" t="s">
        <v>31</v>
      </c>
      <c r="I11" s="33">
        <f>I16*L2/O2</f>
        <v>0.7175472929</v>
      </c>
      <c r="J11" s="33">
        <f>J16*L3/O3</f>
        <v>0.1793868232</v>
      </c>
      <c r="K11" s="33">
        <f>K16*L4/O4</f>
        <v>0.1435094586</v>
      </c>
      <c r="L11" s="33">
        <f>L16*L5/O5</f>
        <v>0.1076320939</v>
      </c>
      <c r="M11" s="33">
        <f t="shared" ref="M11:M13" si="4">SUM(I11:L11)</f>
        <v>1.148075669</v>
      </c>
      <c r="N11" s="3"/>
      <c r="O11" s="35" t="s">
        <v>31</v>
      </c>
      <c r="P11" s="33">
        <f>P12*L2/O2</f>
        <v>0.7175472929</v>
      </c>
      <c r="Q11" s="33">
        <f>Q12*L3/O3</f>
        <v>0.1793868232</v>
      </c>
      <c r="R11" s="33">
        <f>R12*L4/O4</f>
        <v>0.1435094586</v>
      </c>
      <c r="S11" s="33">
        <f>S12*L5/O5</f>
        <v>0.1076320939</v>
      </c>
      <c r="T11" s="36">
        <f>SUM(P11:S11)</f>
        <v>1.148075669</v>
      </c>
    </row>
    <row r="12">
      <c r="A12" s="32" t="s">
        <v>32</v>
      </c>
      <c r="B12" s="33">
        <f>B14*F16*I2</f>
        <v>0</v>
      </c>
      <c r="C12" s="33">
        <f>C14*F16*I3</f>
        <v>0.01630789302</v>
      </c>
      <c r="D12" s="33">
        <f>D14*F16*I4</f>
        <v>0.01043705153</v>
      </c>
      <c r="E12" s="33">
        <f>E14*F16*I5</f>
        <v>0</v>
      </c>
      <c r="F12" s="33">
        <f t="shared" si="2"/>
        <v>0.02674494455</v>
      </c>
      <c r="G12" s="9"/>
      <c r="H12" s="34" t="s">
        <v>32</v>
      </c>
      <c r="I12" s="33">
        <f t="shared" ref="I12:L12" si="3">I14*I16</f>
        <v>1.518877164</v>
      </c>
      <c r="J12" s="33">
        <f t="shared" si="3"/>
        <v>0.03921413067</v>
      </c>
      <c r="K12" s="33">
        <f t="shared" si="3"/>
        <v>0.02404575848</v>
      </c>
      <c r="L12" s="33">
        <f t="shared" si="3"/>
        <v>0.002605530443</v>
      </c>
      <c r="M12" s="33">
        <f t="shared" si="4"/>
        <v>1.584742583</v>
      </c>
      <c r="N12" s="3"/>
      <c r="O12" s="37" t="s">
        <v>33</v>
      </c>
      <c r="P12" s="38">
        <f>T12*I2</f>
        <v>2.870189172</v>
      </c>
      <c r="Q12" s="38">
        <f>T12*I3</f>
        <v>0.7175472929</v>
      </c>
      <c r="R12" s="38">
        <f>T12*I4</f>
        <v>0.2870189172</v>
      </c>
      <c r="S12" s="38">
        <f>T12*I5</f>
        <v>0.4305283757</v>
      </c>
      <c r="T12" s="39">
        <v>1.4350945857795177</v>
      </c>
    </row>
    <row r="13">
      <c r="A13" s="32" t="s">
        <v>34</v>
      </c>
      <c r="B13" s="33">
        <f>I2*F16*B15</f>
        <v>1.435094586</v>
      </c>
      <c r="C13" s="33">
        <f>I3*F16*C15</f>
        <v>0.1956947162</v>
      </c>
      <c r="D13" s="33">
        <f>I4*F16*D15</f>
        <v>0.1539465101</v>
      </c>
      <c r="E13" s="33">
        <f>I5*F16*E15</f>
        <v>0.2152641879</v>
      </c>
      <c r="F13" s="40">
        <v>2.0</v>
      </c>
      <c r="G13" s="9"/>
      <c r="H13" s="34" t="s">
        <v>34</v>
      </c>
      <c r="I13" s="33">
        <f t="shared" ref="I13:L13" si="5">I16*I15</f>
        <v>2.953971749</v>
      </c>
      <c r="J13" s="33">
        <f t="shared" si="5"/>
        <v>0.2186009539</v>
      </c>
      <c r="K13" s="33">
        <f t="shared" si="5"/>
        <v>0.1675552171</v>
      </c>
      <c r="L13" s="33">
        <f t="shared" si="5"/>
        <v>0.2178697183</v>
      </c>
      <c r="M13" s="33">
        <f t="shared" si="4"/>
        <v>3.557997639</v>
      </c>
      <c r="N13" s="3"/>
      <c r="O13" s="37" t="s">
        <v>35</v>
      </c>
      <c r="P13" s="38">
        <f>L2/(1-P11)</f>
        <v>1.770207852</v>
      </c>
      <c r="Q13" s="38">
        <f>L3/(1-Q11)</f>
        <v>0.3046502385</v>
      </c>
      <c r="R13" s="38">
        <f>L4/(1-R11)</f>
        <v>0.5837776085</v>
      </c>
      <c r="S13" s="38">
        <f>L5/(1-S11)</f>
        <v>0.5603070175</v>
      </c>
      <c r="T13" s="41">
        <f>P13*I2+Q13*I3+R13*I4+S13*I5</f>
        <v>3.977588451</v>
      </c>
    </row>
    <row r="14">
      <c r="A14" s="32" t="s">
        <v>36</v>
      </c>
      <c r="B14" s="33">
        <f>B15-L2</f>
        <v>0</v>
      </c>
      <c r="C14" s="33">
        <f>C15-L3</f>
        <v>0.02272727273</v>
      </c>
      <c r="D14" s="33">
        <f>D15-L4</f>
        <v>0.03636363636</v>
      </c>
      <c r="E14" s="33">
        <f>E15-L5</f>
        <v>0</v>
      </c>
      <c r="F14" s="33">
        <f>B14*I2+C14*I3+D14*I4+E14*I5</f>
        <v>0.01863636364</v>
      </c>
      <c r="G14" s="9"/>
      <c r="H14" s="34" t="s">
        <v>36</v>
      </c>
      <c r="I14" s="33">
        <f>I15-L2</f>
        <v>0.5291906117</v>
      </c>
      <c r="J14" s="33">
        <f>J15-L3</f>
        <v>0.05465023847</v>
      </c>
      <c r="K14" s="33">
        <f>K15-L4</f>
        <v>0.08377760853</v>
      </c>
      <c r="L14" s="33">
        <f>L15-L5</f>
        <v>0.00605193662</v>
      </c>
      <c r="M14" s="33">
        <f>I14*I2+J14*I3+K14*I4+L14*I5</f>
        <v>1.104277445</v>
      </c>
      <c r="N14" s="3"/>
      <c r="O14" s="42" t="s">
        <v>32</v>
      </c>
      <c r="P14" s="43">
        <f t="shared" ref="P14:S14" si="6">P16*P12</f>
        <v>3.645736823</v>
      </c>
      <c r="Q14" s="43">
        <f t="shared" si="6"/>
        <v>0.03921413067</v>
      </c>
      <c r="R14" s="43">
        <f t="shared" si="6"/>
        <v>0.02404575848</v>
      </c>
      <c r="S14" s="43">
        <f t="shared" si="6"/>
        <v>0.02596388231</v>
      </c>
      <c r="T14" s="44">
        <f t="shared" ref="T14:T15" si="8">SUM(P14:S14)</f>
        <v>3.734960594</v>
      </c>
    </row>
    <row r="15">
      <c r="A15" s="32" t="s">
        <v>35</v>
      </c>
      <c r="B15" s="33">
        <f>E19</f>
        <v>0.5</v>
      </c>
      <c r="C15" s="33">
        <f>E20</f>
        <v>0.2727272727</v>
      </c>
      <c r="D15" s="33">
        <f>E21</f>
        <v>0.5363636364</v>
      </c>
      <c r="E15" s="33">
        <f>E22</f>
        <v>0.5</v>
      </c>
      <c r="F15" s="33">
        <f>B15*I2+C15*I3+D15*I4+E15*I5</f>
        <v>1.393636364</v>
      </c>
      <c r="G15" s="9"/>
      <c r="H15" s="34" t="s">
        <v>35</v>
      </c>
      <c r="I15" s="33">
        <f>L2/(1-I11)/1.72</f>
        <v>1.029190612</v>
      </c>
      <c r="J15" s="33">
        <f>L3/(1-J11)</f>
        <v>0.3046502385</v>
      </c>
      <c r="K15" s="33">
        <f>L4/(1-K11)</f>
        <v>0.5837776085</v>
      </c>
      <c r="L15" s="33">
        <f>L5/(1-L11/9)</f>
        <v>0.5060519366</v>
      </c>
      <c r="M15" s="33">
        <f>I15*I2+J15*I3+K15*I4+L15*I5</f>
        <v>2.479277445</v>
      </c>
      <c r="N15" s="3"/>
      <c r="O15" s="35" t="s">
        <v>34</v>
      </c>
      <c r="P15" s="45">
        <f t="shared" ref="P15:S15" si="7">P13*P12</f>
        <v>5.080831409</v>
      </c>
      <c r="Q15" s="45">
        <f t="shared" si="7"/>
        <v>0.2186009539</v>
      </c>
      <c r="R15" s="45">
        <f t="shared" si="7"/>
        <v>0.1675552171</v>
      </c>
      <c r="S15" s="45">
        <f t="shared" si="7"/>
        <v>0.2412280702</v>
      </c>
      <c r="T15" s="46">
        <f t="shared" si="8"/>
        <v>5.70821565</v>
      </c>
    </row>
    <row r="16">
      <c r="A16" s="32" t="s">
        <v>33</v>
      </c>
      <c r="B16" s="33"/>
      <c r="C16" s="33"/>
      <c r="D16" s="33"/>
      <c r="E16" s="33"/>
      <c r="F16" s="33">
        <f>I7/F15</f>
        <v>1.435094586</v>
      </c>
      <c r="G16" s="9"/>
      <c r="H16" s="34" t="s">
        <v>33</v>
      </c>
      <c r="I16" s="33">
        <f>F16*I2</f>
        <v>2.870189172</v>
      </c>
      <c r="J16" s="33">
        <f>F16*I3</f>
        <v>0.7175472929</v>
      </c>
      <c r="K16" s="33">
        <f>F16*I4</f>
        <v>0.2870189172</v>
      </c>
      <c r="L16" s="33">
        <f>F16*I5</f>
        <v>0.4305283757</v>
      </c>
      <c r="M16" s="33">
        <f>F16</f>
        <v>1.435094586</v>
      </c>
      <c r="N16" s="3"/>
      <c r="O16" s="37" t="s">
        <v>36</v>
      </c>
      <c r="P16" s="47">
        <f>P13-L2</f>
        <v>1.270207852</v>
      </c>
      <c r="Q16" s="48">
        <f>Q13-L3</f>
        <v>0.05465023847</v>
      </c>
      <c r="R16" s="48">
        <f>R13-L4</f>
        <v>0.08377760853</v>
      </c>
      <c r="S16" s="48">
        <f>S13-L5</f>
        <v>0.06030701754</v>
      </c>
      <c r="T16" s="49">
        <f>P16*I2+Q16*I3+R16*I4+S16*I5</f>
        <v>2.602588451</v>
      </c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50" t="s">
        <v>37</v>
      </c>
      <c r="B18" s="51">
        <v>1.0</v>
      </c>
      <c r="C18" s="3"/>
      <c r="D18" s="50" t="s">
        <v>37</v>
      </c>
      <c r="E18" s="51">
        <v>2.0</v>
      </c>
      <c r="F18" s="3"/>
      <c r="G18" s="52" t="s">
        <v>37</v>
      </c>
      <c r="H18" s="53">
        <v>3.0</v>
      </c>
      <c r="I18" s="52" t="s">
        <v>38</v>
      </c>
      <c r="J18" s="54">
        <v>4.0</v>
      </c>
      <c r="K18" s="52" t="s">
        <v>38</v>
      </c>
      <c r="L18" s="54">
        <v>5.0</v>
      </c>
      <c r="M18" s="55"/>
      <c r="N18" s="56" t="s">
        <v>39</v>
      </c>
      <c r="O18" s="26"/>
      <c r="P18" s="26"/>
      <c r="Q18" s="26"/>
      <c r="R18" s="26"/>
      <c r="S18" s="26"/>
      <c r="T18" s="27"/>
    </row>
    <row r="19">
      <c r="A19" s="57" t="s">
        <v>40</v>
      </c>
      <c r="B19" s="58">
        <f>L2*1</f>
        <v>0.5</v>
      </c>
      <c r="C19" s="3"/>
      <c r="D19" s="59" t="s">
        <v>41</v>
      </c>
      <c r="E19" s="60">
        <v>0.5</v>
      </c>
      <c r="F19" s="3"/>
      <c r="G19" s="59" t="s">
        <v>42</v>
      </c>
      <c r="H19" s="61">
        <f t="shared" ref="H19:H22" si="9">L2*(1+E25)</f>
        <v>1.217547293</v>
      </c>
      <c r="I19" s="59" t="s">
        <v>43</v>
      </c>
      <c r="J19" s="61">
        <f t="shared" ref="J19:J22" si="10">L2*(1+H25)</f>
        <v>1.767292448</v>
      </c>
      <c r="K19" s="59" t="s">
        <v>44</v>
      </c>
      <c r="L19" s="62">
        <f t="shared" ref="L19:L22" si="11">L2*(1+J25)</f>
        <v>2.280870478</v>
      </c>
      <c r="M19" s="3"/>
      <c r="N19" s="63" t="s">
        <v>45</v>
      </c>
      <c r="O19" s="64">
        <v>0.7273</v>
      </c>
      <c r="P19" s="64">
        <v>1.4351</v>
      </c>
      <c r="Q19" s="64">
        <v>1.7881</v>
      </c>
      <c r="R19" s="64">
        <v>1.9434</v>
      </c>
      <c r="S19" s="64">
        <v>1.9785</v>
      </c>
      <c r="T19" s="64">
        <v>1.9936</v>
      </c>
      <c r="U19" s="65">
        <v>2.0</v>
      </c>
    </row>
    <row r="20">
      <c r="A20" s="57" t="s">
        <v>46</v>
      </c>
      <c r="B20" s="58">
        <f t="shared" ref="B20:B22" si="12">1*L3</f>
        <v>0.25</v>
      </c>
      <c r="C20" s="3"/>
      <c r="D20" s="59" t="s">
        <v>47</v>
      </c>
      <c r="E20" s="58">
        <f t="shared" ref="E20:E21" si="13">L3*(1+B26)</f>
        <v>0.2727272727</v>
      </c>
      <c r="F20" s="3"/>
      <c r="G20" s="59" t="s">
        <v>48</v>
      </c>
      <c r="H20" s="61">
        <f t="shared" si="9"/>
        <v>0.2989236791</v>
      </c>
      <c r="I20" s="59" t="s">
        <v>49</v>
      </c>
      <c r="J20" s="61">
        <f t="shared" si="10"/>
        <v>0.2888920951</v>
      </c>
      <c r="K20" s="59" t="s">
        <v>50</v>
      </c>
      <c r="L20" s="62">
        <f t="shared" si="11"/>
        <v>0.2863889551</v>
      </c>
      <c r="M20" s="3"/>
      <c r="N20" s="66" t="s">
        <v>51</v>
      </c>
      <c r="O20" s="67">
        <v>1.9755</v>
      </c>
      <c r="P20" s="64">
        <v>2.4822</v>
      </c>
      <c r="Q20" s="64">
        <v>5.4187</v>
      </c>
      <c r="R20" s="64">
        <v>18.3639</v>
      </c>
      <c r="S20" s="64">
        <v>47.2071</v>
      </c>
      <c r="T20" s="64">
        <v>156.9455</v>
      </c>
    </row>
    <row r="21">
      <c r="A21" s="57" t="s">
        <v>52</v>
      </c>
      <c r="B21" s="58">
        <f t="shared" si="12"/>
        <v>0.5</v>
      </c>
      <c r="C21" s="3"/>
      <c r="D21" s="59" t="s">
        <v>53</v>
      </c>
      <c r="E21" s="58">
        <f t="shared" si="13"/>
        <v>0.5363636364</v>
      </c>
      <c r="F21" s="3"/>
      <c r="G21" s="59" t="s">
        <v>54</v>
      </c>
      <c r="H21" s="61">
        <f t="shared" si="9"/>
        <v>0.5769732551</v>
      </c>
      <c r="I21" s="59" t="s">
        <v>55</v>
      </c>
      <c r="J21" s="61">
        <f t="shared" si="10"/>
        <v>0.5600546569</v>
      </c>
      <c r="K21" s="59" t="s">
        <v>56</v>
      </c>
      <c r="L21" s="62">
        <f t="shared" si="11"/>
        <v>0.5564357532</v>
      </c>
      <c r="M21" s="3"/>
      <c r="N21" s="68" t="s">
        <v>57</v>
      </c>
      <c r="O21" s="67">
        <v>0.6005</v>
      </c>
      <c r="P21" s="64">
        <v>1.1072</v>
      </c>
      <c r="Q21" s="64">
        <v>4.0437</v>
      </c>
      <c r="R21" s="64">
        <v>16.9889</v>
      </c>
      <c r="S21" s="64">
        <v>45.8321</v>
      </c>
      <c r="T21" s="64">
        <v>155.5705</v>
      </c>
    </row>
    <row r="22">
      <c r="A22" s="57" t="s">
        <v>58</v>
      </c>
      <c r="B22" s="58">
        <f t="shared" si="12"/>
        <v>0.5</v>
      </c>
      <c r="C22" s="3"/>
      <c r="D22" s="59" t="s">
        <v>59</v>
      </c>
      <c r="E22" s="60">
        <v>0.5</v>
      </c>
      <c r="F22" s="3"/>
      <c r="G22" s="59" t="s">
        <v>60</v>
      </c>
      <c r="H22" s="61">
        <f t="shared" si="9"/>
        <v>0.6076320939</v>
      </c>
      <c r="I22" s="59" t="s">
        <v>61</v>
      </c>
      <c r="J22" s="61">
        <f t="shared" si="10"/>
        <v>0.5948687047</v>
      </c>
      <c r="K22" s="59" t="s">
        <v>62</v>
      </c>
      <c r="L22" s="62">
        <f t="shared" si="11"/>
        <v>0.5899158582</v>
      </c>
      <c r="M22" s="3"/>
      <c r="N22" s="69" t="s">
        <v>63</v>
      </c>
      <c r="O22" s="67">
        <v>0.4367</v>
      </c>
      <c r="P22" s="64">
        <v>1.5889</v>
      </c>
      <c r="Q22" s="64">
        <v>7.2305</v>
      </c>
      <c r="R22" s="64">
        <v>33.0163</v>
      </c>
      <c r="S22" s="64">
        <v>90.6788</v>
      </c>
      <c r="T22" s="64">
        <v>310.1453</v>
      </c>
    </row>
    <row r="23">
      <c r="A23" s="57" t="s">
        <v>64</v>
      </c>
      <c r="B23" s="70">
        <f>I2*B19+I3*B20+I4*B21+I5*B22</f>
        <v>1.375</v>
      </c>
      <c r="C23" s="3"/>
      <c r="D23" s="59" t="s">
        <v>65</v>
      </c>
      <c r="E23" s="70">
        <f>I2*E19+I3*E20+I4*E21+I5*E22</f>
        <v>1.393636364</v>
      </c>
      <c r="F23" s="3"/>
      <c r="G23" s="59" t="s">
        <v>66</v>
      </c>
      <c r="H23" s="3">
        <f>I2*H19+I3*H20+I4*H21+I5*H22</f>
        <v>2.882240705</v>
      </c>
      <c r="I23" s="59" t="s">
        <v>67</v>
      </c>
      <c r="J23" s="3">
        <f>I2*J19+I3*J20+I4*J21+I5*J22</f>
        <v>3.969502487</v>
      </c>
      <c r="K23" s="59" t="s">
        <v>68</v>
      </c>
      <c r="L23" s="9">
        <f>I2*L19+I3*L20+I4*L21+I5*L22</f>
        <v>4.993197343</v>
      </c>
      <c r="M23" s="3"/>
      <c r="N23" s="71" t="s">
        <v>37</v>
      </c>
      <c r="O23" s="67">
        <v>1.4368</v>
      </c>
      <c r="P23" s="64">
        <v>3.5622</v>
      </c>
      <c r="Q23" s="64">
        <v>9.6892</v>
      </c>
      <c r="R23" s="64">
        <v>35.6885</v>
      </c>
      <c r="S23" s="64">
        <v>93.3993</v>
      </c>
      <c r="T23" s="64">
        <v>312.8865</v>
      </c>
    </row>
    <row r="24">
      <c r="A24" s="72" t="s">
        <v>69</v>
      </c>
      <c r="B24" s="73">
        <f>B18/B23</f>
        <v>0.7272727273</v>
      </c>
      <c r="D24" s="72" t="s">
        <v>70</v>
      </c>
      <c r="E24" s="73">
        <f>E18/E23</f>
        <v>1.435094586</v>
      </c>
      <c r="G24" s="72" t="s">
        <v>71</v>
      </c>
      <c r="H24" s="13">
        <f>H18/H23</f>
        <v>1.040856857</v>
      </c>
      <c r="I24" s="72" t="s">
        <v>72</v>
      </c>
      <c r="J24" s="13">
        <f>J18/J23</f>
        <v>1.007682956</v>
      </c>
      <c r="K24" s="72" t="s">
        <v>73</v>
      </c>
      <c r="L24" s="74">
        <f>L18/L23</f>
        <v>1.001362385</v>
      </c>
      <c r="O24" s="75"/>
      <c r="P24" s="75"/>
      <c r="Q24" s="75"/>
      <c r="R24" s="75"/>
      <c r="S24" s="75"/>
      <c r="T24" s="75"/>
    </row>
    <row r="25">
      <c r="A25" s="72" t="s">
        <v>74</v>
      </c>
      <c r="B25" s="73">
        <f t="shared" ref="B25:B28" si="14">I2*$B$24*B19</f>
        <v>0.7272727273</v>
      </c>
      <c r="D25" s="72" t="s">
        <v>75</v>
      </c>
      <c r="E25" s="73">
        <f t="shared" ref="E25:E28" si="15">I2*$E$24*E19</f>
        <v>1.435094586</v>
      </c>
      <c r="G25" s="72" t="s">
        <v>76</v>
      </c>
      <c r="H25" s="13">
        <f t="shared" ref="H25:H28" si="16">I2*$H$24*H19</f>
        <v>2.534584896</v>
      </c>
      <c r="I25" s="72" t="s">
        <v>77</v>
      </c>
      <c r="J25" s="13">
        <f t="shared" ref="J25:J28" si="17">I2*$J$24*J19</f>
        <v>3.561740957</v>
      </c>
      <c r="K25" s="72" t="s">
        <v>78</v>
      </c>
      <c r="L25" s="74">
        <f t="shared" ref="L25:L28" si="18">I2*$L$24*L19</f>
        <v>4.567955805</v>
      </c>
      <c r="N25" s="76" t="s">
        <v>79</v>
      </c>
      <c r="O25" s="77"/>
      <c r="P25" s="77"/>
      <c r="Q25" s="77"/>
      <c r="R25" s="77"/>
      <c r="S25" s="77"/>
      <c r="T25" s="78"/>
    </row>
    <row r="26">
      <c r="A26" s="72" t="s">
        <v>80</v>
      </c>
      <c r="B26" s="73">
        <f t="shared" si="14"/>
        <v>0.09090909091</v>
      </c>
      <c r="D26" s="72" t="s">
        <v>81</v>
      </c>
      <c r="E26" s="73">
        <f t="shared" si="15"/>
        <v>0.1956947162</v>
      </c>
      <c r="G26" s="72" t="s">
        <v>82</v>
      </c>
      <c r="H26" s="13">
        <f t="shared" si="16"/>
        <v>0.1555683805</v>
      </c>
      <c r="I26" s="72" t="s">
        <v>83</v>
      </c>
      <c r="J26" s="13">
        <f t="shared" si="17"/>
        <v>0.1455558202</v>
      </c>
      <c r="K26" s="72" t="s">
        <v>84</v>
      </c>
      <c r="L26" s="74">
        <f t="shared" si="18"/>
        <v>0.1433895635</v>
      </c>
      <c r="N26" s="79" t="s">
        <v>45</v>
      </c>
      <c r="O26" s="80">
        <f>B24</f>
        <v>0.7272727273</v>
      </c>
      <c r="P26" s="81">
        <v>1.4351</v>
      </c>
      <c r="Q26" s="81">
        <v>1.7893</v>
      </c>
      <c r="R26" s="81">
        <v>1.9294</v>
      </c>
      <c r="S26" s="82">
        <v>1.9781</v>
      </c>
      <c r="T26" s="82">
        <v>1.9936</v>
      </c>
    </row>
    <row r="27">
      <c r="A27" s="72" t="s">
        <v>85</v>
      </c>
      <c r="B27" s="73">
        <f t="shared" si="14"/>
        <v>0.07272727273</v>
      </c>
      <c r="D27" s="72" t="s">
        <v>86</v>
      </c>
      <c r="E27" s="73">
        <f t="shared" si="15"/>
        <v>0.1539465101</v>
      </c>
      <c r="G27" s="72" t="s">
        <v>87</v>
      </c>
      <c r="H27" s="13">
        <f t="shared" si="16"/>
        <v>0.1201093137</v>
      </c>
      <c r="I27" s="72" t="s">
        <v>88</v>
      </c>
      <c r="J27" s="13">
        <f t="shared" si="17"/>
        <v>0.1128715064</v>
      </c>
      <c r="K27" s="72" t="s">
        <v>89</v>
      </c>
      <c r="L27" s="74">
        <f t="shared" si="18"/>
        <v>0.1114387666</v>
      </c>
      <c r="N27" s="66" t="s">
        <v>51</v>
      </c>
      <c r="O27" s="83">
        <f>B23</f>
        <v>1.375</v>
      </c>
      <c r="P27" s="83">
        <f>E23</f>
        <v>1.393636364</v>
      </c>
      <c r="Q27" s="84">
        <v>1.6767</v>
      </c>
      <c r="R27" s="83">
        <v>2.0732</v>
      </c>
      <c r="S27" s="85">
        <v>2.5277</v>
      </c>
      <c r="T27" s="82">
        <v>3.0097</v>
      </c>
    </row>
    <row r="28">
      <c r="A28" s="72" t="s">
        <v>90</v>
      </c>
      <c r="B28" s="73">
        <f t="shared" si="14"/>
        <v>0.1090909091</v>
      </c>
      <c r="D28" s="72" t="s">
        <v>91</v>
      </c>
      <c r="E28" s="73">
        <f t="shared" si="15"/>
        <v>0.2152641879</v>
      </c>
      <c r="G28" s="72" t="s">
        <v>92</v>
      </c>
      <c r="H28" s="13">
        <f t="shared" si="16"/>
        <v>0.1897374094</v>
      </c>
      <c r="I28" s="72" t="s">
        <v>93</v>
      </c>
      <c r="J28" s="13">
        <f t="shared" si="17"/>
        <v>0.1798317165</v>
      </c>
      <c r="K28" s="72" t="s">
        <v>94</v>
      </c>
      <c r="L28" s="74">
        <f t="shared" si="18"/>
        <v>0.1772158652</v>
      </c>
      <c r="N28" s="68" t="s">
        <v>57</v>
      </c>
      <c r="O28" s="86">
        <f>(B19-L2)*I2+(B20-L3)*I3+(B21-L4)*I4+(B22-L5)*I5</f>
        <v>0</v>
      </c>
      <c r="P28" s="86">
        <f>(E19-L2)*I2+(E20-L3)*I3+(E21-L4)*I4+(E22-L5)*I5</f>
        <v>0.01863636364</v>
      </c>
      <c r="Q28" s="87">
        <v>0.3017</v>
      </c>
      <c r="R28" s="86">
        <v>0.6981999999999999</v>
      </c>
      <c r="S28" s="88">
        <v>1.1527</v>
      </c>
      <c r="T28" s="82">
        <v>1.6347</v>
      </c>
    </row>
    <row r="29">
      <c r="A29" s="89" t="s">
        <v>37</v>
      </c>
      <c r="B29" s="90">
        <f>SUM(B25:B28)</f>
        <v>1</v>
      </c>
      <c r="D29" s="89" t="s">
        <v>37</v>
      </c>
      <c r="E29" s="90">
        <f>SUM(E25:E28)</f>
        <v>2</v>
      </c>
      <c r="G29" s="89" t="s">
        <v>37</v>
      </c>
      <c r="H29" s="91">
        <f>SUM(H25:H28)</f>
        <v>3</v>
      </c>
      <c r="I29" s="89" t="s">
        <v>37</v>
      </c>
      <c r="J29" s="91">
        <f>SUM(J25:J28)</f>
        <v>4</v>
      </c>
      <c r="K29" s="89" t="s">
        <v>37</v>
      </c>
      <c r="L29" s="92">
        <f>SUM(L25:L28)</f>
        <v>5</v>
      </c>
      <c r="N29" s="71" t="s">
        <v>63</v>
      </c>
      <c r="O29" s="48">
        <f t="shared" ref="O29:P29" si="19">O28*O26</f>
        <v>0</v>
      </c>
      <c r="P29" s="48">
        <f t="shared" si="19"/>
        <v>0.02674504545</v>
      </c>
      <c r="Q29" s="93">
        <v>0.5398</v>
      </c>
      <c r="R29" s="93">
        <v>1.3471</v>
      </c>
      <c r="S29" s="94">
        <v>2.2801</v>
      </c>
      <c r="T29" s="82">
        <v>3.2588</v>
      </c>
    </row>
    <row r="30">
      <c r="E30" s="13">
        <f>ABS((B24/E24-1)*100)</f>
        <v>49.32231405</v>
      </c>
      <c r="F30" s="6" t="s">
        <v>95</v>
      </c>
      <c r="H30" s="13">
        <f>ABS((E24/H24-1)*100)</f>
        <v>37.87626766</v>
      </c>
      <c r="I30" s="6" t="s">
        <v>95</v>
      </c>
      <c r="J30" s="13">
        <f>ABS((H24/J24-1)*100)</f>
        <v>3.292097027</v>
      </c>
      <c r="K30" s="6" t="s">
        <v>95</v>
      </c>
      <c r="L30" s="13">
        <f>ABS((J24/L24-1)*100)</f>
        <v>0.631197169</v>
      </c>
      <c r="M30" s="6" t="s">
        <v>95</v>
      </c>
      <c r="N30" s="95" t="s">
        <v>37</v>
      </c>
      <c r="O30" s="96">
        <v>1.0</v>
      </c>
      <c r="P30" s="96">
        <v>2.0</v>
      </c>
      <c r="Q30" s="96">
        <v>3.0</v>
      </c>
      <c r="R30" s="96">
        <v>4.0</v>
      </c>
      <c r="S30" s="97">
        <v>5.0</v>
      </c>
      <c r="T30" s="97">
        <v>6.0</v>
      </c>
    </row>
    <row r="32">
      <c r="A32" s="6" t="s">
        <v>38</v>
      </c>
      <c r="B32" s="98">
        <v>3.0</v>
      </c>
    </row>
    <row r="33">
      <c r="A33" s="99" t="s">
        <v>96</v>
      </c>
      <c r="B33" s="6">
        <v>0.5</v>
      </c>
      <c r="C33" s="6">
        <v>0.25</v>
      </c>
      <c r="D33" s="6">
        <v>0.5</v>
      </c>
      <c r="E33" s="6">
        <v>0.5</v>
      </c>
    </row>
    <row r="34">
      <c r="A34" s="99" t="s">
        <v>36</v>
      </c>
      <c r="B34" s="100">
        <v>0.521</v>
      </c>
      <c r="C34" s="100">
        <v>0.055</v>
      </c>
      <c r="D34" s="100">
        <v>0.084</v>
      </c>
      <c r="E34" s="100">
        <v>0.006</v>
      </c>
      <c r="F34" s="101">
        <f t="shared" ref="F34:F35" si="21">B34*$I$2+C34*$I$3+D34*$I$4+E34*$I$5</f>
        <v>1.0881</v>
      </c>
    </row>
    <row r="35">
      <c r="A35" s="99" t="s">
        <v>35</v>
      </c>
      <c r="B35" s="6">
        <f t="shared" ref="B35:E35" si="20">B33+B34</f>
        <v>1.021</v>
      </c>
      <c r="C35" s="6">
        <f t="shared" si="20"/>
        <v>0.305</v>
      </c>
      <c r="D35" s="6">
        <f t="shared" si="20"/>
        <v>0.584</v>
      </c>
      <c r="E35" s="6">
        <f t="shared" si="20"/>
        <v>0.506</v>
      </c>
      <c r="F35" s="101">
        <f t="shared" si="21"/>
        <v>2.4631</v>
      </c>
    </row>
    <row r="36">
      <c r="A36" s="99" t="s">
        <v>33</v>
      </c>
      <c r="B36" s="102">
        <f>B32/F35</f>
        <v>1.217977346</v>
      </c>
    </row>
    <row r="37">
      <c r="A37" s="6" t="s">
        <v>32</v>
      </c>
      <c r="B37" s="100">
        <v>1.494</v>
      </c>
      <c r="C37" s="100">
        <v>0.039</v>
      </c>
      <c r="D37" s="100">
        <v>0.024</v>
      </c>
      <c r="E37" s="100">
        <v>0.003</v>
      </c>
      <c r="F37" s="101">
        <f t="shared" ref="F37:F39" si="22">SUM(B37:E37)</f>
        <v>1.56</v>
      </c>
    </row>
    <row r="38">
      <c r="A38" s="6" t="s">
        <v>31</v>
      </c>
      <c r="B38" s="100"/>
      <c r="C38" s="100"/>
      <c r="D38" s="100"/>
      <c r="E38" s="100"/>
      <c r="F38" s="13">
        <f t="shared" si="22"/>
        <v>0</v>
      </c>
    </row>
    <row r="39">
      <c r="A39" s="6" t="s">
        <v>34</v>
      </c>
      <c r="B39" s="100">
        <v>1.433</v>
      </c>
      <c r="C39" s="100">
        <v>0.179</v>
      </c>
      <c r="D39" s="100">
        <v>0.144</v>
      </c>
      <c r="E39" s="100">
        <v>0.214</v>
      </c>
      <c r="F39" s="13">
        <f t="shared" si="22"/>
        <v>1.97</v>
      </c>
    </row>
    <row r="42">
      <c r="A42" s="103" t="s">
        <v>23</v>
      </c>
      <c r="B42" s="104" t="s">
        <v>24</v>
      </c>
      <c r="C42" s="105"/>
      <c r="D42" s="105"/>
      <c r="E42" s="105"/>
      <c r="F42" s="105"/>
      <c r="G42" s="106"/>
    </row>
    <row r="43">
      <c r="A43" s="107" t="s">
        <v>34</v>
      </c>
      <c r="B43" s="108">
        <v>1.0</v>
      </c>
      <c r="C43" s="108">
        <v>2.0</v>
      </c>
      <c r="D43" s="108">
        <v>3.0</v>
      </c>
      <c r="E43" s="108">
        <v>4.0</v>
      </c>
      <c r="F43" s="108">
        <v>5.0</v>
      </c>
      <c r="G43" s="108">
        <v>6.0</v>
      </c>
    </row>
    <row r="44">
      <c r="A44" s="107" t="s">
        <v>33</v>
      </c>
      <c r="B44" s="109">
        <v>0.7273</v>
      </c>
      <c r="C44" s="109">
        <v>1.4351</v>
      </c>
      <c r="D44" s="109">
        <v>1.7893</v>
      </c>
      <c r="E44" s="110">
        <v>1.9294</v>
      </c>
      <c r="F44" s="111">
        <v>1.9781</v>
      </c>
      <c r="G44" s="112">
        <v>1.9936</v>
      </c>
    </row>
    <row r="45">
      <c r="A45" s="107" t="s">
        <v>95</v>
      </c>
      <c r="B45" s="113" t="s">
        <v>97</v>
      </c>
      <c r="C45" s="114">
        <f t="shared" ref="C45:G45" si="23">ABS((B44/C44-1)*100)</f>
        <v>49.32060484</v>
      </c>
      <c r="D45" s="114">
        <f t="shared" si="23"/>
        <v>19.79545073</v>
      </c>
      <c r="E45" s="114">
        <f t="shared" si="23"/>
        <v>7.261324764</v>
      </c>
      <c r="F45" s="114">
        <f t="shared" si="23"/>
        <v>2.461958445</v>
      </c>
      <c r="G45" s="114">
        <f t="shared" si="23"/>
        <v>0.7774879615</v>
      </c>
    </row>
  </sheetData>
  <mergeCells count="10">
    <mergeCell ref="N18:T18"/>
    <mergeCell ref="N25:T25"/>
    <mergeCell ref="B42:G42"/>
    <mergeCell ref="A1:F1"/>
    <mergeCell ref="A9:A10"/>
    <mergeCell ref="B9:F9"/>
    <mergeCell ref="H9:H10"/>
    <mergeCell ref="I9:M9"/>
    <mergeCell ref="O9:O10"/>
    <mergeCell ref="P9:T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B1" s="6" t="s">
        <v>98</v>
      </c>
      <c r="C1" s="6" t="s">
        <v>99</v>
      </c>
    </row>
    <row r="2">
      <c r="A2" s="6" t="s">
        <v>33</v>
      </c>
      <c r="B2" s="6">
        <v>1.9936</v>
      </c>
      <c r="C2" s="6">
        <v>5.7978</v>
      </c>
    </row>
    <row r="3">
      <c r="A3" s="6" t="s">
        <v>32</v>
      </c>
      <c r="B3" s="6">
        <v>3.2588</v>
      </c>
      <c r="C3" s="6">
        <v>2.3764</v>
      </c>
    </row>
    <row r="7">
      <c r="B7" s="6" t="s">
        <v>98</v>
      </c>
      <c r="C7" s="6" t="s">
        <v>99</v>
      </c>
    </row>
    <row r="8">
      <c r="A8" s="6" t="s">
        <v>35</v>
      </c>
      <c r="B8" s="6">
        <v>3.0097</v>
      </c>
      <c r="C8" s="6">
        <v>1.0349</v>
      </c>
    </row>
    <row r="9">
      <c r="A9" s="6" t="s">
        <v>36</v>
      </c>
      <c r="B9" s="6">
        <v>1.6347</v>
      </c>
      <c r="C9" s="6">
        <v>0.4099</v>
      </c>
    </row>
    <row r="43">
      <c r="A43" s="108">
        <v>1.6</v>
      </c>
      <c r="B43" s="109">
        <v>3.003</v>
      </c>
      <c r="C43" s="109">
        <v>4.0597</v>
      </c>
      <c r="D43" s="109">
        <v>4.8213</v>
      </c>
      <c r="E43" s="109">
        <v>5.379</v>
      </c>
      <c r="F43" s="109">
        <v>5.7978</v>
      </c>
      <c r="G43" s="109">
        <v>6.1198</v>
      </c>
      <c r="H43" s="109">
        <v>6.3728</v>
      </c>
      <c r="I43" s="109">
        <v>6.5751</v>
      </c>
      <c r="J43" s="115">
        <v>6.7394</v>
      </c>
      <c r="K43" s="115">
        <v>6.8747</v>
      </c>
      <c r="L43" s="6">
        <v>6.9874</v>
      </c>
    </row>
    <row r="44">
      <c r="A44" s="116"/>
      <c r="B44" s="117">
        <f t="shared" ref="B44:L44" si="1">ABS((A43/B43-1)*100)</f>
        <v>46.71994672</v>
      </c>
      <c r="C44" s="117">
        <f t="shared" si="1"/>
        <v>26.02901692</v>
      </c>
      <c r="D44" s="117">
        <f t="shared" si="1"/>
        <v>15.79656939</v>
      </c>
      <c r="E44" s="117">
        <f t="shared" si="1"/>
        <v>10.36809816</v>
      </c>
      <c r="F44" s="117">
        <f t="shared" si="1"/>
        <v>7.223429577</v>
      </c>
      <c r="G44" s="117">
        <f t="shared" si="1"/>
        <v>5.261609857</v>
      </c>
      <c r="H44" s="117">
        <f t="shared" si="1"/>
        <v>3.969997489</v>
      </c>
      <c r="I44" s="117">
        <f t="shared" si="1"/>
        <v>3.076759289</v>
      </c>
      <c r="J44" s="117">
        <f t="shared" si="1"/>
        <v>2.437902484</v>
      </c>
      <c r="K44" s="117">
        <f t="shared" si="1"/>
        <v>1.96808588</v>
      </c>
      <c r="L44" s="117">
        <f t="shared" si="1"/>
        <v>1.612903226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5" max="5" width="20.63"/>
  </cols>
  <sheetData>
    <row r="1">
      <c r="A1" s="118" t="s">
        <v>100</v>
      </c>
      <c r="B1" s="118" t="s">
        <v>101</v>
      </c>
      <c r="C1" s="118" t="s">
        <v>101</v>
      </c>
      <c r="E1" s="119" t="s">
        <v>31</v>
      </c>
      <c r="F1" s="120" t="s">
        <v>102</v>
      </c>
      <c r="G1" s="121">
        <f>C2+(C3+C4+C5)/2</f>
        <v>0.717548</v>
      </c>
    </row>
    <row r="2">
      <c r="A2" s="118" t="s">
        <v>103</v>
      </c>
      <c r="B2" s="122" t="s">
        <v>104</v>
      </c>
      <c r="C2" s="123">
        <v>0.521853</v>
      </c>
      <c r="E2" s="124"/>
      <c r="F2" s="120" t="s">
        <v>105</v>
      </c>
      <c r="G2" s="121">
        <f>C3+C6+C7+C8</f>
        <v>0.179386</v>
      </c>
    </row>
    <row r="3">
      <c r="A3" s="118" t="s">
        <v>106</v>
      </c>
      <c r="B3" s="125" t="s">
        <v>107</v>
      </c>
      <c r="C3" s="123">
        <v>0.130463</v>
      </c>
      <c r="E3" s="124"/>
      <c r="F3" s="120" t="s">
        <v>108</v>
      </c>
      <c r="G3" s="121">
        <f>C4+C7+C9+C10</f>
        <v>0.14351</v>
      </c>
    </row>
    <row r="4">
      <c r="A4" s="118" t="s">
        <v>109</v>
      </c>
      <c r="B4" s="125" t="s">
        <v>110</v>
      </c>
      <c r="C4" s="123">
        <v>0.104371</v>
      </c>
      <c r="E4" s="124"/>
      <c r="F4" s="120" t="s">
        <v>111</v>
      </c>
      <c r="G4" s="121">
        <f>(C5+C8+C10)/2+C11</f>
        <v>0.1076325</v>
      </c>
    </row>
    <row r="5">
      <c r="A5" s="118" t="s">
        <v>112</v>
      </c>
      <c r="B5" s="125" t="s">
        <v>113</v>
      </c>
      <c r="C5" s="123">
        <v>0.156556</v>
      </c>
      <c r="E5" s="28"/>
      <c r="F5" s="120" t="s">
        <v>30</v>
      </c>
      <c r="G5" s="121">
        <f>SUM(G1:G4)</f>
        <v>1.1480765</v>
      </c>
    </row>
    <row r="6">
      <c r="A6" s="118" t="s">
        <v>114</v>
      </c>
      <c r="B6" s="125" t="s">
        <v>115</v>
      </c>
      <c r="C6" s="123">
        <v>0.016308</v>
      </c>
      <c r="E6" s="119" t="s">
        <v>32</v>
      </c>
      <c r="F6" s="120" t="s">
        <v>102</v>
      </c>
      <c r="G6" s="126">
        <v>0.0</v>
      </c>
    </row>
    <row r="7">
      <c r="A7" s="118" t="s">
        <v>116</v>
      </c>
      <c r="B7" s="125" t="s">
        <v>117</v>
      </c>
      <c r="C7" s="123">
        <v>0.013046</v>
      </c>
      <c r="E7" s="124"/>
      <c r="F7" s="120" t="s">
        <v>105</v>
      </c>
      <c r="G7" s="121">
        <f>C6</f>
        <v>0.016308</v>
      </c>
    </row>
    <row r="8">
      <c r="A8" s="118" t="s">
        <v>118</v>
      </c>
      <c r="B8" s="125" t="s">
        <v>119</v>
      </c>
      <c r="C8" s="123">
        <v>0.019569</v>
      </c>
      <c r="E8" s="124"/>
      <c r="F8" s="120" t="s">
        <v>108</v>
      </c>
      <c r="G8" s="121">
        <f>C9</f>
        <v>0.010437</v>
      </c>
    </row>
    <row r="9">
      <c r="A9" s="118" t="s">
        <v>120</v>
      </c>
      <c r="B9" s="125" t="s">
        <v>121</v>
      </c>
      <c r="C9" s="123">
        <v>0.010437</v>
      </c>
      <c r="E9" s="124"/>
      <c r="F9" s="120" t="s">
        <v>111</v>
      </c>
      <c r="G9" s="126">
        <v>0.0</v>
      </c>
    </row>
    <row r="10">
      <c r="A10" s="118" t="s">
        <v>122</v>
      </c>
      <c r="B10" s="125" t="s">
        <v>123</v>
      </c>
      <c r="C10" s="123">
        <v>0.015656</v>
      </c>
      <c r="E10" s="28"/>
      <c r="F10" s="120" t="s">
        <v>30</v>
      </c>
      <c r="G10" s="121">
        <f>SUM(G6:G9)</f>
        <v>0.026745</v>
      </c>
    </row>
    <row r="11">
      <c r="A11" s="118" t="s">
        <v>124</v>
      </c>
      <c r="B11" s="125" t="s">
        <v>125</v>
      </c>
      <c r="C11" s="123">
        <v>0.011742</v>
      </c>
      <c r="E11" s="119" t="s">
        <v>34</v>
      </c>
      <c r="F11" s="120" t="s">
        <v>102</v>
      </c>
      <c r="G11" s="121">
        <f>C2*2+(C3+C4+C5)</f>
        <v>1.435096</v>
      </c>
    </row>
    <row r="12">
      <c r="E12" s="124"/>
      <c r="F12" s="120" t="s">
        <v>105</v>
      </c>
      <c r="G12" s="121">
        <f>C3+C6*2+C7+C8</f>
        <v>0.195694</v>
      </c>
    </row>
    <row r="13">
      <c r="E13" s="124"/>
      <c r="F13" s="120" t="s">
        <v>108</v>
      </c>
      <c r="G13" s="121">
        <f>C4+C7+C9*2+C10</f>
        <v>0.153947</v>
      </c>
    </row>
    <row r="14">
      <c r="E14" s="124"/>
      <c r="F14" s="120" t="s">
        <v>111</v>
      </c>
      <c r="G14" s="121">
        <f>C5+C8+C10+C11*2</f>
        <v>0.215265</v>
      </c>
    </row>
    <row r="15">
      <c r="A15" s="6" t="s">
        <v>3</v>
      </c>
      <c r="B15" s="6">
        <v>2.0</v>
      </c>
      <c r="E15" s="28"/>
      <c r="F15" s="120" t="s">
        <v>30</v>
      </c>
      <c r="G15" s="121">
        <f>SUM(G11:G14)</f>
        <v>2.000002</v>
      </c>
    </row>
    <row r="16">
      <c r="A16" s="6" t="s">
        <v>8</v>
      </c>
      <c r="B16" s="6">
        <v>0.5</v>
      </c>
      <c r="E16" s="119" t="s">
        <v>36</v>
      </c>
      <c r="F16" s="120" t="s">
        <v>102</v>
      </c>
      <c r="G16" s="121">
        <f t="shared" ref="G16:G19" si="1">G6/G26</f>
        <v>0</v>
      </c>
    </row>
    <row r="17">
      <c r="A17" s="6" t="s">
        <v>14</v>
      </c>
      <c r="B17" s="6">
        <v>0.2</v>
      </c>
      <c r="E17" s="124"/>
      <c r="F17" s="120" t="s">
        <v>105</v>
      </c>
      <c r="G17" s="121">
        <f t="shared" si="1"/>
        <v>0.02272739942</v>
      </c>
    </row>
    <row r="18">
      <c r="A18" s="6" t="s">
        <v>18</v>
      </c>
      <c r="B18" s="6">
        <v>0.3</v>
      </c>
      <c r="E18" s="124"/>
      <c r="F18" s="120" t="s">
        <v>108</v>
      </c>
      <c r="G18" s="121">
        <f t="shared" si="1"/>
        <v>0.03636342098</v>
      </c>
    </row>
    <row r="19">
      <c r="E19" s="124"/>
      <c r="F19" s="120" t="s">
        <v>111</v>
      </c>
      <c r="G19" s="121">
        <f t="shared" si="1"/>
        <v>0</v>
      </c>
    </row>
    <row r="20">
      <c r="A20" s="6" t="s">
        <v>5</v>
      </c>
      <c r="B20" s="6">
        <v>0.5</v>
      </c>
      <c r="E20" s="28"/>
      <c r="F20" s="120" t="s">
        <v>30</v>
      </c>
      <c r="G20" s="121">
        <f>G16*B15+G17*B16+G18*B17+G19*B18</f>
        <v>0.01863638391</v>
      </c>
    </row>
    <row r="21">
      <c r="A21" s="6" t="s">
        <v>9</v>
      </c>
      <c r="B21" s="6">
        <v>0.25</v>
      </c>
      <c r="E21" s="119" t="s">
        <v>35</v>
      </c>
      <c r="F21" s="120" t="s">
        <v>102</v>
      </c>
      <c r="G21" s="121">
        <f t="shared" ref="G21:G24" si="2">G11/G26</f>
        <v>0.5</v>
      </c>
    </row>
    <row r="22">
      <c r="A22" s="6" t="s">
        <v>16</v>
      </c>
      <c r="B22" s="6">
        <v>0.5</v>
      </c>
      <c r="E22" s="124"/>
      <c r="F22" s="120" t="s">
        <v>105</v>
      </c>
      <c r="G22" s="121">
        <f t="shared" si="2"/>
        <v>0.2727260058</v>
      </c>
    </row>
    <row r="23">
      <c r="A23" s="6" t="s">
        <v>20</v>
      </c>
      <c r="B23" s="6">
        <v>0.5</v>
      </c>
      <c r="E23" s="124"/>
      <c r="F23" s="120" t="s">
        <v>108</v>
      </c>
      <c r="G23" s="121">
        <f t="shared" si="2"/>
        <v>0.5363648146</v>
      </c>
    </row>
    <row r="24">
      <c r="E24" s="124"/>
      <c r="F24" s="120" t="s">
        <v>111</v>
      </c>
      <c r="G24" s="121">
        <f t="shared" si="2"/>
        <v>0.5000013936</v>
      </c>
    </row>
    <row r="25">
      <c r="A25" s="6" t="s">
        <v>7</v>
      </c>
      <c r="B25" s="6">
        <v>2.0</v>
      </c>
      <c r="E25" s="28"/>
      <c r="F25" s="120" t="s">
        <v>30</v>
      </c>
      <c r="G25" s="121">
        <f>G21*B15+G22*B16+G23*B17+G24*B18</f>
        <v>1.393636384</v>
      </c>
    </row>
    <row r="26">
      <c r="A26" s="6" t="s">
        <v>11</v>
      </c>
      <c r="B26" s="6">
        <v>1.0</v>
      </c>
      <c r="E26" s="119" t="s">
        <v>33</v>
      </c>
      <c r="F26" s="120" t="s">
        <v>102</v>
      </c>
      <c r="G26" s="121">
        <f>G30*B15</f>
        <v>2.870192</v>
      </c>
    </row>
    <row r="27">
      <c r="A27" s="6" t="s">
        <v>17</v>
      </c>
      <c r="B27" s="6">
        <v>1.0</v>
      </c>
      <c r="E27" s="124"/>
      <c r="F27" s="120" t="s">
        <v>105</v>
      </c>
      <c r="G27" s="121">
        <f>G30*B16</f>
        <v>0.717548</v>
      </c>
    </row>
    <row r="28">
      <c r="A28" s="6" t="s">
        <v>21</v>
      </c>
      <c r="B28" s="6">
        <v>2.0</v>
      </c>
      <c r="E28" s="124"/>
      <c r="F28" s="120" t="s">
        <v>108</v>
      </c>
      <c r="G28" s="121">
        <f>G30*B17</f>
        <v>0.2870192</v>
      </c>
    </row>
    <row r="29">
      <c r="E29" s="124"/>
      <c r="F29" s="120" t="s">
        <v>111</v>
      </c>
      <c r="G29" s="121">
        <f>G30*B18</f>
        <v>0.4305288</v>
      </c>
    </row>
    <row r="30">
      <c r="E30" s="28"/>
      <c r="F30" s="120" t="s">
        <v>30</v>
      </c>
      <c r="G30" s="121">
        <f>G1*B25/(B15*B20)</f>
        <v>1.435096</v>
      </c>
    </row>
  </sheetData>
  <mergeCells count="6">
    <mergeCell ref="E1:E5"/>
    <mergeCell ref="E6:E10"/>
    <mergeCell ref="E11:E15"/>
    <mergeCell ref="E16:E20"/>
    <mergeCell ref="E21:E25"/>
    <mergeCell ref="E26:E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5" max="5" width="20.63"/>
  </cols>
  <sheetData>
    <row r="1">
      <c r="A1" s="118" t="s">
        <v>100</v>
      </c>
      <c r="B1" s="118" t="s">
        <v>101</v>
      </c>
      <c r="C1" s="118" t="s">
        <v>101</v>
      </c>
      <c r="E1" s="119" t="s">
        <v>31</v>
      </c>
      <c r="F1" s="120" t="s">
        <v>102</v>
      </c>
      <c r="G1" s="121">
        <f>C2+SUM(C3:C6)/2</f>
        <v>0.713284</v>
      </c>
    </row>
    <row r="2">
      <c r="A2" s="118" t="s">
        <v>103</v>
      </c>
      <c r="B2" s="122" t="s">
        <v>104</v>
      </c>
      <c r="C2" s="123">
        <v>0.522586</v>
      </c>
      <c r="E2" s="124"/>
      <c r="F2" s="120" t="s">
        <v>105</v>
      </c>
      <c r="G2" s="121">
        <f>C3+C7+C8+C9+C10</f>
        <v>0.178321</v>
      </c>
    </row>
    <row r="3">
      <c r="A3" s="118" t="s">
        <v>106</v>
      </c>
      <c r="B3" s="125" t="s">
        <v>107</v>
      </c>
      <c r="C3" s="123">
        <v>0.130562</v>
      </c>
      <c r="E3" s="124"/>
      <c r="F3" s="120" t="s">
        <v>108</v>
      </c>
      <c r="G3" s="121">
        <f>C4+C5+C8+C9+C11+C12+C13+C14</f>
        <v>0.142657</v>
      </c>
    </row>
    <row r="4">
      <c r="A4" s="118" t="s">
        <v>126</v>
      </c>
      <c r="B4" s="125" t="s">
        <v>110</v>
      </c>
      <c r="C4" s="123">
        <v>0.060399</v>
      </c>
      <c r="E4" s="124"/>
      <c r="F4" s="120" t="s">
        <v>111</v>
      </c>
      <c r="G4" s="121">
        <f>(C6+C10+C13+C14)/2+C15</f>
        <v>0.106993</v>
      </c>
    </row>
    <row r="5">
      <c r="A5" s="118" t="s">
        <v>127</v>
      </c>
      <c r="B5" s="125" t="s">
        <v>113</v>
      </c>
      <c r="C5" s="123">
        <v>0.033877</v>
      </c>
      <c r="E5" s="28"/>
      <c r="F5" s="120" t="s">
        <v>30</v>
      </c>
      <c r="G5" s="121">
        <f>SUM(G1:G4)</f>
        <v>1.141255</v>
      </c>
    </row>
    <row r="6">
      <c r="A6" s="118" t="s">
        <v>112</v>
      </c>
      <c r="B6" s="125" t="s">
        <v>115</v>
      </c>
      <c r="C6" s="123">
        <v>0.156558</v>
      </c>
      <c r="E6" s="119" t="s">
        <v>32</v>
      </c>
      <c r="F6" s="120" t="s">
        <v>102</v>
      </c>
      <c r="G6" s="126">
        <v>0.0</v>
      </c>
    </row>
    <row r="7">
      <c r="A7" s="118" t="s">
        <v>114</v>
      </c>
      <c r="B7" s="125" t="s">
        <v>117</v>
      </c>
      <c r="C7" s="123">
        <v>0.01632</v>
      </c>
      <c r="E7" s="124"/>
      <c r="F7" s="120" t="s">
        <v>105</v>
      </c>
      <c r="G7" s="121">
        <f>C7</f>
        <v>0.01632</v>
      </c>
    </row>
    <row r="8">
      <c r="A8" s="118" t="s">
        <v>128</v>
      </c>
      <c r="B8" s="125" t="s">
        <v>119</v>
      </c>
      <c r="C8" s="123">
        <v>0.007734</v>
      </c>
      <c r="E8" s="124"/>
      <c r="F8" s="120" t="s">
        <v>108</v>
      </c>
      <c r="G8" s="121">
        <f>C11+C12</f>
        <v>0.022148</v>
      </c>
    </row>
    <row r="9">
      <c r="A9" s="118" t="s">
        <v>129</v>
      </c>
      <c r="B9" s="125" t="s">
        <v>121</v>
      </c>
      <c r="C9" s="123">
        <v>0.00413</v>
      </c>
      <c r="E9" s="124"/>
      <c r="F9" s="120" t="s">
        <v>111</v>
      </c>
      <c r="G9" s="126">
        <v>0.0</v>
      </c>
    </row>
    <row r="10">
      <c r="A10" s="118" t="s">
        <v>118</v>
      </c>
      <c r="B10" s="125" t="s">
        <v>123</v>
      </c>
      <c r="C10" s="123">
        <v>0.019575</v>
      </c>
      <c r="E10" s="28"/>
      <c r="F10" s="120" t="s">
        <v>30</v>
      </c>
      <c r="G10" s="121">
        <f>SUM(G6:G9)</f>
        <v>0.038468</v>
      </c>
    </row>
    <row r="11">
      <c r="A11" s="118" t="s">
        <v>130</v>
      </c>
      <c r="B11" s="125" t="s">
        <v>125</v>
      </c>
      <c r="C11" s="123">
        <v>0.020835</v>
      </c>
      <c r="E11" s="119" t="s">
        <v>34</v>
      </c>
      <c r="F11" s="120" t="s">
        <v>102</v>
      </c>
      <c r="G11" s="121">
        <f>C2*2+C3+C4+C5+C6</f>
        <v>1.426568</v>
      </c>
    </row>
    <row r="12">
      <c r="A12" s="118" t="s">
        <v>131</v>
      </c>
      <c r="B12" s="125" t="s">
        <v>132</v>
      </c>
      <c r="C12" s="127">
        <v>0.001313</v>
      </c>
      <c r="E12" s="124"/>
      <c r="F12" s="120" t="s">
        <v>105</v>
      </c>
      <c r="G12" s="121">
        <f>C3+C8+C9+C10+C7*2</f>
        <v>0.194641</v>
      </c>
    </row>
    <row r="13">
      <c r="A13" s="118" t="s">
        <v>133</v>
      </c>
      <c r="B13" s="125" t="s">
        <v>134</v>
      </c>
      <c r="C13" s="123">
        <v>0.009451</v>
      </c>
      <c r="E13" s="124"/>
      <c r="F13" s="120" t="s">
        <v>108</v>
      </c>
      <c r="G13" s="121">
        <f>C4+C5+C8+C9+C13+C14+(C11+C12)*2</f>
        <v>0.164805</v>
      </c>
    </row>
    <row r="14">
      <c r="A14" s="118" t="s">
        <v>135</v>
      </c>
      <c r="B14" s="125" t="s">
        <v>136</v>
      </c>
      <c r="C14" s="123">
        <v>0.004918</v>
      </c>
      <c r="E14" s="124"/>
      <c r="F14" s="120" t="s">
        <v>111</v>
      </c>
      <c r="G14" s="121">
        <f>C6+C10+C13+C14+C15*2</f>
        <v>0.213986</v>
      </c>
    </row>
    <row r="15">
      <c r="A15" s="118" t="s">
        <v>124</v>
      </c>
      <c r="B15" s="125" t="s">
        <v>137</v>
      </c>
      <c r="C15" s="123">
        <v>0.011742</v>
      </c>
      <c r="E15" s="28"/>
      <c r="F15" s="120" t="s">
        <v>30</v>
      </c>
      <c r="G15" s="121">
        <f>SUM(G11:G14)</f>
        <v>2</v>
      </c>
    </row>
    <row r="16">
      <c r="E16" s="119" t="s">
        <v>36</v>
      </c>
      <c r="F16" s="120" t="s">
        <v>102</v>
      </c>
      <c r="G16" s="121">
        <f t="shared" ref="G16:G19" si="1">G6/G26</f>
        <v>0</v>
      </c>
    </row>
    <row r="17">
      <c r="A17" s="6" t="s">
        <v>3</v>
      </c>
      <c r="B17" s="6">
        <v>2.0</v>
      </c>
      <c r="E17" s="124"/>
      <c r="F17" s="120" t="s">
        <v>105</v>
      </c>
      <c r="G17" s="121">
        <f t="shared" si="1"/>
        <v>0.02288008703</v>
      </c>
    </row>
    <row r="18">
      <c r="A18" s="6" t="s">
        <v>8</v>
      </c>
      <c r="B18" s="6">
        <v>0.5</v>
      </c>
      <c r="E18" s="124"/>
      <c r="F18" s="120" t="s">
        <v>108</v>
      </c>
      <c r="G18" s="121">
        <f t="shared" si="1"/>
        <v>0.07762686391</v>
      </c>
    </row>
    <row r="19">
      <c r="A19" s="6" t="s">
        <v>14</v>
      </c>
      <c r="B19" s="6">
        <v>0.2</v>
      </c>
      <c r="E19" s="124"/>
      <c r="F19" s="120" t="s">
        <v>111</v>
      </c>
      <c r="G19" s="121">
        <f t="shared" si="1"/>
        <v>0</v>
      </c>
    </row>
    <row r="20">
      <c r="A20" s="6" t="s">
        <v>18</v>
      </c>
      <c r="B20" s="6">
        <v>0.3</v>
      </c>
      <c r="E20" s="28"/>
      <c r="F20" s="120" t="s">
        <v>30</v>
      </c>
      <c r="G20" s="121">
        <f>G16*B17+G17*B18+G18*B19+G19*B20</f>
        <v>0.0269654163</v>
      </c>
    </row>
    <row r="21">
      <c r="E21" s="119" t="s">
        <v>35</v>
      </c>
      <c r="F21" s="120" t="s">
        <v>102</v>
      </c>
      <c r="G21" s="121">
        <f t="shared" ref="G21:G24" si="2">G11/G26</f>
        <v>0.5</v>
      </c>
    </row>
    <row r="22">
      <c r="A22" s="6" t="s">
        <v>5</v>
      </c>
      <c r="B22" s="6">
        <v>0.5</v>
      </c>
      <c r="E22" s="124"/>
      <c r="F22" s="120" t="s">
        <v>105</v>
      </c>
      <c r="G22" s="121">
        <f t="shared" si="2"/>
        <v>0.272880087</v>
      </c>
    </row>
    <row r="23">
      <c r="A23" s="6" t="s">
        <v>9</v>
      </c>
      <c r="B23" s="6">
        <v>0.25</v>
      </c>
      <c r="E23" s="124"/>
      <c r="F23" s="120" t="s">
        <v>108</v>
      </c>
      <c r="G23" s="121">
        <f t="shared" si="2"/>
        <v>0.5776275649</v>
      </c>
    </row>
    <row r="24">
      <c r="A24" s="6" t="s">
        <v>16</v>
      </c>
      <c r="B24" s="6">
        <v>0.5</v>
      </c>
      <c r="E24" s="124"/>
      <c r="F24" s="120" t="s">
        <v>111</v>
      </c>
      <c r="G24" s="121">
        <f t="shared" si="2"/>
        <v>0.5000018693</v>
      </c>
    </row>
    <row r="25">
      <c r="A25" s="6" t="s">
        <v>20</v>
      </c>
      <c r="B25" s="6">
        <v>0.5</v>
      </c>
      <c r="E25" s="28"/>
      <c r="F25" s="120" t="s">
        <v>30</v>
      </c>
      <c r="G25" s="121">
        <f>G21*B17+G22*B18+G23*B19+G24*B20</f>
        <v>1.401966117</v>
      </c>
    </row>
    <row r="26">
      <c r="E26" s="119" t="s">
        <v>33</v>
      </c>
      <c r="F26" s="120" t="s">
        <v>102</v>
      </c>
      <c r="G26" s="121">
        <f>G30*B17</f>
        <v>2.853136</v>
      </c>
    </row>
    <row r="27">
      <c r="A27" s="6" t="s">
        <v>7</v>
      </c>
      <c r="B27" s="6">
        <v>2.0</v>
      </c>
      <c r="E27" s="124"/>
      <c r="F27" s="120" t="s">
        <v>105</v>
      </c>
      <c r="G27" s="121">
        <f>G30*B18</f>
        <v>0.713284</v>
      </c>
    </row>
    <row r="28">
      <c r="A28" s="6" t="s">
        <v>11</v>
      </c>
      <c r="B28" s="6">
        <v>1.0</v>
      </c>
      <c r="E28" s="124"/>
      <c r="F28" s="120" t="s">
        <v>108</v>
      </c>
      <c r="G28" s="121">
        <f>G30*B19</f>
        <v>0.2853136</v>
      </c>
    </row>
    <row r="29">
      <c r="A29" s="6" t="s">
        <v>17</v>
      </c>
      <c r="B29" s="6">
        <v>1.0</v>
      </c>
      <c r="E29" s="124"/>
      <c r="F29" s="120" t="s">
        <v>111</v>
      </c>
      <c r="G29" s="121">
        <f>G30*B20</f>
        <v>0.4279704</v>
      </c>
    </row>
    <row r="30">
      <c r="A30" s="6" t="s">
        <v>21</v>
      </c>
      <c r="B30" s="6">
        <v>2.0</v>
      </c>
      <c r="E30" s="28"/>
      <c r="F30" s="120" t="s">
        <v>30</v>
      </c>
      <c r="G30" s="121">
        <f>G1*B27/(B17*B22)</f>
        <v>1.426568</v>
      </c>
    </row>
  </sheetData>
  <mergeCells count="6">
    <mergeCell ref="E1:E5"/>
    <mergeCell ref="E6:E10"/>
    <mergeCell ref="E11:E15"/>
    <mergeCell ref="E16:E20"/>
    <mergeCell ref="E21:E25"/>
    <mergeCell ref="E26:E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8" t="s">
        <v>138</v>
      </c>
      <c r="B1" s="129" t="s">
        <v>139</v>
      </c>
      <c r="C1" s="105"/>
      <c r="D1" s="105"/>
      <c r="E1" s="105"/>
      <c r="F1" s="106"/>
      <c r="G1" s="129" t="s">
        <v>140</v>
      </c>
      <c r="H1" s="105"/>
      <c r="I1" s="105"/>
      <c r="J1" s="105"/>
      <c r="K1" s="106"/>
    </row>
    <row r="2">
      <c r="A2" s="28"/>
      <c r="B2" s="109" t="s">
        <v>141</v>
      </c>
      <c r="C2" s="109" t="s">
        <v>142</v>
      </c>
      <c r="D2" s="109" t="s">
        <v>143</v>
      </c>
      <c r="E2" s="109" t="s">
        <v>144</v>
      </c>
      <c r="F2" s="109" t="s">
        <v>30</v>
      </c>
      <c r="G2" s="109" t="s">
        <v>141</v>
      </c>
      <c r="H2" s="109" t="s">
        <v>142</v>
      </c>
      <c r="I2" s="109" t="s">
        <v>143</v>
      </c>
      <c r="J2" s="109" t="s">
        <v>144</v>
      </c>
      <c r="K2" s="109" t="s">
        <v>30</v>
      </c>
    </row>
    <row r="3">
      <c r="A3" s="108" t="s">
        <v>31</v>
      </c>
      <c r="B3" s="121">
        <f>'Марковские модели (ЗСеМО)'!$G1</f>
        <v>0.717548</v>
      </c>
      <c r="C3" s="121">
        <f>'Марковские модели (ЗСеМО)'!$G2</f>
        <v>0.179386</v>
      </c>
      <c r="D3" s="121">
        <f>'Марковские модели (ЗСеМО)'!$G3</f>
        <v>0.14351</v>
      </c>
      <c r="E3" s="121">
        <f>'Марковские модели (ЗСеМО)'!$G4</f>
        <v>0.1076325</v>
      </c>
      <c r="F3" s="121">
        <f>'Марковские модели (ЗСеМО)'!$G5</f>
        <v>1.1480765</v>
      </c>
      <c r="G3" s="121">
        <f>'Марковские модели (НЗСеМО)'!$G1</f>
        <v>0.713284</v>
      </c>
      <c r="H3" s="121">
        <f>'Марковские модели (НЗСеМО)'!$G2</f>
        <v>0.178321</v>
      </c>
      <c r="I3" s="121">
        <f>'Марковские модели (НЗСеМО)'!$G3</f>
        <v>0.142657</v>
      </c>
      <c r="J3" s="121">
        <f>'Марковские модели (НЗСеМО)'!$G4</f>
        <v>0.106993</v>
      </c>
      <c r="K3" s="121">
        <f>'Марковские модели (НЗСеМО)'!$G5</f>
        <v>1.141255</v>
      </c>
    </row>
    <row r="4">
      <c r="A4" s="108" t="s">
        <v>32</v>
      </c>
      <c r="B4" s="121">
        <f>'Марковские модели (ЗСеМО)'!$G6</f>
        <v>0</v>
      </c>
      <c r="C4" s="121">
        <f>'Марковские модели (ЗСеМО)'!$G7</f>
        <v>0.016308</v>
      </c>
      <c r="D4" s="121">
        <f>'Марковские модели (ЗСеМО)'!$G8</f>
        <v>0.010437</v>
      </c>
      <c r="E4" s="121">
        <f>'Марковские модели (ЗСеМО)'!$G9</f>
        <v>0</v>
      </c>
      <c r="F4" s="121">
        <f>'Марковские модели (ЗСеМО)'!$G10</f>
        <v>0.026745</v>
      </c>
      <c r="G4" s="121">
        <f>'Марковские модели (НЗСеМО)'!$G6</f>
        <v>0</v>
      </c>
      <c r="H4" s="121">
        <f>'Марковские модели (НЗСеМО)'!$G7</f>
        <v>0.01632</v>
      </c>
      <c r="I4" s="121">
        <f>'Марковские модели (НЗСеМО)'!$G8</f>
        <v>0.022148</v>
      </c>
      <c r="J4" s="121">
        <f>'Марковские модели (НЗСеМО)'!$G9</f>
        <v>0</v>
      </c>
      <c r="K4" s="121">
        <f>'Марковские модели (НЗСеМО)'!$G10</f>
        <v>0.038468</v>
      </c>
    </row>
    <row r="5">
      <c r="A5" s="108" t="s">
        <v>34</v>
      </c>
      <c r="B5" s="121">
        <f>'Марковские модели (ЗСеМО)'!$G11</f>
        <v>1.435096</v>
      </c>
      <c r="C5" s="121">
        <f>'Марковские модели (ЗСеМО)'!$G12</f>
        <v>0.195694</v>
      </c>
      <c r="D5" s="121">
        <f>'Марковские модели (ЗСеМО)'!$G13</f>
        <v>0.153947</v>
      </c>
      <c r="E5" s="121">
        <f>'Марковские модели (ЗСеМО)'!$G14</f>
        <v>0.215265</v>
      </c>
      <c r="F5" s="121">
        <f>'Марковские модели (ЗСеМО)'!$G15</f>
        <v>2.000002</v>
      </c>
      <c r="G5" s="121">
        <f>'Марковские модели (НЗСеМО)'!$G11</f>
        <v>1.426568</v>
      </c>
      <c r="H5" s="121">
        <f>'Марковские модели (НЗСеМО)'!$G12</f>
        <v>0.194641</v>
      </c>
      <c r="I5" s="121">
        <f>'Марковские модели (НЗСеМО)'!$G13</f>
        <v>0.164805</v>
      </c>
      <c r="J5" s="121">
        <f>'Марковские модели (НЗСеМО)'!$G14</f>
        <v>0.213986</v>
      </c>
      <c r="K5" s="121">
        <f>'Марковские модели (НЗСеМО)'!$G15</f>
        <v>2</v>
      </c>
    </row>
    <row r="6">
      <c r="A6" s="108" t="s">
        <v>36</v>
      </c>
      <c r="B6" s="121">
        <f>'Марковские модели (ЗСеМО)'!$G16</f>
        <v>0</v>
      </c>
      <c r="C6" s="121">
        <f>'Марковские модели (ЗСеМО)'!$G17</f>
        <v>0.02272739942</v>
      </c>
      <c r="D6" s="121">
        <f>'Марковские модели (ЗСеМО)'!$G18</f>
        <v>0.03636342098</v>
      </c>
      <c r="E6" s="121">
        <f>'Марковские модели (ЗСеМО)'!$G19</f>
        <v>0</v>
      </c>
      <c r="F6" s="121">
        <f>'Марковские модели (ЗСеМО)'!$G20</f>
        <v>0.01863638391</v>
      </c>
      <c r="G6" s="121">
        <f>'Марковские модели (НЗСеМО)'!$G16</f>
        <v>0</v>
      </c>
      <c r="H6" s="121">
        <f>'Марковские модели (НЗСеМО)'!$G17</f>
        <v>0.02288008703</v>
      </c>
      <c r="I6" s="121">
        <f>'Марковские модели (НЗСеМО)'!$G18</f>
        <v>0.07762686391</v>
      </c>
      <c r="J6" s="121">
        <f>'Марковские модели (НЗСеМО)'!$G19</f>
        <v>0</v>
      </c>
      <c r="K6" s="121">
        <f>'Марковские модели (НЗСеМО)'!$G20</f>
        <v>0.0269654163</v>
      </c>
    </row>
    <row r="7">
      <c r="A7" s="108" t="s">
        <v>35</v>
      </c>
      <c r="B7" s="121">
        <f>'Марковские модели (ЗСеМО)'!$G21</f>
        <v>0.5</v>
      </c>
      <c r="C7" s="121">
        <f>'Марковские модели (ЗСеМО)'!$G22</f>
        <v>0.2727260058</v>
      </c>
      <c r="D7" s="121">
        <f>'Марковские модели (ЗСеМО)'!$G23</f>
        <v>0.5363648146</v>
      </c>
      <c r="E7" s="121">
        <f>'Марковские модели (ЗСеМО)'!$G24</f>
        <v>0.5000013936</v>
      </c>
      <c r="F7" s="121">
        <f>'Марковские модели (ЗСеМО)'!$G25</f>
        <v>1.393636384</v>
      </c>
      <c r="G7" s="121">
        <f>'Марковские модели (НЗСеМО)'!$G21</f>
        <v>0.5</v>
      </c>
      <c r="H7" s="121">
        <f>'Марковские модели (НЗСеМО)'!$G22</f>
        <v>0.272880087</v>
      </c>
      <c r="I7" s="121">
        <f>'Марковские модели (НЗСеМО)'!$G23</f>
        <v>0.5776275649</v>
      </c>
      <c r="J7" s="121">
        <f>'Марковские модели (НЗСеМО)'!$G24</f>
        <v>0.5000018693</v>
      </c>
      <c r="K7" s="121">
        <f>'Марковские модели (НЗСеМО)'!$G25</f>
        <v>1.401966117</v>
      </c>
    </row>
    <row r="8">
      <c r="A8" s="108" t="s">
        <v>33</v>
      </c>
      <c r="B8" s="121">
        <f>'Марковские модели (ЗСеМО)'!$G26</f>
        <v>2.870192</v>
      </c>
      <c r="C8" s="121">
        <f>'Марковские модели (ЗСеМО)'!$G27</f>
        <v>0.717548</v>
      </c>
      <c r="D8" s="121">
        <f>'Марковские модели (ЗСеМО)'!$G28</f>
        <v>0.2870192</v>
      </c>
      <c r="E8" s="121">
        <f>'Марковские модели (ЗСеМО)'!$G29</f>
        <v>0.4305288</v>
      </c>
      <c r="F8" s="121">
        <f>'Марковские модели (ЗСеМО)'!$G30</f>
        <v>1.435096</v>
      </c>
      <c r="G8" s="121">
        <f>'Марковские модели (НЗСеМО)'!$G26</f>
        <v>2.853136</v>
      </c>
      <c r="H8" s="121">
        <f>'Марковские модели (НЗСеМО)'!$G27</f>
        <v>0.713284</v>
      </c>
      <c r="I8" s="121">
        <f>'Марковские модели (НЗСеМО)'!$G28</f>
        <v>0.2853136</v>
      </c>
      <c r="J8" s="121">
        <f>'Марковские модели (НЗСеМО)'!$G29</f>
        <v>0.4279704</v>
      </c>
      <c r="K8" s="121">
        <f>'Марковские модели (НЗСеМО)'!$G30</f>
        <v>1.426568</v>
      </c>
    </row>
  </sheetData>
  <mergeCells count="3">
    <mergeCell ref="A1:A2"/>
    <mergeCell ref="B1:F1"/>
    <mergeCell ref="G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</cols>
  <sheetData>
    <row r="1">
      <c r="A1" s="130" t="s">
        <v>23</v>
      </c>
      <c r="B1" s="131" t="s">
        <v>145</v>
      </c>
      <c r="C1" s="77"/>
      <c r="D1" s="77"/>
      <c r="E1" s="77"/>
      <c r="F1" s="132"/>
      <c r="G1" s="133" t="s">
        <v>146</v>
      </c>
      <c r="H1" s="77"/>
      <c r="I1" s="77"/>
      <c r="J1" s="77"/>
      <c r="K1" s="78"/>
      <c r="M1" s="13" t="s">
        <v>23</v>
      </c>
      <c r="N1" s="13" t="s">
        <v>145</v>
      </c>
      <c r="S1" s="13" t="s">
        <v>146</v>
      </c>
    </row>
    <row r="2">
      <c r="A2" s="134"/>
      <c r="B2" s="135" t="s">
        <v>147</v>
      </c>
      <c r="C2" s="26"/>
      <c r="D2" s="26"/>
      <c r="E2" s="136"/>
      <c r="F2" s="137" t="s">
        <v>30</v>
      </c>
      <c r="G2" s="135" t="s">
        <v>147</v>
      </c>
      <c r="H2" s="26"/>
      <c r="I2" s="26"/>
      <c r="J2" s="136"/>
      <c r="K2" s="138" t="s">
        <v>30</v>
      </c>
      <c r="N2" s="13" t="s">
        <v>147</v>
      </c>
      <c r="S2" s="13" t="s">
        <v>147</v>
      </c>
      <c r="W2" s="6"/>
    </row>
    <row r="3">
      <c r="A3" s="139"/>
      <c r="B3" s="140" t="s">
        <v>141</v>
      </c>
      <c r="C3" s="141" t="s">
        <v>142</v>
      </c>
      <c r="D3" s="141" t="s">
        <v>143</v>
      </c>
      <c r="E3" s="141" t="s">
        <v>144</v>
      </c>
      <c r="F3" s="142"/>
      <c r="G3" s="140" t="s">
        <v>141</v>
      </c>
      <c r="H3" s="141" t="s">
        <v>142</v>
      </c>
      <c r="I3" s="141" t="s">
        <v>143</v>
      </c>
      <c r="J3" s="143" t="s">
        <v>144</v>
      </c>
      <c r="K3" s="142"/>
      <c r="N3" s="13" t="s">
        <v>141</v>
      </c>
      <c r="O3" s="13" t="s">
        <v>142</v>
      </c>
      <c r="P3" s="6" t="s">
        <v>148</v>
      </c>
      <c r="Q3" s="13" t="s">
        <v>144</v>
      </c>
      <c r="R3" s="6" t="s">
        <v>149</v>
      </c>
      <c r="S3" s="13" t="s">
        <v>141</v>
      </c>
      <c r="T3" s="13" t="s">
        <v>142</v>
      </c>
      <c r="U3" s="6" t="s">
        <v>150</v>
      </c>
      <c r="V3" s="13" t="s">
        <v>144</v>
      </c>
      <c r="W3" s="6" t="s">
        <v>151</v>
      </c>
    </row>
    <row r="4">
      <c r="A4" s="144" t="s">
        <v>31</v>
      </c>
      <c r="B4" s="145">
        <v>0.718</v>
      </c>
      <c r="C4" s="146">
        <v>0.179</v>
      </c>
      <c r="D4" s="146">
        <v>0.144</v>
      </c>
      <c r="E4" s="146">
        <v>0.107</v>
      </c>
      <c r="F4" s="147">
        <f>SUM(B4:E4)</f>
        <v>1.148</v>
      </c>
      <c r="G4" s="145">
        <v>0.713</v>
      </c>
      <c r="H4" s="146">
        <v>0.179</v>
      </c>
      <c r="I4" s="146">
        <v>0.143</v>
      </c>
      <c r="J4" s="148">
        <v>0.107</v>
      </c>
      <c r="K4" s="149">
        <f>SUM(G4:J4)</f>
        <v>1.142</v>
      </c>
      <c r="M4" s="13" t="s">
        <v>31</v>
      </c>
      <c r="N4" s="13">
        <v>0.718</v>
      </c>
      <c r="O4" s="13">
        <v>0.179</v>
      </c>
      <c r="P4" s="150">
        <v>0.143</v>
      </c>
      <c r="Q4" s="13">
        <v>0.107</v>
      </c>
      <c r="R4" s="150">
        <v>1.146</v>
      </c>
      <c r="S4" s="13">
        <v>0.713</v>
      </c>
      <c r="T4" s="13">
        <v>0.179</v>
      </c>
      <c r="U4" s="150">
        <v>0.145</v>
      </c>
      <c r="V4" s="13">
        <v>0.107</v>
      </c>
      <c r="W4" s="13">
        <v>1.148</v>
      </c>
    </row>
    <row r="5">
      <c r="A5" s="139"/>
      <c r="B5" s="151">
        <f>(B4-'Расчеты аналитической модели'!B11)/'Расчеты аналитической модели'!B11</f>
        <v>0.0006309090909</v>
      </c>
      <c r="C5" s="152">
        <f>(C4-'Расчеты аналитической модели'!C11)/'Расчеты аналитической модели'!C11</f>
        <v>-0.002156363636</v>
      </c>
      <c r="D5" s="152">
        <f>(D4-'Расчеты аналитической модели'!D11)/'Расчеты аналитической модели'!D11</f>
        <v>0.003418181818</v>
      </c>
      <c r="E5" s="152">
        <f>(E4-'Расчеты аналитической модели'!E11)/'Расчеты аналитической модели'!E11</f>
        <v>-0.005872727273</v>
      </c>
      <c r="F5" s="153">
        <f>(F4-'Расчеты аналитической модели'!F11)/'Расчеты аналитической модели'!F11</f>
        <v>-0.00006590909091</v>
      </c>
      <c r="G5" s="154">
        <f t="shared" ref="G5:K5" si="1">ABS(G4/B4-1)</f>
        <v>0.006963788301</v>
      </c>
      <c r="H5" s="155">
        <f t="shared" si="1"/>
        <v>0</v>
      </c>
      <c r="I5" s="155">
        <f t="shared" si="1"/>
        <v>0.006944444444</v>
      </c>
      <c r="J5" s="155">
        <f t="shared" si="1"/>
        <v>0</v>
      </c>
      <c r="K5" s="156">
        <f t="shared" si="1"/>
        <v>0.005226480836</v>
      </c>
      <c r="M5" s="13" t="s">
        <v>32</v>
      </c>
      <c r="P5" s="150">
        <v>0.039</v>
      </c>
      <c r="R5" s="150">
        <v>1.539</v>
      </c>
      <c r="U5" s="150">
        <v>0.059</v>
      </c>
      <c r="W5" s="13">
        <v>1.6179999999999999</v>
      </c>
    </row>
    <row r="6">
      <c r="A6" s="144" t="s">
        <v>32</v>
      </c>
      <c r="B6" s="145">
        <v>0.0</v>
      </c>
      <c r="C6" s="146">
        <v>0.017</v>
      </c>
      <c r="D6" s="146">
        <v>0.01</v>
      </c>
      <c r="E6" s="146">
        <v>0.0</v>
      </c>
      <c r="F6" s="147">
        <f>SUM(B6:E6)</f>
        <v>0.027</v>
      </c>
      <c r="G6" s="145">
        <v>0.0</v>
      </c>
      <c r="H6" s="146">
        <v>0.016</v>
      </c>
      <c r="I6" s="146">
        <v>0.022</v>
      </c>
      <c r="J6" s="148">
        <v>0.0</v>
      </c>
      <c r="K6" s="149">
        <f>SUM(G6:J6)</f>
        <v>0.038</v>
      </c>
      <c r="M6" s="13" t="s">
        <v>36</v>
      </c>
      <c r="P6" s="150">
        <v>0.054</v>
      </c>
      <c r="R6" s="150">
        <v>1.0734</v>
      </c>
      <c r="U6" s="150">
        <v>0.206</v>
      </c>
      <c r="W6" s="13">
        <v>1.1285</v>
      </c>
    </row>
    <row r="7">
      <c r="A7" s="139"/>
      <c r="B7" s="151">
        <f>IFERROR((B6-'Расчеты аналитической модели'!B12)/'Расчеты аналитической модели'!B12, 0)</f>
        <v>0</v>
      </c>
      <c r="C7" s="152">
        <f>IFERROR((C6-'Расчеты аналитической модели'!C12)/'Расчеты аналитической модели'!C12, 0)</f>
        <v>0.04244</v>
      </c>
      <c r="D7" s="152">
        <f>IFERROR((D6-'Расчеты аналитической модели'!D12)/'Расчеты аналитической модели'!D12, 0)</f>
        <v>-0.041875</v>
      </c>
      <c r="E7" s="152">
        <f>IFERROR((E6-'Расчеты аналитической модели'!E12)/'Расчеты аналитической модели'!E12, 0)</f>
        <v>0</v>
      </c>
      <c r="F7" s="153">
        <f>IFERROR((F6-'Расчеты аналитической модели'!F12)/'Расчеты аналитической модели'!F12, 0)</f>
        <v>0.009536585366</v>
      </c>
      <c r="G7" s="154">
        <f t="shared" ref="G7:K7" si="2">IFERROR(ABS(G6/B6-1),0)</f>
        <v>0</v>
      </c>
      <c r="H7" s="155">
        <f t="shared" si="2"/>
        <v>0.05882352941</v>
      </c>
      <c r="I7" s="155">
        <f t="shared" si="2"/>
        <v>1.2</v>
      </c>
      <c r="J7" s="155">
        <f t="shared" si="2"/>
        <v>0</v>
      </c>
      <c r="K7" s="156">
        <f t="shared" si="2"/>
        <v>0.4074074074</v>
      </c>
      <c r="M7" s="13" t="s">
        <v>35</v>
      </c>
      <c r="P7" s="13">
        <v>0.583</v>
      </c>
      <c r="R7" s="13">
        <v>2.4484000000000004</v>
      </c>
      <c r="U7" s="13">
        <v>0.706</v>
      </c>
      <c r="W7" s="13">
        <v>2.5035</v>
      </c>
    </row>
    <row r="8">
      <c r="A8" s="144" t="s">
        <v>36</v>
      </c>
      <c r="B8" s="145">
        <v>0.0</v>
      </c>
      <c r="C8" s="146">
        <v>0.023</v>
      </c>
      <c r="D8" s="146">
        <v>0.036</v>
      </c>
      <c r="E8" s="146">
        <v>0.0</v>
      </c>
      <c r="F8" s="147">
        <f>B8*B21+C8*B22+D8*B23+E8*B24</f>
        <v>0.0187</v>
      </c>
      <c r="G8" s="145">
        <v>0.0</v>
      </c>
      <c r="H8" s="146">
        <v>0.023</v>
      </c>
      <c r="I8" s="146">
        <v>0.079</v>
      </c>
      <c r="J8" s="148">
        <v>0.0</v>
      </c>
      <c r="K8" s="149">
        <f>G8*B21+H8*B22+I8*B23+J8*B24</f>
        <v>0.0273</v>
      </c>
      <c r="P8" s="6" t="s">
        <v>148</v>
      </c>
      <c r="R8" s="6" t="s">
        <v>149</v>
      </c>
      <c r="U8" s="6" t="s">
        <v>150</v>
      </c>
      <c r="W8" s="6" t="s">
        <v>151</v>
      </c>
    </row>
    <row r="9">
      <c r="A9" s="139"/>
      <c r="B9" s="157">
        <f>IFERROR((B8-'Расчеты аналитической модели'!B14)/'Расчеты аналитической модели'!B14, 0)</f>
        <v>0</v>
      </c>
      <c r="C9" s="158">
        <f>IFERROR((C8-'Расчеты аналитической модели'!C14)/'Расчеты аналитической модели'!C14, 0)</f>
        <v>0.012</v>
      </c>
      <c r="D9" s="158">
        <f>IFERROR((D8-'Расчеты аналитической модели'!D14)/'Расчеты аналитической модели'!D14, 0)</f>
        <v>-0.01</v>
      </c>
      <c r="E9" s="158">
        <f>IFERROR((E8-'Расчеты аналитической модели'!E14)/'Расчеты аналитической модели'!E14, 0)</f>
        <v>0</v>
      </c>
      <c r="F9" s="159">
        <f>IFERROR((F8-'Расчеты аналитической модели'!F14)/'Расчеты аналитической модели'!F14, 0)</f>
        <v>0.003414634146</v>
      </c>
      <c r="G9" s="154">
        <f t="shared" ref="G9:K9" si="3">IFERROR(ABS(G8/B8-1),0)</f>
        <v>0</v>
      </c>
      <c r="H9" s="155">
        <f t="shared" si="3"/>
        <v>0</v>
      </c>
      <c r="I9" s="155">
        <f t="shared" si="3"/>
        <v>1.194444444</v>
      </c>
      <c r="J9" s="155">
        <f t="shared" si="3"/>
        <v>0</v>
      </c>
      <c r="K9" s="156">
        <f t="shared" si="3"/>
        <v>0.4598930481</v>
      </c>
      <c r="P9" s="13">
        <v>0.144</v>
      </c>
      <c r="R9" s="13">
        <v>1.148</v>
      </c>
      <c r="U9" s="13">
        <v>0.143</v>
      </c>
      <c r="W9" s="13">
        <v>1.142</v>
      </c>
    </row>
    <row r="10">
      <c r="A10" s="160" t="s">
        <v>152</v>
      </c>
      <c r="B10" s="161">
        <v>0.0</v>
      </c>
      <c r="C10" s="162">
        <f>CONFIDENCE(0.05,0.101,14433)</f>
        <v>0.001647749389</v>
      </c>
      <c r="D10" s="162">
        <f>CONFIDENCE(0.05,0.188,5727)</f>
        <v>0.004869028864</v>
      </c>
      <c r="E10" s="162">
        <f>1.96*0/SQRT(2)</f>
        <v>0</v>
      </c>
      <c r="F10" s="163">
        <f>MAX(B10:E10)</f>
        <v>0.004869028864</v>
      </c>
      <c r="G10" s="161">
        <v>0.0</v>
      </c>
      <c r="H10" s="162">
        <f>CONFIDENCE(0.05,0.105,14433)</f>
        <v>0.001713006791</v>
      </c>
      <c r="I10" s="162">
        <f>CONFIDENCE(0.05,0.508,5727)</f>
        <v>0.01315673757</v>
      </c>
      <c r="J10" s="164">
        <v>0.0</v>
      </c>
      <c r="K10" s="163">
        <f>AVERAGE(G10:J10)</f>
        <v>0.00371743609</v>
      </c>
      <c r="P10" s="13">
        <v>0.01</v>
      </c>
      <c r="R10" s="13">
        <v>0.027000000000000003</v>
      </c>
      <c r="U10" s="13">
        <v>0.022</v>
      </c>
      <c r="W10" s="13">
        <v>0.038</v>
      </c>
    </row>
    <row r="11">
      <c r="A11" s="144" t="s">
        <v>35</v>
      </c>
      <c r="B11" s="165">
        <f>B8+B16</f>
        <v>0.5</v>
      </c>
      <c r="C11" s="166">
        <f>C8+B17</f>
        <v>0.273</v>
      </c>
      <c r="D11" s="166">
        <f>D8+B18</f>
        <v>0.536</v>
      </c>
      <c r="E11" s="166">
        <f>E8+B19</f>
        <v>0.5</v>
      </c>
      <c r="F11" s="149">
        <f>B11*B21+C11*B22+D11*B23+E11*B24</f>
        <v>1.3937</v>
      </c>
      <c r="G11" s="165">
        <f>G8+B16</f>
        <v>0.5</v>
      </c>
      <c r="H11" s="166">
        <f>H8+B17</f>
        <v>0.273</v>
      </c>
      <c r="I11" s="166">
        <f>I8+B18</f>
        <v>0.579</v>
      </c>
      <c r="J11" s="166">
        <f>J8+B19</f>
        <v>0.5</v>
      </c>
      <c r="K11" s="149">
        <f>G11*B21+H11*B22+I11*B23+J11*B24</f>
        <v>1.4023</v>
      </c>
      <c r="P11" s="13">
        <v>0.036</v>
      </c>
      <c r="R11" s="13">
        <v>0.0187</v>
      </c>
      <c r="U11" s="13">
        <v>0.079</v>
      </c>
      <c r="W11" s="13">
        <v>0.0273</v>
      </c>
    </row>
    <row r="12">
      <c r="A12" s="139"/>
      <c r="B12" s="157">
        <f>IFERROR((B11-'Расчеты аналитической модели'!B15)/'Расчеты аналитической модели'!B15, 0)</f>
        <v>0</v>
      </c>
      <c r="C12" s="158">
        <f>IFERROR((C11-'Расчеты аналитической модели'!C15)/'Расчеты аналитической модели'!C15, 0)</f>
        <v>0.001</v>
      </c>
      <c r="D12" s="158">
        <f>IFERROR((D11-'Расчеты аналитической модели'!D15)/'Расчеты аналитической модели'!D15, 0)</f>
        <v>-0.0006779661017</v>
      </c>
      <c r="E12" s="158">
        <f>IFERROR((E11-'Расчеты аналитической модели'!E15)/'Расчеты аналитической модели'!E15, 0)</f>
        <v>0</v>
      </c>
      <c r="F12" s="159">
        <f>IFERROR((F11-'Расчеты аналитической модели'!F15)/'Расчеты аналитической модели'!F15, 0)</f>
        <v>0.00004566210046</v>
      </c>
      <c r="G12" s="167">
        <f t="shared" ref="G12:K12" si="4">IFERROR(ABS(G11/B11-1),0)</f>
        <v>0</v>
      </c>
      <c r="H12" s="168">
        <f t="shared" si="4"/>
        <v>0</v>
      </c>
      <c r="I12" s="168">
        <f t="shared" si="4"/>
        <v>0.0802238806</v>
      </c>
      <c r="J12" s="168">
        <f t="shared" si="4"/>
        <v>0</v>
      </c>
      <c r="K12" s="169">
        <f t="shared" si="4"/>
        <v>0.006170624955</v>
      </c>
      <c r="P12" s="13">
        <v>0.536</v>
      </c>
      <c r="R12" s="13">
        <v>1.3937</v>
      </c>
      <c r="U12" s="13">
        <v>0.579</v>
      </c>
      <c r="W12" s="13">
        <v>1.4022999999999999</v>
      </c>
    </row>
    <row r="13">
      <c r="A13" s="170" t="s">
        <v>152</v>
      </c>
      <c r="B13" s="161">
        <f>CONFIDENCE(0.05,B11/2,57430)</f>
        <v>0.002044648658</v>
      </c>
      <c r="C13" s="162">
        <f>CONFIDENCE(0.05,C11/2,14433)</f>
        <v>0.002226908828</v>
      </c>
      <c r="D13" s="162">
        <f>CONFIDENCE(0.05,D11/2,5727)</f>
        <v>0.00694095604</v>
      </c>
      <c r="E13" s="164">
        <f>CONFIDENCE(0.05,E11/2,8534)</f>
        <v>0.005304100945</v>
      </c>
      <c r="F13" s="163">
        <f>AVERAGE(B13:E13)</f>
        <v>0.004129153618</v>
      </c>
      <c r="G13" s="161">
        <f t="shared" ref="G13:J13" si="5">CONFIDENCE(0.05,G11/2,8534)</f>
        <v>0.005304100945</v>
      </c>
      <c r="H13" s="164">
        <f t="shared" si="5"/>
        <v>0.002896039116</v>
      </c>
      <c r="I13" s="164">
        <f t="shared" si="5"/>
        <v>0.006142148895</v>
      </c>
      <c r="J13" s="164">
        <f t="shared" si="5"/>
        <v>0.005304100945</v>
      </c>
      <c r="K13" s="163">
        <f>AVERAGE(G13:J13)</f>
        <v>0.004911597475</v>
      </c>
    </row>
    <row r="16">
      <c r="A16" s="6" t="s">
        <v>5</v>
      </c>
      <c r="B16" s="6">
        <v>0.5</v>
      </c>
    </row>
    <row r="17">
      <c r="A17" s="6" t="s">
        <v>9</v>
      </c>
      <c r="B17" s="6">
        <v>0.25</v>
      </c>
    </row>
    <row r="18">
      <c r="A18" s="6" t="s">
        <v>16</v>
      </c>
      <c r="B18" s="6">
        <v>0.5</v>
      </c>
    </row>
    <row r="19">
      <c r="A19" s="6" t="s">
        <v>20</v>
      </c>
      <c r="B19" s="6">
        <v>0.5</v>
      </c>
    </row>
    <row r="21">
      <c r="A21" s="6" t="s">
        <v>3</v>
      </c>
      <c r="B21" s="171" t="s">
        <v>4</v>
      </c>
    </row>
    <row r="22">
      <c r="A22" s="6" t="s">
        <v>8</v>
      </c>
      <c r="B22" s="171" t="s">
        <v>6</v>
      </c>
    </row>
    <row r="23">
      <c r="A23" s="6" t="s">
        <v>14</v>
      </c>
      <c r="B23" s="171" t="s">
        <v>15</v>
      </c>
    </row>
    <row r="24">
      <c r="A24" s="6" t="s">
        <v>18</v>
      </c>
      <c r="B24" s="171" t="s">
        <v>19</v>
      </c>
    </row>
    <row r="27">
      <c r="A27" s="130" t="s">
        <v>23</v>
      </c>
      <c r="B27" s="131" t="s">
        <v>153</v>
      </c>
      <c r="C27" s="77"/>
      <c r="D27" s="77"/>
      <c r="E27" s="77"/>
      <c r="F27" s="132"/>
      <c r="G27" s="133" t="s">
        <v>154</v>
      </c>
      <c r="H27" s="77"/>
      <c r="I27" s="77"/>
      <c r="J27" s="77"/>
      <c r="K27" s="78"/>
    </row>
    <row r="28">
      <c r="A28" s="134"/>
      <c r="B28" s="135" t="s">
        <v>147</v>
      </c>
      <c r="C28" s="26"/>
      <c r="D28" s="26"/>
      <c r="E28" s="136"/>
      <c r="F28" s="137" t="s">
        <v>30</v>
      </c>
      <c r="G28" s="135" t="s">
        <v>147</v>
      </c>
      <c r="H28" s="26"/>
      <c r="I28" s="26"/>
      <c r="J28" s="136"/>
      <c r="K28" s="138" t="s">
        <v>30</v>
      </c>
    </row>
    <row r="29">
      <c r="A29" s="139"/>
      <c r="B29" s="140" t="s">
        <v>141</v>
      </c>
      <c r="C29" s="141" t="s">
        <v>142</v>
      </c>
      <c r="D29" s="141" t="s">
        <v>143</v>
      </c>
      <c r="E29" s="141" t="s">
        <v>144</v>
      </c>
      <c r="F29" s="142"/>
      <c r="G29" s="140" t="s">
        <v>141</v>
      </c>
      <c r="H29" s="141" t="s">
        <v>142</v>
      </c>
      <c r="I29" s="141" t="s">
        <v>143</v>
      </c>
      <c r="J29" s="143" t="s">
        <v>144</v>
      </c>
      <c r="K29" s="142"/>
    </row>
    <row r="30">
      <c r="A30" s="144" t="s">
        <v>31</v>
      </c>
      <c r="B30" s="145">
        <v>0.716</v>
      </c>
      <c r="C30" s="146">
        <v>0.18</v>
      </c>
      <c r="D30" s="146">
        <v>0.143</v>
      </c>
      <c r="E30" s="146">
        <v>0.107</v>
      </c>
      <c r="F30" s="147">
        <f>SUM(B30:E30)</f>
        <v>1.146</v>
      </c>
      <c r="G30" s="145">
        <v>0.717</v>
      </c>
      <c r="H30" s="146">
        <v>0.179</v>
      </c>
      <c r="I30" s="146">
        <v>0.145</v>
      </c>
      <c r="J30" s="148">
        <v>0.107</v>
      </c>
      <c r="K30" s="149">
        <f>SUM(G30:J30)</f>
        <v>1.148</v>
      </c>
    </row>
    <row r="31">
      <c r="A31" s="139"/>
      <c r="B31" s="151">
        <f>(B30-'Расчеты аналитической модели'!I11)/'Расчеты аналитической модели'!I11</f>
        <v>-0.002156363636</v>
      </c>
      <c r="C31" s="152">
        <f>(C30-'Расчеты аналитической модели'!J11)/'Расчеты аналитической модели'!J11</f>
        <v>0.003418181818</v>
      </c>
      <c r="D31" s="152">
        <f>(D30-'Расчеты аналитической модели'!K11)/'Расчеты аналитической модели'!K11</f>
        <v>-0.00355</v>
      </c>
      <c r="E31" s="152">
        <f>(E30-'Расчеты аналитической модели'!L11)/'Расчеты аналитической модели'!L11</f>
        <v>-0.005872727273</v>
      </c>
      <c r="F31" s="172">
        <f>(F30-'Расчеты аналитической модели'!M11)/'Расчеты аналитической модели'!M11</f>
        <v>-0.001807954545</v>
      </c>
      <c r="G31" s="154">
        <f t="shared" ref="G31:K31" si="6">ABS(G30/B30-1)</f>
        <v>0.001396648045</v>
      </c>
      <c r="H31" s="155">
        <f t="shared" si="6"/>
        <v>0.005555555556</v>
      </c>
      <c r="I31" s="155">
        <f t="shared" si="6"/>
        <v>0.01398601399</v>
      </c>
      <c r="J31" s="155">
        <f t="shared" si="6"/>
        <v>0</v>
      </c>
      <c r="K31" s="156">
        <f t="shared" si="6"/>
        <v>0.001745200698</v>
      </c>
    </row>
    <row r="32">
      <c r="A32" s="144" t="s">
        <v>32</v>
      </c>
      <c r="B32" s="145">
        <v>1.473</v>
      </c>
      <c r="C32" s="146">
        <v>0.039</v>
      </c>
      <c r="D32" s="146">
        <v>0.024</v>
      </c>
      <c r="E32" s="146">
        <v>0.003</v>
      </c>
      <c r="F32" s="147">
        <f>SUM(B32:E32)</f>
        <v>1.539</v>
      </c>
      <c r="G32" s="145">
        <v>1.518</v>
      </c>
      <c r="H32" s="146">
        <v>0.039</v>
      </c>
      <c r="I32" s="146">
        <v>0.059</v>
      </c>
      <c r="J32" s="148">
        <v>0.002</v>
      </c>
      <c r="K32" s="149">
        <f>SUM(G32:J32)</f>
        <v>1.618</v>
      </c>
    </row>
    <row r="33">
      <c r="A33" s="139"/>
      <c r="B33" s="151">
        <f>IFERROR((B32-'Расчеты аналитической модели'!I12)/'Расчеты аналитической модели'!I12, 0)</f>
        <v>-0.03020465684</v>
      </c>
      <c r="C33" s="152">
        <f>IFERROR((C32-'Расчеты аналитической модели'!J12)/'Расчеты аналитической модели'!J12, 0)</f>
        <v>-0.00546054876</v>
      </c>
      <c r="D33" s="152">
        <f>IFERROR((D32-'Расчеты аналитической модели'!K12)/'Расчеты аналитической модели'!K12, 0)</f>
        <v>-0.001902975207</v>
      </c>
      <c r="E33" s="152">
        <f>IFERROR((E32-'Расчеты аналитической модели'!L12)/'Расчеты аналитической модели'!L12, 0)</f>
        <v>0.1513970248</v>
      </c>
      <c r="F33" s="172">
        <f>IFERROR((F32-'Расчеты аналитической модели'!M12)/'Расчеты аналитической модели'!M12, 0)</f>
        <v>-0.02886436169</v>
      </c>
      <c r="G33" s="154">
        <f t="shared" ref="G33:J33" si="7">ABS(G32/B32-1)</f>
        <v>0.03054989817</v>
      </c>
      <c r="H33" s="155">
        <f t="shared" si="7"/>
        <v>0</v>
      </c>
      <c r="I33" s="155">
        <f t="shared" si="7"/>
        <v>1.458333333</v>
      </c>
      <c r="J33" s="155">
        <f t="shared" si="7"/>
        <v>0.3333333333</v>
      </c>
      <c r="K33" s="156">
        <f>IFERROR(ABS(K32/F32-1),0)</f>
        <v>0.05133203379</v>
      </c>
    </row>
    <row r="34">
      <c r="A34" s="144" t="s">
        <v>36</v>
      </c>
      <c r="B34" s="145">
        <v>0.514</v>
      </c>
      <c r="C34" s="146">
        <v>0.054</v>
      </c>
      <c r="D34" s="146">
        <v>0.083</v>
      </c>
      <c r="E34" s="146">
        <v>0.006</v>
      </c>
      <c r="F34" s="147">
        <f>B34*B21+C34*B22+D34*B23+E34*B24</f>
        <v>1.0734</v>
      </c>
      <c r="G34" s="145">
        <v>0.529</v>
      </c>
      <c r="H34" s="146">
        <v>0.055</v>
      </c>
      <c r="I34" s="146">
        <v>0.206</v>
      </c>
      <c r="J34" s="148">
        <v>0.006</v>
      </c>
      <c r="K34" s="149">
        <f>G34*B21+H34*B22+I34*B23+J34*B24</f>
        <v>1.1285</v>
      </c>
    </row>
    <row r="35">
      <c r="A35" s="139"/>
      <c r="B35" s="157">
        <f>IFERROR((B34-'Расчеты аналитической модели'!I14)/'Расчеты аналитической модели'!I14, 0)</f>
        <v>-0.02870536892</v>
      </c>
      <c r="C35" s="158">
        <f>IFERROR((C34-'Расчеты аналитической модели'!J14)/'Расчеты аналитической модели'!J14, 0)</f>
        <v>-0.01189818182</v>
      </c>
      <c r="D35" s="158">
        <f>IFERROR((D34-'Расчеты аналитической модели'!K14)/'Расчеты аналитической модели'!K14, 0)</f>
        <v>-0.009281818182</v>
      </c>
      <c r="E35" s="158">
        <f>IFERROR((E34-'Расчеты аналитической модели'!L14)/'Расчеты аналитической модели'!L14, 0)</f>
        <v>-0.008581818182</v>
      </c>
      <c r="F35" s="173">
        <f>IFERROR((F34-'Расчеты аналитической модели'!M14)/'Расчеты аналитической модели'!M14, 0)</f>
        <v>-0.02796167353</v>
      </c>
      <c r="G35" s="167">
        <f t="shared" ref="G35:J35" si="8">ABS(G34/B34-1)</f>
        <v>0.02918287938</v>
      </c>
      <c r="H35" s="168">
        <f t="shared" si="8"/>
        <v>0.01851851852</v>
      </c>
      <c r="I35" s="168">
        <f t="shared" si="8"/>
        <v>1.481927711</v>
      </c>
      <c r="J35" s="168">
        <f t="shared" si="8"/>
        <v>0</v>
      </c>
      <c r="K35" s="169">
        <f>IFERROR(ABS(K34/F34-1),0)</f>
        <v>0.05133221539</v>
      </c>
    </row>
    <row r="36">
      <c r="A36" s="160" t="s">
        <v>152</v>
      </c>
      <c r="B36" s="161">
        <f>CONFIDENCE(0.05,0.781,1000)</f>
        <v>0.04840599206</v>
      </c>
      <c r="C36" s="164">
        <f>CONFIDENCE(0.05,0.173,1000)</f>
        <v>0.01072245407</v>
      </c>
      <c r="D36" s="164">
        <f>CONFIDENCE(0.05,0.301,1000)</f>
        <v>0.01865583049</v>
      </c>
      <c r="E36" s="164">
        <f>CONFIDENCE(0.05,0.058,1000)</f>
        <v>0.00359481119</v>
      </c>
      <c r="F36" s="163">
        <f>MAX(B36:E36)/2</f>
        <v>0.02420299603</v>
      </c>
      <c r="G36" s="161">
        <f>CONFIDENCE(0.05,0.809,1000)</f>
        <v>0.05014141815</v>
      </c>
      <c r="H36" s="162">
        <f>CONFIDENCE(0.05,0.174,1000)</f>
        <v>0.01078443357</v>
      </c>
      <c r="I36" s="162">
        <f>CONFIDENCE(0.05,0.828,1000)</f>
        <v>0.05131902872</v>
      </c>
      <c r="J36" s="164">
        <f>CONFIDENCE(0.05,0.055,1000)</f>
        <v>0.00340887268</v>
      </c>
      <c r="K36" s="163">
        <f>AVERAGE(G36:J36)</f>
        <v>0.02891343828</v>
      </c>
    </row>
    <row r="37">
      <c r="A37" s="144" t="s">
        <v>35</v>
      </c>
      <c r="B37" s="165">
        <f>B34+B16</f>
        <v>1.014</v>
      </c>
      <c r="C37" s="166">
        <f>C34+B17</f>
        <v>0.304</v>
      </c>
      <c r="D37" s="166">
        <f>D34+B18</f>
        <v>0.583</v>
      </c>
      <c r="E37" s="166">
        <f>E34+B19</f>
        <v>0.506</v>
      </c>
      <c r="F37" s="149">
        <f>B37*B21+C37*B22+D37*B23+E37*B24</f>
        <v>2.4484</v>
      </c>
      <c r="G37" s="165">
        <f>G34+B16</f>
        <v>1.029</v>
      </c>
      <c r="H37" s="166">
        <f>H34+B17</f>
        <v>0.305</v>
      </c>
      <c r="I37" s="166">
        <f>I34+B18</f>
        <v>0.706</v>
      </c>
      <c r="J37" s="166">
        <f>J34+B19</f>
        <v>0.506</v>
      </c>
      <c r="K37" s="149">
        <f>G37*B21+H37*B22+I37*B23+J37*B24</f>
        <v>2.5035</v>
      </c>
    </row>
    <row r="38">
      <c r="A38" s="139"/>
      <c r="B38" s="157">
        <f>IFERROR((B37-'Расчеты аналитической модели'!I15)/'Расчеты аналитической модели'!I15, 0)</f>
        <v>-0.01475976517</v>
      </c>
      <c r="C38" s="158">
        <f>IFERROR((C37-'Расчеты аналитической модели'!J15)/'Расчеты аналитической модели'!J15, 0)</f>
        <v>-0.002134377038</v>
      </c>
      <c r="D38" s="158">
        <f>IFERROR((D37-'Расчеты аналитической модели'!K15)/'Расчеты аналитической модели'!K15, 0)</f>
        <v>-0.001332028702</v>
      </c>
      <c r="E38" s="158">
        <f>IFERROR((E37-'Расчеты аналитической модели'!L15)/'Расчеты аналитической модели'!L15, 0)</f>
        <v>-0.0001026310067</v>
      </c>
      <c r="F38" s="173">
        <f>IFERROR((F37-'Расчеты аналитической модели'!M15)/'Расчеты аналитической модели'!M15, 0)</f>
        <v>-0.01245421139</v>
      </c>
      <c r="G38" s="167">
        <f t="shared" ref="G38:J38" si="9">ABS(G37/B37-1)</f>
        <v>0.01479289941</v>
      </c>
      <c r="H38" s="168">
        <f t="shared" si="9"/>
        <v>0.003289473684</v>
      </c>
      <c r="I38" s="168">
        <f t="shared" si="9"/>
        <v>0.2109777015</v>
      </c>
      <c r="J38" s="168">
        <f t="shared" si="9"/>
        <v>0</v>
      </c>
      <c r="K38" s="169">
        <f>IFERROR(ABS(K37/F37-1),0)</f>
        <v>0.02250449273</v>
      </c>
    </row>
    <row r="39">
      <c r="A39" s="170" t="s">
        <v>152</v>
      </c>
      <c r="B39" s="161">
        <f t="shared" ref="B39:E39" si="10">CONFIDENCE(0.05,B37/2,5000)</f>
        <v>0.01405306479</v>
      </c>
      <c r="C39" s="164">
        <f t="shared" si="10"/>
        <v>0.004213147629</v>
      </c>
      <c r="D39" s="164">
        <f t="shared" si="10"/>
        <v>0.008079819302</v>
      </c>
      <c r="E39" s="164">
        <f t="shared" si="10"/>
        <v>0.007012673357</v>
      </c>
      <c r="F39" s="163">
        <f>MAX(B39:E39)</f>
        <v>0.01405306479</v>
      </c>
      <c r="G39" s="161">
        <f t="shared" ref="G39:J39" si="11">CONFIDENCE(0.05,G37/2,5000)</f>
        <v>0.01426095036</v>
      </c>
      <c r="H39" s="164">
        <f t="shared" si="11"/>
        <v>0.004227006668</v>
      </c>
      <c r="I39" s="164">
        <f t="shared" si="11"/>
        <v>0.009784481008</v>
      </c>
      <c r="J39" s="164">
        <f t="shared" si="11"/>
        <v>0.007012673357</v>
      </c>
      <c r="K39" s="163">
        <f>AVERAGE(G39:J39)</f>
        <v>0.008821277849</v>
      </c>
    </row>
  </sheetData>
  <mergeCells count="27">
    <mergeCell ref="N1:R1"/>
    <mergeCell ref="N2:Q2"/>
    <mergeCell ref="A1:A3"/>
    <mergeCell ref="B1:F1"/>
    <mergeCell ref="G1:K1"/>
    <mergeCell ref="M1:M3"/>
    <mergeCell ref="S1:W1"/>
    <mergeCell ref="F2:F3"/>
    <mergeCell ref="K2:K3"/>
    <mergeCell ref="S2:V2"/>
    <mergeCell ref="B27:F27"/>
    <mergeCell ref="G27:K27"/>
    <mergeCell ref="B28:E28"/>
    <mergeCell ref="F28:F29"/>
    <mergeCell ref="K28:K29"/>
    <mergeCell ref="A27:A29"/>
    <mergeCell ref="A30:A31"/>
    <mergeCell ref="A32:A33"/>
    <mergeCell ref="A34:A35"/>
    <mergeCell ref="A37:A38"/>
    <mergeCell ref="B2:E2"/>
    <mergeCell ref="G2:J2"/>
    <mergeCell ref="A4:A5"/>
    <mergeCell ref="A6:A7"/>
    <mergeCell ref="A8:A9"/>
    <mergeCell ref="A11:A12"/>
    <mergeCell ref="G28:J28"/>
  </mergeCells>
  <drawing r:id="rId1"/>
</worksheet>
</file>