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K:\AGM USUARIOS\SHIRLY MARRUGO\MUNICIPIOS\Clemencia\"/>
    </mc:Choice>
  </mc:AlternateContent>
  <xr:revisionPtr revIDLastSave="0" documentId="13_ncr:1_{58D1214D-53D4-4CEA-9763-B9072787D42D}" xr6:coauthVersionLast="47" xr6:coauthVersionMax="47" xr10:uidLastSave="{00000000-0000-0000-0000-000000000000}"/>
  <bookViews>
    <workbookView xWindow="20370" yWindow="-120" windowWidth="29040" windowHeight="15840" tabRatio="714" xr2:uid="{00000000-000D-0000-FFFF-FFFF00000000}"/>
  </bookViews>
  <sheets>
    <sheet name="DATOS ENTRADA" sheetId="4" r:id="rId1"/>
    <sheet name="FC-30" sheetId="26" r:id="rId2"/>
    <sheet name="INGRESOS" sheetId="40" r:id="rId3"/>
    <sheet name="UCAP" sheetId="35" r:id="rId4"/>
    <sheet name="CENSO ACTUAL" sheetId="14" r:id="rId5"/>
    <sheet name="CENSO FUTURO " sheetId="16" r:id="rId6"/>
    <sheet name="CINV" sheetId="5" r:id="rId7"/>
    <sheet name="CAOM Lum_Act" sheetId="7" r:id="rId8"/>
    <sheet name="CAOM Lum_Fut" sheetId="41" r:id="rId9"/>
    <sheet name="CAOM Infraestructura" sheetId="42" r:id="rId10"/>
    <sheet name="INDICE DISPO." sheetId="6" state="hidden" r:id="rId11"/>
    <sheet name="DATOS FLUJO REAL" sheetId="37" state="hidden" r:id="rId12"/>
    <sheet name="Tiempo" sheetId="38" r:id="rId13"/>
  </sheets>
  <externalReferences>
    <externalReference r:id="rId14"/>
  </externalReferences>
  <definedNames>
    <definedName name="_xlnm._FilterDatabase" localSheetId="9" hidden="1">'CAOM Infraestructura'!$A$3:$E$50</definedName>
    <definedName name="_xlnm._FilterDatabase" localSheetId="7" hidden="1">'CAOM Lum_Act'!$A$3:$E$43</definedName>
    <definedName name="_xlnm._FilterDatabase" localSheetId="8" hidden="1">'CAOM Lum_Fut'!$A$3:$E$43</definedName>
    <definedName name="_xlnm._FilterDatabase" localSheetId="6" hidden="1">CINV!$A$3:$P$43</definedName>
    <definedName name="_xlnm.Print_Area" localSheetId="9">'CAOM Infraestructura'!$A$1:$E$53</definedName>
    <definedName name="_xlnm.Print_Area" localSheetId="7">'CAOM Lum_Act'!$A$1:$E$53</definedName>
    <definedName name="_xlnm.Print_Area" localSheetId="8">'CAOM Lum_Fut'!$A$1:$E$53</definedName>
    <definedName name="_xlnm.Print_Area" localSheetId="6">CINV!$B$1:$P$49</definedName>
    <definedName name="_xlnm.Print_Area" localSheetId="1">'FC-30'!$A$1:$GG$52</definedName>
    <definedName name="_xlnm.Print_Area" localSheetId="3">UCAP!$A$1:$O$44</definedName>
    <definedName name="_xlnm.Print_Titles" localSheetId="7">'CAOM Lum_Act'!$1:$3</definedName>
    <definedName name="_xlnm.Print_Titles" localSheetId="1">'FC-30'!$A:$A,'FC-30'!$1:$1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26" l="1"/>
  <c r="C31" i="26"/>
  <c r="C12" i="26"/>
  <c r="C15" i="26"/>
  <c r="BE29" i="26"/>
  <c r="BF29" i="26" s="1"/>
  <c r="BG29" i="26" s="1"/>
  <c r="AR29" i="26"/>
  <c r="AS29" i="26" s="1"/>
  <c r="AT29" i="26" s="1"/>
  <c r="AU29" i="26" s="1"/>
  <c r="AV29" i="26" s="1"/>
  <c r="AW29" i="26" s="1"/>
  <c r="AX29" i="26" s="1"/>
  <c r="AY29" i="26" s="1"/>
  <c r="AZ29" i="26" s="1"/>
  <c r="BA29" i="26" s="1"/>
  <c r="AE29" i="26"/>
  <c r="AF29" i="26"/>
  <c r="AG29" i="26"/>
  <c r="AH29" i="26" s="1"/>
  <c r="AI29" i="26" s="1"/>
  <c r="AJ29" i="26" s="1"/>
  <c r="AK29" i="26" s="1"/>
  <c r="AL29" i="26" s="1"/>
  <c r="AM29" i="26" s="1"/>
  <c r="AN29" i="26" s="1"/>
  <c r="R29" i="26"/>
  <c r="S29" i="26" s="1"/>
  <c r="T29" i="26" s="1"/>
  <c r="U29" i="26" s="1"/>
  <c r="V29" i="26" s="1"/>
  <c r="W29" i="26" s="1"/>
  <c r="X29" i="26" s="1"/>
  <c r="Y29" i="26" s="1"/>
  <c r="Z29" i="26" s="1"/>
  <c r="AA29" i="26" s="1"/>
  <c r="I29" i="26"/>
  <c r="J29" i="26" s="1"/>
  <c r="K29" i="26" s="1"/>
  <c r="L29" i="26" s="1"/>
  <c r="M29" i="26" s="1"/>
  <c r="N29" i="26" s="1"/>
  <c r="C29" i="26"/>
  <c r="E47" i="42" l="1"/>
  <c r="E3" i="16"/>
  <c r="M29" i="5"/>
  <c r="M32" i="5"/>
  <c r="M34" i="5"/>
  <c r="M39" i="5"/>
  <c r="M40" i="5"/>
  <c r="M42" i="5"/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27" i="42"/>
  <c r="E50" i="41"/>
  <c r="C22" i="41"/>
  <c r="C23" i="41"/>
  <c r="C24" i="41"/>
  <c r="C25" i="41"/>
  <c r="C26" i="41"/>
  <c r="C21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A38" i="41"/>
  <c r="A39" i="41"/>
  <c r="A40" i="41"/>
  <c r="A41" i="41"/>
  <c r="A42" i="41"/>
  <c r="A43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B21" i="5"/>
  <c r="C41" i="5"/>
  <c r="C38" i="5"/>
  <c r="C37" i="5"/>
  <c r="C35" i="5"/>
  <c r="E43" i="35"/>
  <c r="E42" i="35"/>
  <c r="E41" i="35"/>
  <c r="E40" i="35"/>
  <c r="E39" i="35"/>
  <c r="E38" i="35"/>
  <c r="E36" i="35"/>
  <c r="E35" i="3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F11" i="16"/>
  <c r="P22" i="26" s="1"/>
  <c r="D9" i="16"/>
  <c r="E8" i="16"/>
  <c r="F8" i="16" s="1"/>
  <c r="E7" i="16"/>
  <c r="F7" i="16" s="1"/>
  <c r="E6" i="16"/>
  <c r="F6" i="16" s="1"/>
  <c r="E5" i="16"/>
  <c r="F5" i="16" s="1"/>
  <c r="E4" i="16"/>
  <c r="F4" i="16" s="1"/>
  <c r="D14" i="14"/>
  <c r="E9" i="16" l="1"/>
  <c r="F3" i="16"/>
  <c r="F9" i="16" s="1"/>
  <c r="F14" i="16" l="1"/>
  <c r="F15" i="16" s="1"/>
  <c r="E13" i="14" l="1"/>
  <c r="F13" i="14" s="1"/>
  <c r="E12" i="14"/>
  <c r="F12" i="14" s="1"/>
  <c r="E11" i="14"/>
  <c r="F11" i="14" s="1"/>
  <c r="E10" i="14"/>
  <c r="F10" i="14" s="1"/>
  <c r="E9" i="14"/>
  <c r="F9" i="14" s="1"/>
  <c r="C8" i="14"/>
  <c r="E8" i="14" s="1"/>
  <c r="F8" i="14" s="1"/>
  <c r="F7" i="14"/>
  <c r="E7" i="14"/>
  <c r="E6" i="14"/>
  <c r="F6" i="14" s="1"/>
  <c r="E5" i="14"/>
  <c r="F5" i="14" s="1"/>
  <c r="C4" i="14"/>
  <c r="E4" i="14" s="1"/>
  <c r="F4" i="14" s="1"/>
  <c r="C3" i="14"/>
  <c r="E3" i="14" s="1"/>
  <c r="BC16" i="26"/>
  <c r="BD16" i="26" s="1"/>
  <c r="BE16" i="26" s="1"/>
  <c r="BF16" i="26" s="1"/>
  <c r="BG16" i="26" s="1"/>
  <c r="AP16" i="26"/>
  <c r="AQ16" i="26" s="1"/>
  <c r="AR16" i="26" s="1"/>
  <c r="AS16" i="26" s="1"/>
  <c r="AT16" i="26" s="1"/>
  <c r="AU16" i="26" s="1"/>
  <c r="AV16" i="26" s="1"/>
  <c r="AW16" i="26" s="1"/>
  <c r="AX16" i="26" s="1"/>
  <c r="AY16" i="26" s="1"/>
  <c r="AZ16" i="26" s="1"/>
  <c r="BA16" i="26" s="1"/>
  <c r="AC16" i="26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T16" i="26"/>
  <c r="U16" i="26" s="1"/>
  <c r="V16" i="26" s="1"/>
  <c r="W16" i="26" s="1"/>
  <c r="X16" i="26" s="1"/>
  <c r="Y16" i="26" s="1"/>
  <c r="Z16" i="26" s="1"/>
  <c r="AA16" i="26" s="1"/>
  <c r="S16" i="26"/>
  <c r="R16" i="26"/>
  <c r="E16" i="26"/>
  <c r="C16" i="26"/>
  <c r="D16" i="26" s="1"/>
  <c r="D15" i="26"/>
  <c r="K6" i="40"/>
  <c r="J6" i="40"/>
  <c r="I6" i="40"/>
  <c r="H6" i="40"/>
  <c r="E6" i="40"/>
  <c r="D6" i="40"/>
  <c r="C6" i="40"/>
  <c r="B6" i="40"/>
  <c r="E14" i="14" l="1"/>
  <c r="F3" i="14"/>
  <c r="F14" i="14" s="1"/>
  <c r="F16" i="14" s="1"/>
  <c r="C22" i="26" s="1"/>
  <c r="C23" i="26" s="1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I41" i="5"/>
  <c r="I40" i="5"/>
  <c r="I38" i="5"/>
  <c r="I36" i="5"/>
  <c r="I30" i="5"/>
  <c r="I28" i="5"/>
  <c r="A28" i="5"/>
  <c r="I21" i="5" l="1"/>
  <c r="A20" i="5"/>
  <c r="A21" i="5"/>
  <c r="E47" i="7" l="1"/>
  <c r="E49" i="7"/>
  <c r="D29" i="26" l="1"/>
  <c r="GB16" i="26"/>
  <c r="FO16" i="26"/>
  <c r="FB16" i="26"/>
  <c r="EO16" i="26"/>
  <c r="EB16" i="26"/>
  <c r="DO16" i="26"/>
  <c r="DB16" i="26"/>
  <c r="CO16" i="26"/>
  <c r="CB16" i="26"/>
  <c r="BO16" i="26"/>
  <c r="BB16" i="26"/>
  <c r="AO16" i="26"/>
  <c r="AB16" i="26"/>
  <c r="L4" i="35" l="1"/>
  <c r="N4" i="35"/>
  <c r="M4" i="35"/>
  <c r="K4" i="35"/>
  <c r="J4" i="35"/>
  <c r="I4" i="35"/>
  <c r="I5" i="35" s="1"/>
  <c r="B4" i="42"/>
  <c r="A4" i="42"/>
  <c r="E49" i="41"/>
  <c r="E47" i="41"/>
  <c r="B4" i="41"/>
  <c r="A4" i="41"/>
  <c r="B4" i="7"/>
  <c r="A4" i="7"/>
  <c r="O4" i="5"/>
  <c r="K1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2" i="5"/>
  <c r="I23" i="5"/>
  <c r="I24" i="5"/>
  <c r="I25" i="5"/>
  <c r="I26" i="5"/>
  <c r="I27" i="5"/>
  <c r="I29" i="5"/>
  <c r="I31" i="5"/>
  <c r="I32" i="5"/>
  <c r="I33" i="5"/>
  <c r="I34" i="5"/>
  <c r="I35" i="5"/>
  <c r="I37" i="5"/>
  <c r="I39" i="5"/>
  <c r="I42" i="5"/>
  <c r="I43" i="5"/>
  <c r="I4" i="5"/>
  <c r="M14" i="5" l="1"/>
  <c r="N14" i="5" s="1"/>
  <c r="P14" i="5" s="1"/>
  <c r="K16" i="5"/>
  <c r="K6" i="5"/>
  <c r="K15" i="5"/>
  <c r="K12" i="5"/>
  <c r="K11" i="5"/>
  <c r="K20" i="5"/>
  <c r="K10" i="5"/>
  <c r="K4" i="5"/>
  <c r="M4" i="5" s="1"/>
  <c r="K19" i="5"/>
  <c r="K9" i="5"/>
  <c r="K18" i="5"/>
  <c r="K7" i="5"/>
  <c r="L29" i="35"/>
  <c r="L41" i="35"/>
  <c r="L42" i="35"/>
  <c r="K29" i="35"/>
  <c r="K41" i="35"/>
  <c r="K42" i="35"/>
  <c r="J29" i="35"/>
  <c r="J42" i="35"/>
  <c r="J41" i="35"/>
  <c r="I29" i="35"/>
  <c r="M29" i="35" s="1"/>
  <c r="I41" i="35"/>
  <c r="I42" i="35"/>
  <c r="M5" i="35"/>
  <c r="I22" i="35"/>
  <c r="J5" i="35"/>
  <c r="J22" i="35"/>
  <c r="K12" i="35"/>
  <c r="K22" i="35"/>
  <c r="L10" i="35"/>
  <c r="L22" i="35"/>
  <c r="L26" i="35"/>
  <c r="L17" i="35"/>
  <c r="L9" i="35"/>
  <c r="L25" i="35"/>
  <c r="L16" i="35"/>
  <c r="L8" i="35"/>
  <c r="L33" i="35"/>
  <c r="L24" i="35"/>
  <c r="L15" i="35"/>
  <c r="L7" i="35"/>
  <c r="L32" i="35"/>
  <c r="L23" i="35"/>
  <c r="L14" i="35"/>
  <c r="L6" i="35"/>
  <c r="L31" i="35"/>
  <c r="L21" i="35"/>
  <c r="L13" i="35"/>
  <c r="L5" i="35"/>
  <c r="L38" i="35"/>
  <c r="L30" i="35"/>
  <c r="L20" i="35"/>
  <c r="L12" i="35"/>
  <c r="L37" i="35"/>
  <c r="L28" i="35"/>
  <c r="L19" i="35"/>
  <c r="L11" i="35"/>
  <c r="L27" i="35"/>
  <c r="L18" i="35"/>
  <c r="I33" i="35"/>
  <c r="M33" i="35" s="1"/>
  <c r="I24" i="35"/>
  <c r="M24" i="35" s="1"/>
  <c r="I15" i="35"/>
  <c r="M15" i="35" s="1"/>
  <c r="I7" i="35"/>
  <c r="M7" i="35" s="1"/>
  <c r="J26" i="35"/>
  <c r="J17" i="35"/>
  <c r="J9" i="35"/>
  <c r="J25" i="35"/>
  <c r="J16" i="35"/>
  <c r="J8" i="35"/>
  <c r="J33" i="35"/>
  <c r="J24" i="35"/>
  <c r="J15" i="35"/>
  <c r="J7" i="35"/>
  <c r="J32" i="35"/>
  <c r="J23" i="35"/>
  <c r="J14" i="35"/>
  <c r="J6" i="35"/>
  <c r="J31" i="35"/>
  <c r="J21" i="35"/>
  <c r="J13" i="35"/>
  <c r="J38" i="35"/>
  <c r="J30" i="35"/>
  <c r="J20" i="35"/>
  <c r="J12" i="35"/>
  <c r="J37" i="35"/>
  <c r="J28" i="35"/>
  <c r="J19" i="35"/>
  <c r="J11" i="35"/>
  <c r="J27" i="35"/>
  <c r="J18" i="35"/>
  <c r="J10" i="35"/>
  <c r="I32" i="35"/>
  <c r="M32" i="35" s="1"/>
  <c r="I23" i="35"/>
  <c r="M23" i="35" s="1"/>
  <c r="I14" i="35"/>
  <c r="M14" i="35" s="1"/>
  <c r="I31" i="35"/>
  <c r="M31" i="35" s="1"/>
  <c r="I21" i="35"/>
  <c r="M21" i="35" s="1"/>
  <c r="I13" i="35"/>
  <c r="M13" i="35" s="1"/>
  <c r="I38" i="35"/>
  <c r="M38" i="35" s="1"/>
  <c r="I30" i="35"/>
  <c r="M30" i="35" s="1"/>
  <c r="I20" i="35"/>
  <c r="M20" i="35" s="1"/>
  <c r="I12" i="35"/>
  <c r="M12" i="35" s="1"/>
  <c r="I6" i="35"/>
  <c r="M6" i="35" s="1"/>
  <c r="I37" i="35"/>
  <c r="M37" i="35" s="1"/>
  <c r="I28" i="35"/>
  <c r="M28" i="35" s="1"/>
  <c r="I19" i="35"/>
  <c r="M19" i="35" s="1"/>
  <c r="I11" i="35"/>
  <c r="M11" i="35" s="1"/>
  <c r="I27" i="35"/>
  <c r="M27" i="35" s="1"/>
  <c r="I18" i="35"/>
  <c r="M18" i="35" s="1"/>
  <c r="I10" i="35"/>
  <c r="M10" i="35" s="1"/>
  <c r="I26" i="35"/>
  <c r="M26" i="35" s="1"/>
  <c r="I17" i="35"/>
  <c r="M17" i="35" s="1"/>
  <c r="I9" i="35"/>
  <c r="M9" i="35" s="1"/>
  <c r="I25" i="35"/>
  <c r="M25" i="35" s="1"/>
  <c r="I16" i="35"/>
  <c r="M16" i="35" s="1"/>
  <c r="I8" i="35"/>
  <c r="M8" i="35" s="1"/>
  <c r="K37" i="35"/>
  <c r="K28" i="35"/>
  <c r="K19" i="35"/>
  <c r="K11" i="35"/>
  <c r="K27" i="35"/>
  <c r="K18" i="35"/>
  <c r="K10" i="35"/>
  <c r="K26" i="35"/>
  <c r="K17" i="35"/>
  <c r="K9" i="35"/>
  <c r="K25" i="35"/>
  <c r="K16" i="35"/>
  <c r="K8" i="35"/>
  <c r="K33" i="35"/>
  <c r="K24" i="35"/>
  <c r="K15" i="35"/>
  <c r="K7" i="35"/>
  <c r="K32" i="35"/>
  <c r="K23" i="35"/>
  <c r="K14" i="35"/>
  <c r="K6" i="35"/>
  <c r="K31" i="35"/>
  <c r="K21" i="35"/>
  <c r="K13" i="35"/>
  <c r="K5" i="35"/>
  <c r="K38" i="35"/>
  <c r="K30" i="35"/>
  <c r="K20" i="35"/>
  <c r="M20" i="5" l="1"/>
  <c r="N20" i="5" s="1"/>
  <c r="P20" i="5" s="1"/>
  <c r="M11" i="5"/>
  <c r="N11" i="5" s="1"/>
  <c r="P11" i="5" s="1"/>
  <c r="M7" i="5"/>
  <c r="N7" i="5" s="1"/>
  <c r="P7" i="5" s="1"/>
  <c r="M12" i="5"/>
  <c r="N12" i="5" s="1"/>
  <c r="P12" i="5" s="1"/>
  <c r="M18" i="5"/>
  <c r="N18" i="5" s="1"/>
  <c r="P18" i="5" s="1"/>
  <c r="M15" i="5"/>
  <c r="N15" i="5" s="1"/>
  <c r="P15" i="5" s="1"/>
  <c r="M9" i="5"/>
  <c r="N9" i="5" s="1"/>
  <c r="P9" i="5" s="1"/>
  <c r="M6" i="5"/>
  <c r="N6" i="5" s="1"/>
  <c r="P6" i="5" s="1"/>
  <c r="M19" i="5"/>
  <c r="N19" i="5" s="1"/>
  <c r="P19" i="5" s="1"/>
  <c r="M16" i="5"/>
  <c r="N16" i="5" s="1"/>
  <c r="P16" i="5" s="1"/>
  <c r="M10" i="5"/>
  <c r="N10" i="5" s="1"/>
  <c r="P10" i="5" s="1"/>
  <c r="N29" i="35"/>
  <c r="O29" i="35" s="1"/>
  <c r="M42" i="35"/>
  <c r="N42" i="35" s="1"/>
  <c r="O42" i="35" s="1"/>
  <c r="M41" i="35"/>
  <c r="N41" i="35" s="1"/>
  <c r="O41" i="35" s="1"/>
  <c r="N5" i="35"/>
  <c r="O5" i="35" s="1"/>
  <c r="D4" i="41" s="1"/>
  <c r="E4" i="41" s="1"/>
  <c r="N12" i="35"/>
  <c r="O12" i="35" s="1"/>
  <c r="M22" i="35"/>
  <c r="N22" i="35" s="1"/>
  <c r="O22" i="35" s="1"/>
  <c r="N14" i="35"/>
  <c r="O14" i="35" s="1"/>
  <c r="N23" i="35"/>
  <c r="O23" i="35" s="1"/>
  <c r="N15" i="35"/>
  <c r="O15" i="35" s="1"/>
  <c r="N7" i="35"/>
  <c r="O7" i="35" s="1"/>
  <c r="N24" i="35"/>
  <c r="O24" i="35" s="1"/>
  <c r="N21" i="35"/>
  <c r="O21" i="35" s="1"/>
  <c r="N11" i="35"/>
  <c r="O11" i="35" s="1"/>
  <c r="N6" i="35"/>
  <c r="O6" i="35" s="1"/>
  <c r="N20" i="35"/>
  <c r="O20" i="35" s="1"/>
  <c r="N17" i="35"/>
  <c r="O17" i="35" s="1"/>
  <c r="N16" i="35"/>
  <c r="O16" i="35" s="1"/>
  <c r="N8" i="35"/>
  <c r="O8" i="35" s="1"/>
  <c r="N10" i="35"/>
  <c r="O10" i="35" s="1"/>
  <c r="N18" i="35"/>
  <c r="O18" i="35" s="1"/>
  <c r="N13" i="35"/>
  <c r="O13" i="35" s="1"/>
  <c r="N25" i="35"/>
  <c r="O25" i="35" s="1"/>
  <c r="N9" i="35"/>
  <c r="O9" i="35" s="1"/>
  <c r="N27" i="35"/>
  <c r="O27" i="35" s="1"/>
  <c r="N26" i="35"/>
  <c r="O26" i="35" s="1"/>
  <c r="N33" i="35"/>
  <c r="O33" i="35" s="1"/>
  <c r="N28" i="35"/>
  <c r="O28" i="35" s="1"/>
  <c r="N30" i="35"/>
  <c r="O30" i="35" s="1"/>
  <c r="N31" i="35"/>
  <c r="O31" i="35" s="1"/>
  <c r="N32" i="35"/>
  <c r="O32" i="35" s="1"/>
  <c r="N37" i="35"/>
  <c r="O37" i="35" s="1"/>
  <c r="N38" i="35"/>
  <c r="O38" i="35" s="1"/>
  <c r="N19" i="35"/>
  <c r="O19" i="3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2" i="5"/>
  <c r="A23" i="5"/>
  <c r="A24" i="5"/>
  <c r="A25" i="5"/>
  <c r="A26" i="5"/>
  <c r="A27" i="5"/>
  <c r="A29" i="5"/>
  <c r="A30" i="5"/>
  <c r="A31" i="5"/>
  <c r="A32" i="5"/>
  <c r="A33" i="5"/>
  <c r="A34" i="5"/>
  <c r="A35" i="5"/>
  <c r="A36" i="5"/>
  <c r="A37" i="5"/>
  <c r="A38" i="5"/>
  <c r="A39" i="5"/>
  <c r="A42" i="5"/>
  <c r="A43" i="5"/>
  <c r="A4" i="5"/>
  <c r="B59" i="5"/>
  <c r="B4" i="5"/>
  <c r="D30" i="41" l="1"/>
  <c r="E30" i="41" s="1"/>
  <c r="D30" i="7"/>
  <c r="E30" i="7" s="1"/>
  <c r="D30" i="5"/>
  <c r="E30" i="5" s="1"/>
  <c r="K30" i="5" s="1"/>
  <c r="I30" i="42" s="1"/>
  <c r="D12" i="7"/>
  <c r="E12" i="7" s="1"/>
  <c r="D12" i="41"/>
  <c r="E12" i="41" s="1"/>
  <c r="D12" i="5"/>
  <c r="E12" i="5" s="1"/>
  <c r="D10" i="41"/>
  <c r="E10" i="41" s="1"/>
  <c r="D10" i="7"/>
  <c r="E10" i="7" s="1"/>
  <c r="D10" i="5"/>
  <c r="E10" i="5" s="1"/>
  <c r="D11" i="7"/>
  <c r="E11" i="7" s="1"/>
  <c r="D11" i="41"/>
  <c r="E11" i="41" s="1"/>
  <c r="D11" i="5"/>
  <c r="E11" i="5" s="1"/>
  <c r="D29" i="41"/>
  <c r="E29" i="41" s="1"/>
  <c r="D29" i="7"/>
  <c r="E29" i="7" s="1"/>
  <c r="D29" i="5"/>
  <c r="E29" i="5" s="1"/>
  <c r="K29" i="5" s="1"/>
  <c r="D17" i="41"/>
  <c r="E17" i="41" s="1"/>
  <c r="D17" i="7"/>
  <c r="E17" i="7" s="1"/>
  <c r="D17" i="5"/>
  <c r="E17" i="5" s="1"/>
  <c r="D20" i="41"/>
  <c r="E20" i="41" s="1"/>
  <c r="D20" i="7"/>
  <c r="E20" i="7" s="1"/>
  <c r="D20" i="5"/>
  <c r="E20" i="5" s="1"/>
  <c r="D40" i="41"/>
  <c r="E40" i="41" s="1"/>
  <c r="D40" i="7"/>
  <c r="E40" i="7" s="1"/>
  <c r="D40" i="5"/>
  <c r="E40" i="5" s="1"/>
  <c r="K40" i="5" s="1"/>
  <c r="D7" i="41"/>
  <c r="E7" i="41" s="1"/>
  <c r="D7" i="7"/>
  <c r="E7" i="7" s="1"/>
  <c r="D7" i="5"/>
  <c r="E7" i="5" s="1"/>
  <c r="D18" i="41"/>
  <c r="E18" i="41" s="1"/>
  <c r="D18" i="7"/>
  <c r="E18" i="7" s="1"/>
  <c r="D18" i="5"/>
  <c r="E18" i="5" s="1"/>
  <c r="D14" i="41"/>
  <c r="E14" i="41" s="1"/>
  <c r="D14" i="7"/>
  <c r="E14" i="7" s="1"/>
  <c r="D14" i="5"/>
  <c r="E14" i="5" s="1"/>
  <c r="D37" i="41"/>
  <c r="E37" i="41" s="1"/>
  <c r="D37" i="7"/>
  <c r="E37" i="7" s="1"/>
  <c r="D37" i="5"/>
  <c r="E37" i="5" s="1"/>
  <c r="K37" i="5" s="1"/>
  <c r="I37" i="42" s="1"/>
  <c r="D26" i="7"/>
  <c r="E26" i="7" s="1"/>
  <c r="D26" i="41"/>
  <c r="E26" i="41" s="1"/>
  <c r="D26" i="5"/>
  <c r="E26" i="5" s="1"/>
  <c r="H26" i="5" s="1"/>
  <c r="K26" i="5" s="1"/>
  <c r="D16" i="41"/>
  <c r="E16" i="41" s="1"/>
  <c r="D16" i="7"/>
  <c r="E16" i="7" s="1"/>
  <c r="D16" i="5"/>
  <c r="E16" i="5" s="1"/>
  <c r="D22" i="41"/>
  <c r="E22" i="41" s="1"/>
  <c r="D22" i="7"/>
  <c r="E22" i="7" s="1"/>
  <c r="D22" i="5"/>
  <c r="E22" i="5" s="1"/>
  <c r="H22" i="5" s="1"/>
  <c r="K22" i="5" s="1"/>
  <c r="D27" i="41"/>
  <c r="E27" i="41" s="1"/>
  <c r="D27" i="7"/>
  <c r="E27" i="7" s="1"/>
  <c r="D27" i="5"/>
  <c r="E27" i="5" s="1"/>
  <c r="K27" i="5" s="1"/>
  <c r="I27" i="42" s="1"/>
  <c r="D23" i="41"/>
  <c r="E23" i="41" s="1"/>
  <c r="D23" i="7"/>
  <c r="E23" i="7" s="1"/>
  <c r="D23" i="5"/>
  <c r="E23" i="5" s="1"/>
  <c r="H23" i="5" s="1"/>
  <c r="K23" i="5" s="1"/>
  <c r="D32" i="41"/>
  <c r="E32" i="41" s="1"/>
  <c r="D32" i="7"/>
  <c r="E32" i="7" s="1"/>
  <c r="D32" i="5"/>
  <c r="E32" i="5" s="1"/>
  <c r="K32" i="5" s="1"/>
  <c r="D6" i="41"/>
  <c r="E6" i="41" s="1"/>
  <c r="D6" i="7"/>
  <c r="E6" i="7" s="1"/>
  <c r="D6" i="5"/>
  <c r="E6" i="5" s="1"/>
  <c r="D25" i="41"/>
  <c r="E25" i="41" s="1"/>
  <c r="D25" i="7"/>
  <c r="E25" i="7" s="1"/>
  <c r="D25" i="5"/>
  <c r="E25" i="5" s="1"/>
  <c r="H25" i="5" s="1"/>
  <c r="K25" i="5" s="1"/>
  <c r="D28" i="41"/>
  <c r="E28" i="41" s="1"/>
  <c r="D28" i="7"/>
  <c r="E28" i="7" s="1"/>
  <c r="D28" i="5"/>
  <c r="E28" i="5" s="1"/>
  <c r="K28" i="5" s="1"/>
  <c r="I28" i="42" s="1"/>
  <c r="D36" i="7"/>
  <c r="E36" i="7" s="1"/>
  <c r="D36" i="41"/>
  <c r="E36" i="41" s="1"/>
  <c r="D36" i="5"/>
  <c r="E36" i="5" s="1"/>
  <c r="K36" i="5" s="1"/>
  <c r="I36" i="42" s="1"/>
  <c r="D8" i="41"/>
  <c r="E8" i="41" s="1"/>
  <c r="D8" i="7"/>
  <c r="E8" i="7" s="1"/>
  <c r="D8" i="5"/>
  <c r="E8" i="5" s="1"/>
  <c r="D19" i="41"/>
  <c r="E19" i="41" s="1"/>
  <c r="D19" i="7"/>
  <c r="E19" i="7" s="1"/>
  <c r="D19" i="5"/>
  <c r="E19" i="5" s="1"/>
  <c r="D13" i="41"/>
  <c r="E13" i="41" s="1"/>
  <c r="D13" i="7"/>
  <c r="E13" i="7" s="1"/>
  <c r="D13" i="5"/>
  <c r="E13" i="5" s="1"/>
  <c r="D9" i="41"/>
  <c r="E9" i="41" s="1"/>
  <c r="D9" i="7"/>
  <c r="E9" i="7" s="1"/>
  <c r="D9" i="5"/>
  <c r="E9" i="5" s="1"/>
  <c r="D41" i="41"/>
  <c r="E41" i="41" s="1"/>
  <c r="D41" i="7"/>
  <c r="E41" i="7" s="1"/>
  <c r="D41" i="5"/>
  <c r="E41" i="5" s="1"/>
  <c r="K41" i="5" s="1"/>
  <c r="I41" i="42" s="1"/>
  <c r="D15" i="41"/>
  <c r="E15" i="41" s="1"/>
  <c r="D15" i="7"/>
  <c r="E15" i="7" s="1"/>
  <c r="D15" i="5"/>
  <c r="E15" i="5" s="1"/>
  <c r="D31" i="41"/>
  <c r="E31" i="41" s="1"/>
  <c r="D31" i="7"/>
  <c r="E31" i="7" s="1"/>
  <c r="D31" i="5"/>
  <c r="E31" i="5" s="1"/>
  <c r="K31" i="5" s="1"/>
  <c r="I31" i="42" s="1"/>
  <c r="D24" i="41"/>
  <c r="E24" i="41" s="1"/>
  <c r="D24" i="7"/>
  <c r="E24" i="7" s="1"/>
  <c r="D24" i="5"/>
  <c r="E24" i="5" s="1"/>
  <c r="H24" i="5" s="1"/>
  <c r="K24" i="5" s="1"/>
  <c r="D5" i="41"/>
  <c r="E5" i="41" s="1"/>
  <c r="D5" i="7"/>
  <c r="E5" i="7" s="1"/>
  <c r="D5" i="5"/>
  <c r="E5" i="5" s="1"/>
  <c r="D21" i="41"/>
  <c r="E21" i="41" s="1"/>
  <c r="D21" i="7"/>
  <c r="E21" i="7" s="1"/>
  <c r="D21" i="5"/>
  <c r="E21" i="5" s="1"/>
  <c r="H21" i="5" s="1"/>
  <c r="K21" i="5" s="1"/>
  <c r="D28" i="42"/>
  <c r="E28" i="42" s="1"/>
  <c r="H28" i="42" s="1"/>
  <c r="J28" i="42" s="1"/>
  <c r="D40" i="42"/>
  <c r="E40" i="42" s="1"/>
  <c r="H40" i="42" s="1"/>
  <c r="D41" i="42"/>
  <c r="E41" i="42" s="1"/>
  <c r="H41" i="42" s="1"/>
  <c r="D32" i="42"/>
  <c r="E32" i="42" s="1"/>
  <c r="H32" i="42" s="1"/>
  <c r="D7" i="42"/>
  <c r="E7" i="42" s="1"/>
  <c r="H7" i="42" s="1"/>
  <c r="D6" i="42"/>
  <c r="E6" i="42" s="1"/>
  <c r="H6" i="42" s="1"/>
  <c r="D18" i="42"/>
  <c r="E18" i="42" s="1"/>
  <c r="H18" i="42" s="1"/>
  <c r="D25" i="42"/>
  <c r="E25" i="42" s="1"/>
  <c r="H25" i="42" s="1"/>
  <c r="D15" i="42"/>
  <c r="E15" i="42" s="1"/>
  <c r="H15" i="42" s="1"/>
  <c r="D14" i="42"/>
  <c r="E14" i="42" s="1"/>
  <c r="H14" i="42" s="1"/>
  <c r="D37" i="42"/>
  <c r="E37" i="42" s="1"/>
  <c r="H37" i="42" s="1"/>
  <c r="D26" i="42"/>
  <c r="E26" i="42" s="1"/>
  <c r="H26" i="42" s="1"/>
  <c r="D16" i="42"/>
  <c r="E16" i="42" s="1"/>
  <c r="H16" i="42" s="1"/>
  <c r="D22" i="42"/>
  <c r="E22" i="42" s="1"/>
  <c r="H22" i="42" s="1"/>
  <c r="D17" i="42"/>
  <c r="E17" i="42" s="1"/>
  <c r="H17" i="42" s="1"/>
  <c r="K17" i="5"/>
  <c r="D36" i="42"/>
  <c r="E36" i="42" s="1"/>
  <c r="H36" i="42" s="1"/>
  <c r="D19" i="42"/>
  <c r="E19" i="42" s="1"/>
  <c r="H19" i="42" s="1"/>
  <c r="D13" i="42"/>
  <c r="E13" i="42" s="1"/>
  <c r="H13" i="42" s="1"/>
  <c r="K13" i="5"/>
  <c r="D8" i="42"/>
  <c r="E8" i="42" s="1"/>
  <c r="H8" i="42" s="1"/>
  <c r="K8" i="5"/>
  <c r="D29" i="42"/>
  <c r="E29" i="42" s="1"/>
  <c r="H29" i="42" s="1"/>
  <c r="D27" i="42"/>
  <c r="E27" i="42" s="1"/>
  <c r="H27" i="42" s="1"/>
  <c r="J27" i="42" s="1"/>
  <c r="D31" i="42"/>
  <c r="E31" i="42" s="1"/>
  <c r="H31" i="42" s="1"/>
  <c r="J31" i="42" s="1"/>
  <c r="D24" i="42"/>
  <c r="E24" i="42" s="1"/>
  <c r="H24" i="42" s="1"/>
  <c r="D5" i="42"/>
  <c r="E5" i="42" s="1"/>
  <c r="H5" i="42" s="1"/>
  <c r="K5" i="5"/>
  <c r="D21" i="42"/>
  <c r="E21" i="42" s="1"/>
  <c r="H21" i="42" s="1"/>
  <c r="D30" i="42"/>
  <c r="E30" i="42" s="1"/>
  <c r="H30" i="42" s="1"/>
  <c r="J30" i="42" s="1"/>
  <c r="D12" i="42"/>
  <c r="E12" i="42" s="1"/>
  <c r="H12" i="42" s="1"/>
  <c r="D10" i="42"/>
  <c r="E10" i="42" s="1"/>
  <c r="H10" i="42" s="1"/>
  <c r="D11" i="42"/>
  <c r="E11" i="42" s="1"/>
  <c r="H11" i="42" s="1"/>
  <c r="D20" i="42"/>
  <c r="E20" i="42" s="1"/>
  <c r="H20" i="42" s="1"/>
  <c r="D9" i="42"/>
  <c r="E9" i="42" s="1"/>
  <c r="H9" i="42" s="1"/>
  <c r="D23" i="42"/>
  <c r="E23" i="42" s="1"/>
  <c r="H23" i="42" s="1"/>
  <c r="D4" i="7"/>
  <c r="D4" i="5"/>
  <c r="E4" i="5" s="1"/>
  <c r="D4" i="42"/>
  <c r="E4" i="42" s="1"/>
  <c r="B57" i="5"/>
  <c r="B55" i="5"/>
  <c r="N4" i="5"/>
  <c r="P4" i="5" s="1"/>
  <c r="J36" i="42" l="1"/>
  <c r="J41" i="42"/>
  <c r="I32" i="42"/>
  <c r="J32" i="42" s="1"/>
  <c r="N32" i="5"/>
  <c r="P32" i="5" s="1"/>
  <c r="I29" i="42"/>
  <c r="N29" i="5"/>
  <c r="P29" i="5" s="1"/>
  <c r="J37" i="42"/>
  <c r="I40" i="42"/>
  <c r="J40" i="42" s="1"/>
  <c r="N40" i="5"/>
  <c r="P40" i="5" s="1"/>
  <c r="H4" i="42"/>
  <c r="M8" i="5"/>
  <c r="N8" i="5" s="1"/>
  <c r="P8" i="5" s="1"/>
  <c r="M13" i="5"/>
  <c r="N13" i="5" s="1"/>
  <c r="P13" i="5" s="1"/>
  <c r="M17" i="5"/>
  <c r="N17" i="5" s="1"/>
  <c r="P17" i="5" s="1"/>
  <c r="M5" i="5"/>
  <c r="N5" i="5" s="1"/>
  <c r="P5" i="5" s="1"/>
  <c r="C57" i="5"/>
  <c r="C55" i="5"/>
  <c r="J29" i="42" l="1"/>
  <c r="K43" i="35"/>
  <c r="K40" i="35"/>
  <c r="K39" i="35"/>
  <c r="K34" i="35"/>
  <c r="L36" i="35" l="1"/>
  <c r="J36" i="35"/>
  <c r="I36" i="35"/>
  <c r="M36" i="35" s="1"/>
  <c r="K36" i="35"/>
  <c r="L40" i="35"/>
  <c r="I40" i="35"/>
  <c r="M40" i="35" s="1"/>
  <c r="J40" i="35"/>
  <c r="L43" i="35"/>
  <c r="J43" i="35"/>
  <c r="I43" i="35"/>
  <c r="M43" i="35" s="1"/>
  <c r="L39" i="35"/>
  <c r="I39" i="35"/>
  <c r="M39" i="35" s="1"/>
  <c r="J39" i="35"/>
  <c r="L44" i="35"/>
  <c r="J44" i="35"/>
  <c r="I44" i="35"/>
  <c r="K44" i="35"/>
  <c r="L34" i="35"/>
  <c r="I34" i="35"/>
  <c r="M34" i="35" s="1"/>
  <c r="J34" i="35"/>
  <c r="L35" i="35"/>
  <c r="J35" i="35"/>
  <c r="K35" i="35"/>
  <c r="I35" i="35"/>
  <c r="M35" i="35" s="1"/>
  <c r="N36" i="35" l="1"/>
  <c r="O36" i="35" s="1"/>
  <c r="N35" i="35"/>
  <c r="O35" i="35" s="1"/>
  <c r="N43" i="35"/>
  <c r="O43" i="35" s="1"/>
  <c r="N34" i="35"/>
  <c r="O34" i="35" s="1"/>
  <c r="N40" i="35"/>
  <c r="O40" i="35" s="1"/>
  <c r="N39" i="35"/>
  <c r="O39" i="35" s="1"/>
  <c r="M44" i="35"/>
  <c r="N44" i="35" s="1"/>
  <c r="O44" i="35" s="1"/>
  <c r="D34" i="41" l="1"/>
  <c r="E34" i="41" s="1"/>
  <c r="D34" i="7"/>
  <c r="E34" i="7" s="1"/>
  <c r="D34" i="5"/>
  <c r="E34" i="5" s="1"/>
  <c r="K34" i="5" s="1"/>
  <c r="D35" i="7"/>
  <c r="E35" i="7" s="1"/>
  <c r="D35" i="41"/>
  <c r="E35" i="41" s="1"/>
  <c r="D35" i="5"/>
  <c r="E35" i="5" s="1"/>
  <c r="K35" i="5" s="1"/>
  <c r="I35" i="42" s="1"/>
  <c r="D43" i="41"/>
  <c r="E43" i="41" s="1"/>
  <c r="D43" i="7"/>
  <c r="E43" i="7" s="1"/>
  <c r="D43" i="5"/>
  <c r="E43" i="5" s="1"/>
  <c r="K43" i="5" s="1"/>
  <c r="I43" i="42" s="1"/>
  <c r="D39" i="41"/>
  <c r="E39" i="41" s="1"/>
  <c r="D39" i="7"/>
  <c r="E39" i="7" s="1"/>
  <c r="D39" i="5"/>
  <c r="E39" i="5" s="1"/>
  <c r="K39" i="5" s="1"/>
  <c r="D38" i="41"/>
  <c r="E38" i="41" s="1"/>
  <c r="D38" i="7"/>
  <c r="E38" i="7" s="1"/>
  <c r="D38" i="5"/>
  <c r="E38" i="5" s="1"/>
  <c r="K38" i="5" s="1"/>
  <c r="I38" i="42" s="1"/>
  <c r="D33" i="41"/>
  <c r="E33" i="41" s="1"/>
  <c r="D33" i="7"/>
  <c r="E33" i="7" s="1"/>
  <c r="D33" i="5"/>
  <c r="E33" i="5" s="1"/>
  <c r="K33" i="5" s="1"/>
  <c r="I33" i="42" s="1"/>
  <c r="D42" i="41"/>
  <c r="E42" i="41" s="1"/>
  <c r="D42" i="7"/>
  <c r="E42" i="7" s="1"/>
  <c r="D42" i="5"/>
  <c r="E42" i="5" s="1"/>
  <c r="K42" i="5" s="1"/>
  <c r="D43" i="42"/>
  <c r="E43" i="42" s="1"/>
  <c r="H43" i="42" s="1"/>
  <c r="D38" i="42"/>
  <c r="E38" i="42" s="1"/>
  <c r="H38" i="42" s="1"/>
  <c r="J38" i="42" s="1"/>
  <c r="D39" i="42"/>
  <c r="E39" i="42" s="1"/>
  <c r="H39" i="42" s="1"/>
  <c r="D33" i="42"/>
  <c r="E33" i="42" s="1"/>
  <c r="D35" i="42"/>
  <c r="E35" i="42" s="1"/>
  <c r="H35" i="42" s="1"/>
  <c r="D42" i="42"/>
  <c r="E42" i="42" s="1"/>
  <c r="H42" i="42" s="1"/>
  <c r="D34" i="42"/>
  <c r="E34" i="42" s="1"/>
  <c r="H34" i="42" s="1"/>
  <c r="E4" i="7"/>
  <c r="Y89" i="37"/>
  <c r="W89" i="37"/>
  <c r="V89" i="37"/>
  <c r="T89" i="37"/>
  <c r="S89" i="37"/>
  <c r="Q89" i="37"/>
  <c r="P89" i="37"/>
  <c r="O89" i="37"/>
  <c r="N89" i="37"/>
  <c r="M89" i="37"/>
  <c r="H89" i="37"/>
  <c r="G89" i="37"/>
  <c r="F89" i="37"/>
  <c r="D89" i="37"/>
  <c r="C89" i="37"/>
  <c r="B89" i="37"/>
  <c r="X88" i="37"/>
  <c r="X89" i="37" s="1"/>
  <c r="U88" i="37"/>
  <c r="R88" i="37"/>
  <c r="K88" i="37"/>
  <c r="E88" i="37"/>
  <c r="D88" i="37"/>
  <c r="U87" i="37"/>
  <c r="R87" i="37"/>
  <c r="L87" i="37"/>
  <c r="K87" i="37"/>
  <c r="E87" i="37"/>
  <c r="D87" i="37"/>
  <c r="U86" i="37"/>
  <c r="R86" i="37"/>
  <c r="L86" i="37"/>
  <c r="K86" i="37"/>
  <c r="E86" i="37"/>
  <c r="D86" i="37"/>
  <c r="U85" i="37"/>
  <c r="R85" i="37"/>
  <c r="K85" i="37"/>
  <c r="L85" i="37" s="1"/>
  <c r="E85" i="37"/>
  <c r="D85" i="37"/>
  <c r="U84" i="37"/>
  <c r="R84" i="37"/>
  <c r="K84" i="37"/>
  <c r="L84" i="37" s="1"/>
  <c r="E84" i="37"/>
  <c r="D84" i="37"/>
  <c r="U83" i="37"/>
  <c r="R83" i="37"/>
  <c r="L83" i="37"/>
  <c r="K83" i="37"/>
  <c r="E83" i="37"/>
  <c r="D83" i="37"/>
  <c r="U82" i="37"/>
  <c r="R82" i="37"/>
  <c r="L82" i="37"/>
  <c r="K82" i="37"/>
  <c r="E82" i="37"/>
  <c r="D82" i="37"/>
  <c r="U81" i="37"/>
  <c r="R81" i="37"/>
  <c r="K81" i="37"/>
  <c r="L81" i="37" s="1"/>
  <c r="E81" i="37"/>
  <c r="D81" i="37"/>
  <c r="U80" i="37"/>
  <c r="R80" i="37"/>
  <c r="K80" i="37"/>
  <c r="L80" i="37" s="1"/>
  <c r="E80" i="37"/>
  <c r="D80" i="37"/>
  <c r="U79" i="37"/>
  <c r="R79" i="37"/>
  <c r="L79" i="37"/>
  <c r="K79" i="37"/>
  <c r="E79" i="37"/>
  <c r="D79" i="37"/>
  <c r="U78" i="37"/>
  <c r="R78" i="37"/>
  <c r="L78" i="37"/>
  <c r="K78" i="37"/>
  <c r="E78" i="37"/>
  <c r="D78" i="37"/>
  <c r="U77" i="37"/>
  <c r="R77" i="37"/>
  <c r="K77" i="37"/>
  <c r="L77" i="37" s="1"/>
  <c r="E77" i="37"/>
  <c r="D77" i="37"/>
  <c r="U76" i="37"/>
  <c r="R76" i="37"/>
  <c r="K76" i="37"/>
  <c r="L76" i="37" s="1"/>
  <c r="E76" i="37"/>
  <c r="D76" i="37"/>
  <c r="U75" i="37"/>
  <c r="R75" i="37"/>
  <c r="L75" i="37"/>
  <c r="K75" i="37"/>
  <c r="E75" i="37"/>
  <c r="D75" i="37"/>
  <c r="U74" i="37"/>
  <c r="R74" i="37"/>
  <c r="L74" i="37"/>
  <c r="K74" i="37"/>
  <c r="E74" i="37"/>
  <c r="D74" i="37"/>
  <c r="U73" i="37"/>
  <c r="R73" i="37"/>
  <c r="K73" i="37"/>
  <c r="L73" i="37" s="1"/>
  <c r="E73" i="37"/>
  <c r="D73" i="37"/>
  <c r="U72" i="37"/>
  <c r="R72" i="37"/>
  <c r="K72" i="37"/>
  <c r="L72" i="37" s="1"/>
  <c r="E72" i="37"/>
  <c r="D72" i="37"/>
  <c r="U71" i="37"/>
  <c r="R71" i="37"/>
  <c r="K71" i="37"/>
  <c r="L71" i="37" s="1"/>
  <c r="E71" i="37"/>
  <c r="D71" i="37"/>
  <c r="U70" i="37"/>
  <c r="R70" i="37"/>
  <c r="L70" i="37"/>
  <c r="K70" i="37"/>
  <c r="E70" i="37"/>
  <c r="D70" i="37"/>
  <c r="U69" i="37"/>
  <c r="R69" i="37"/>
  <c r="K69" i="37"/>
  <c r="L69" i="37" s="1"/>
  <c r="E69" i="37"/>
  <c r="D69" i="37"/>
  <c r="U68" i="37"/>
  <c r="R68" i="37"/>
  <c r="K68" i="37"/>
  <c r="L68" i="37" s="1"/>
  <c r="E68" i="37"/>
  <c r="D68" i="37"/>
  <c r="U67" i="37"/>
  <c r="R67" i="37"/>
  <c r="K67" i="37"/>
  <c r="L67" i="37" s="1"/>
  <c r="E67" i="37"/>
  <c r="D67" i="37"/>
  <c r="U66" i="37"/>
  <c r="R66" i="37"/>
  <c r="L66" i="37"/>
  <c r="K66" i="37"/>
  <c r="E66" i="37"/>
  <c r="D66" i="37"/>
  <c r="U65" i="37"/>
  <c r="R65" i="37"/>
  <c r="K65" i="37"/>
  <c r="L65" i="37" s="1"/>
  <c r="E65" i="37"/>
  <c r="D65" i="37"/>
  <c r="U64" i="37"/>
  <c r="R64" i="37"/>
  <c r="K64" i="37"/>
  <c r="L64" i="37" s="1"/>
  <c r="E64" i="37"/>
  <c r="D64" i="37"/>
  <c r="U63" i="37"/>
  <c r="R63" i="37"/>
  <c r="K63" i="37"/>
  <c r="L63" i="37" s="1"/>
  <c r="E63" i="37"/>
  <c r="D63" i="37"/>
  <c r="U62" i="37"/>
  <c r="R62" i="37"/>
  <c r="L62" i="37"/>
  <c r="K62" i="37"/>
  <c r="E62" i="37"/>
  <c r="D62" i="37"/>
  <c r="U61" i="37"/>
  <c r="R61" i="37"/>
  <c r="K61" i="37"/>
  <c r="L61" i="37" s="1"/>
  <c r="E61" i="37"/>
  <c r="D61" i="37"/>
  <c r="U60" i="37"/>
  <c r="R60" i="37"/>
  <c r="K60" i="37"/>
  <c r="L60" i="37" s="1"/>
  <c r="E60" i="37"/>
  <c r="D60" i="37"/>
  <c r="U59" i="37"/>
  <c r="R59" i="37"/>
  <c r="K59" i="37"/>
  <c r="L59" i="37" s="1"/>
  <c r="E59" i="37"/>
  <c r="D59" i="37"/>
  <c r="U58" i="37"/>
  <c r="R58" i="37"/>
  <c r="L58" i="37"/>
  <c r="K58" i="37"/>
  <c r="E58" i="37"/>
  <c r="D58" i="37"/>
  <c r="U57" i="37"/>
  <c r="R57" i="37"/>
  <c r="K57" i="37"/>
  <c r="L57" i="37" s="1"/>
  <c r="E57" i="37"/>
  <c r="D57" i="37"/>
  <c r="U56" i="37"/>
  <c r="R56" i="37"/>
  <c r="K56" i="37"/>
  <c r="L56" i="37" s="1"/>
  <c r="E56" i="37"/>
  <c r="D56" i="37"/>
  <c r="U55" i="37"/>
  <c r="R55" i="37"/>
  <c r="K55" i="37"/>
  <c r="L55" i="37" s="1"/>
  <c r="E55" i="37"/>
  <c r="D55" i="37"/>
  <c r="U54" i="37"/>
  <c r="R54" i="37"/>
  <c r="L54" i="37"/>
  <c r="K54" i="37"/>
  <c r="E54" i="37"/>
  <c r="D54" i="37"/>
  <c r="U53" i="37"/>
  <c r="R53" i="37"/>
  <c r="K53" i="37"/>
  <c r="L53" i="37" s="1"/>
  <c r="E53" i="37"/>
  <c r="D53" i="37"/>
  <c r="U52" i="37"/>
  <c r="R52" i="37"/>
  <c r="K52" i="37"/>
  <c r="L52" i="37" s="1"/>
  <c r="E52" i="37"/>
  <c r="D52" i="37"/>
  <c r="U51" i="37"/>
  <c r="R51" i="37"/>
  <c r="K51" i="37"/>
  <c r="L51" i="37" s="1"/>
  <c r="E51" i="37"/>
  <c r="D51" i="37"/>
  <c r="U50" i="37"/>
  <c r="R50" i="37"/>
  <c r="L50" i="37"/>
  <c r="K50" i="37"/>
  <c r="E50" i="37"/>
  <c r="D50" i="37"/>
  <c r="U49" i="37"/>
  <c r="R49" i="37"/>
  <c r="K49" i="37"/>
  <c r="L49" i="37" s="1"/>
  <c r="E49" i="37"/>
  <c r="D49" i="37"/>
  <c r="U48" i="37"/>
  <c r="R48" i="37"/>
  <c r="K48" i="37"/>
  <c r="L48" i="37" s="1"/>
  <c r="E48" i="37"/>
  <c r="D48" i="37"/>
  <c r="U47" i="37"/>
  <c r="R47" i="37"/>
  <c r="K47" i="37"/>
  <c r="L47" i="37" s="1"/>
  <c r="E47" i="37"/>
  <c r="D47" i="37"/>
  <c r="U46" i="37"/>
  <c r="R46" i="37"/>
  <c r="L46" i="37"/>
  <c r="K46" i="37"/>
  <c r="E46" i="37"/>
  <c r="D46" i="37"/>
  <c r="U45" i="37"/>
  <c r="R45" i="37"/>
  <c r="K45" i="37"/>
  <c r="L45" i="37" s="1"/>
  <c r="E45" i="37"/>
  <c r="D45" i="37"/>
  <c r="U44" i="37"/>
  <c r="R44" i="37"/>
  <c r="K44" i="37"/>
  <c r="L44" i="37" s="1"/>
  <c r="E44" i="37"/>
  <c r="D44" i="37"/>
  <c r="U43" i="37"/>
  <c r="R43" i="37"/>
  <c r="K43" i="37"/>
  <c r="L43" i="37" s="1"/>
  <c r="E43" i="37"/>
  <c r="D43" i="37"/>
  <c r="U42" i="37"/>
  <c r="R42" i="37"/>
  <c r="L42" i="37"/>
  <c r="K42" i="37"/>
  <c r="E42" i="37"/>
  <c r="D42" i="37"/>
  <c r="U41" i="37"/>
  <c r="R41" i="37"/>
  <c r="K41" i="37"/>
  <c r="L41" i="37" s="1"/>
  <c r="E41" i="37"/>
  <c r="D41" i="37"/>
  <c r="U40" i="37"/>
  <c r="R40" i="37"/>
  <c r="K40" i="37"/>
  <c r="L40" i="37" s="1"/>
  <c r="E40" i="37"/>
  <c r="D40" i="37"/>
  <c r="U39" i="37"/>
  <c r="R39" i="37"/>
  <c r="K39" i="37"/>
  <c r="L39" i="37" s="1"/>
  <c r="E39" i="37"/>
  <c r="D39" i="37"/>
  <c r="U38" i="37"/>
  <c r="R38" i="37"/>
  <c r="L38" i="37"/>
  <c r="K38" i="37"/>
  <c r="E38" i="37"/>
  <c r="D38" i="37"/>
  <c r="U37" i="37"/>
  <c r="R37" i="37"/>
  <c r="K37" i="37"/>
  <c r="L37" i="37" s="1"/>
  <c r="E37" i="37"/>
  <c r="D37" i="37"/>
  <c r="U36" i="37"/>
  <c r="R36" i="37"/>
  <c r="K36" i="37"/>
  <c r="L36" i="37" s="1"/>
  <c r="E36" i="37"/>
  <c r="D36" i="37"/>
  <c r="U35" i="37"/>
  <c r="R35" i="37"/>
  <c r="K35" i="37"/>
  <c r="L35" i="37" s="1"/>
  <c r="E35" i="37"/>
  <c r="D35" i="37"/>
  <c r="U34" i="37"/>
  <c r="R34" i="37"/>
  <c r="L34" i="37"/>
  <c r="K34" i="37"/>
  <c r="E34" i="37"/>
  <c r="D34" i="37"/>
  <c r="U33" i="37"/>
  <c r="R33" i="37"/>
  <c r="K33" i="37"/>
  <c r="L33" i="37" s="1"/>
  <c r="E33" i="37"/>
  <c r="D33" i="37"/>
  <c r="U32" i="37"/>
  <c r="R32" i="37"/>
  <c r="K32" i="37"/>
  <c r="L32" i="37" s="1"/>
  <c r="E32" i="37"/>
  <c r="D32" i="37"/>
  <c r="U31" i="37"/>
  <c r="R31" i="37"/>
  <c r="J31" i="37"/>
  <c r="F31" i="37"/>
  <c r="E31" i="37"/>
  <c r="D31" i="37"/>
  <c r="U30" i="37"/>
  <c r="R30" i="37"/>
  <c r="L30" i="37"/>
  <c r="K30" i="37"/>
  <c r="E30" i="37"/>
  <c r="D30" i="37"/>
  <c r="U29" i="37"/>
  <c r="R29" i="37"/>
  <c r="K29" i="37"/>
  <c r="L29" i="37" s="1"/>
  <c r="E29" i="37"/>
  <c r="D29" i="37"/>
  <c r="U28" i="37"/>
  <c r="R28" i="37"/>
  <c r="K28" i="37"/>
  <c r="L28" i="37" s="1"/>
  <c r="E28" i="37"/>
  <c r="D28" i="37"/>
  <c r="R27" i="37"/>
  <c r="L27" i="37"/>
  <c r="K27" i="37"/>
  <c r="E27" i="37"/>
  <c r="D27" i="37"/>
  <c r="R26" i="37"/>
  <c r="K26" i="37"/>
  <c r="L26" i="37" s="1"/>
  <c r="E26" i="37"/>
  <c r="D26" i="37"/>
  <c r="U25" i="37"/>
  <c r="R25" i="37"/>
  <c r="K25" i="37"/>
  <c r="L25" i="37" s="1"/>
  <c r="E25" i="37"/>
  <c r="D25" i="37"/>
  <c r="U24" i="37"/>
  <c r="R24" i="37"/>
  <c r="K24" i="37"/>
  <c r="L24" i="37" s="1"/>
  <c r="E24" i="37"/>
  <c r="D24" i="37"/>
  <c r="U23" i="37"/>
  <c r="R23" i="37"/>
  <c r="L23" i="37"/>
  <c r="K23" i="37"/>
  <c r="E23" i="37"/>
  <c r="D23" i="37"/>
  <c r="U22" i="37"/>
  <c r="R22" i="37"/>
  <c r="J22" i="37"/>
  <c r="J89" i="37" s="1"/>
  <c r="I22" i="37"/>
  <c r="I89" i="37" s="1"/>
  <c r="E22" i="37"/>
  <c r="D22" i="37"/>
  <c r="K21" i="37"/>
  <c r="L21" i="37" s="1"/>
  <c r="E21" i="37"/>
  <c r="D21" i="37"/>
  <c r="U20" i="37"/>
  <c r="R20" i="37"/>
  <c r="L20" i="37"/>
  <c r="K20" i="37"/>
  <c r="E20" i="37"/>
  <c r="D20" i="37"/>
  <c r="K19" i="37"/>
  <c r="L19" i="37" s="1"/>
  <c r="E19" i="37"/>
  <c r="D19" i="37"/>
  <c r="U18" i="37"/>
  <c r="R18" i="37"/>
  <c r="K18" i="37"/>
  <c r="L18" i="37" s="1"/>
  <c r="E18" i="37"/>
  <c r="D18" i="37"/>
  <c r="U17" i="37"/>
  <c r="R17" i="37"/>
  <c r="L17" i="37"/>
  <c r="K17" i="37"/>
  <c r="E17" i="37"/>
  <c r="D17" i="37"/>
  <c r="U16" i="37"/>
  <c r="R16" i="37"/>
  <c r="K16" i="37"/>
  <c r="L16" i="37" s="1"/>
  <c r="E16" i="37"/>
  <c r="D16" i="37"/>
  <c r="K15" i="37"/>
  <c r="L15" i="37" s="1"/>
  <c r="E15" i="37"/>
  <c r="D15" i="37"/>
  <c r="U14" i="37"/>
  <c r="R14" i="37"/>
  <c r="E14" i="37"/>
  <c r="D14" i="37"/>
  <c r="U13" i="37"/>
  <c r="R13" i="37"/>
  <c r="K13" i="37"/>
  <c r="E13" i="37"/>
  <c r="D13" i="37"/>
  <c r="U12" i="37"/>
  <c r="U89" i="37" s="1"/>
  <c r="R12" i="37"/>
  <c r="K12" i="37"/>
  <c r="E12" i="37"/>
  <c r="D12" i="37"/>
  <c r="U11" i="37"/>
  <c r="R11" i="37"/>
  <c r="E11" i="37"/>
  <c r="D11" i="37"/>
  <c r="K10" i="37"/>
  <c r="E10" i="37"/>
  <c r="D10" i="37"/>
  <c r="E9" i="37"/>
  <c r="D9" i="37"/>
  <c r="K8" i="37"/>
  <c r="K89" i="37" s="1"/>
  <c r="E8" i="37"/>
  <c r="D8" i="37"/>
  <c r="E7" i="37"/>
  <c r="E89" i="37" s="1"/>
  <c r="D7" i="37"/>
  <c r="U6" i="37"/>
  <c r="R6" i="37"/>
  <c r="R89" i="37" s="1"/>
  <c r="E6" i="37"/>
  <c r="D6" i="37"/>
  <c r="J43" i="42" l="1"/>
  <c r="E46" i="41"/>
  <c r="E46" i="7"/>
  <c r="E52" i="7" s="1"/>
  <c r="E53" i="7" s="1"/>
  <c r="E54" i="7" s="1"/>
  <c r="I42" i="42"/>
  <c r="J42" i="42" s="1"/>
  <c r="N42" i="5"/>
  <c r="P42" i="5" s="1"/>
  <c r="I39" i="42"/>
  <c r="J39" i="42" s="1"/>
  <c r="N39" i="5"/>
  <c r="P39" i="5" s="1"/>
  <c r="I34" i="42"/>
  <c r="J34" i="42" s="1"/>
  <c r="N34" i="5"/>
  <c r="P34" i="5" s="1"/>
  <c r="J35" i="42"/>
  <c r="H33" i="42"/>
  <c r="E46" i="42"/>
  <c r="E52" i="42" s="1"/>
  <c r="E53" i="42" s="1"/>
  <c r="C59" i="5"/>
  <c r="E46" i="5"/>
  <c r="L89" i="37"/>
  <c r="I44" i="42" l="1"/>
  <c r="J33" i="42"/>
  <c r="J44" i="42" s="1"/>
  <c r="J45" i="42" s="1"/>
  <c r="H44" i="42"/>
  <c r="GG4" i="26"/>
  <c r="GF4" i="26"/>
  <c r="GE4" i="26"/>
  <c r="GD4" i="26"/>
  <c r="GC4" i="26"/>
  <c r="GA4" i="26"/>
  <c r="FZ4" i="26"/>
  <c r="FY4" i="26"/>
  <c r="FX4" i="26"/>
  <c r="FW4" i="26"/>
  <c r="FV4" i="26"/>
  <c r="FU4" i="26"/>
  <c r="FT4" i="26"/>
  <c r="FS4" i="26"/>
  <c r="FR4" i="26"/>
  <c r="FQ4" i="26"/>
  <c r="FP4" i="26"/>
  <c r="FN4" i="26"/>
  <c r="FM4" i="26"/>
  <c r="FL4" i="26"/>
  <c r="FK4" i="26"/>
  <c r="FJ4" i="26"/>
  <c r="FI4" i="26"/>
  <c r="FH4" i="26"/>
  <c r="FG4" i="26"/>
  <c r="FF4" i="26"/>
  <c r="FE4" i="26"/>
  <c r="FD4" i="26"/>
  <c r="FC4" i="26"/>
  <c r="FA4" i="26"/>
  <c r="EZ4" i="26"/>
  <c r="EY4" i="26"/>
  <c r="EX4" i="26"/>
  <c r="EW4" i="26"/>
  <c r="EV4" i="26"/>
  <c r="EU4" i="26"/>
  <c r="ET4" i="26"/>
  <c r="ES4" i="26"/>
  <c r="ER4" i="26"/>
  <c r="EQ4" i="26"/>
  <c r="EP4" i="26"/>
  <c r="EN4" i="26"/>
  <c r="EM4" i="26"/>
  <c r="EL4" i="26"/>
  <c r="EK4" i="26"/>
  <c r="EJ4" i="26"/>
  <c r="EI4" i="26"/>
  <c r="EH4" i="26"/>
  <c r="EG4" i="26"/>
  <c r="EF4" i="26"/>
  <c r="EE4" i="26"/>
  <c r="ED4" i="26"/>
  <c r="EC4" i="26"/>
  <c r="EA4" i="26"/>
  <c r="DZ4" i="26"/>
  <c r="DY4" i="26"/>
  <c r="DX4" i="26"/>
  <c r="DW4" i="26"/>
  <c r="DV4" i="26"/>
  <c r="DU4" i="26"/>
  <c r="DT4" i="26"/>
  <c r="DS4" i="26"/>
  <c r="DR4" i="26"/>
  <c r="DQ4" i="26"/>
  <c r="DP4" i="26"/>
  <c r="DN4" i="26"/>
  <c r="DM4" i="26"/>
  <c r="DL4" i="26"/>
  <c r="DK4" i="26"/>
  <c r="DJ4" i="26"/>
  <c r="DI4" i="26"/>
  <c r="DH4" i="26"/>
  <c r="DG4" i="26"/>
  <c r="DF4" i="26"/>
  <c r="DE4" i="26"/>
  <c r="DD4" i="26"/>
  <c r="DC4" i="26"/>
  <c r="DA4" i="26"/>
  <c r="CZ4" i="26"/>
  <c r="CY4" i="26"/>
  <c r="CX4" i="26"/>
  <c r="CW4" i="26"/>
  <c r="CV4" i="26"/>
  <c r="CU4" i="26"/>
  <c r="CT4" i="26"/>
  <c r="CS4" i="26"/>
  <c r="CR4" i="26"/>
  <c r="CQ4" i="26"/>
  <c r="CP4" i="26"/>
  <c r="CN4" i="26"/>
  <c r="CM4" i="26"/>
  <c r="CL4" i="26"/>
  <c r="CK4" i="26"/>
  <c r="CJ4" i="26"/>
  <c r="CI4" i="26"/>
  <c r="CH4" i="26"/>
  <c r="CG4" i="26"/>
  <c r="CF4" i="26"/>
  <c r="CE4" i="26"/>
  <c r="CD4" i="26"/>
  <c r="CC4" i="26"/>
  <c r="CA4" i="26"/>
  <c r="BZ4" i="26"/>
  <c r="BY4" i="26"/>
  <c r="BX4" i="26"/>
  <c r="BW4" i="26"/>
  <c r="BV4" i="26"/>
  <c r="BU4" i="26"/>
  <c r="BT4" i="26"/>
  <c r="BS4" i="26"/>
  <c r="BR4" i="26"/>
  <c r="BQ4" i="26"/>
  <c r="BP4" i="26"/>
  <c r="BN4" i="26"/>
  <c r="BM4" i="26"/>
  <c r="BL4" i="26"/>
  <c r="BK4" i="26"/>
  <c r="BJ4" i="26"/>
  <c r="BI4" i="26"/>
  <c r="BH4" i="26"/>
  <c r="BG4" i="26"/>
  <c r="BF4" i="26"/>
  <c r="BE4" i="26"/>
  <c r="BD4" i="26"/>
  <c r="BC4" i="26"/>
  <c r="BA4" i="26"/>
  <c r="AZ4" i="26"/>
  <c r="AY4" i="26"/>
  <c r="AX4" i="26"/>
  <c r="AW4" i="26"/>
  <c r="AV4" i="26"/>
  <c r="AU4" i="26"/>
  <c r="AT4" i="26"/>
  <c r="AS4" i="26"/>
  <c r="AR4" i="26"/>
  <c r="AQ4" i="26"/>
  <c r="AP4" i="26"/>
  <c r="AN4" i="26"/>
  <c r="AM4" i="26"/>
  <c r="AL4" i="26"/>
  <c r="AK4" i="26"/>
  <c r="AJ4" i="26"/>
  <c r="AI4" i="26"/>
  <c r="AH4" i="26"/>
  <c r="AG4" i="26"/>
  <c r="AF4" i="26"/>
  <c r="AE4" i="26"/>
  <c r="AD4" i="26"/>
  <c r="AC4" i="26"/>
  <c r="AA4" i="26"/>
  <c r="Z4" i="26"/>
  <c r="Y4" i="26"/>
  <c r="X4" i="26"/>
  <c r="W4" i="26"/>
  <c r="V4" i="26"/>
  <c r="U4" i="26"/>
  <c r="T4" i="26"/>
  <c r="S4" i="26"/>
  <c r="R4" i="26"/>
  <c r="Q4" i="26"/>
  <c r="P4" i="26"/>
  <c r="D4" i="26"/>
  <c r="E4" i="26"/>
  <c r="F4" i="26"/>
  <c r="G4" i="26"/>
  <c r="H4" i="26"/>
  <c r="I4" i="26"/>
  <c r="J4" i="26"/>
  <c r="K4" i="26"/>
  <c r="L4" i="26"/>
  <c r="M4" i="26"/>
  <c r="N4" i="26"/>
  <c r="C4" i="26"/>
  <c r="GG5" i="26"/>
  <c r="GF5" i="26"/>
  <c r="GE5" i="26"/>
  <c r="GD5" i="26"/>
  <c r="GC5" i="26"/>
  <c r="GA5" i="26"/>
  <c r="FZ5" i="26"/>
  <c r="FY5" i="26"/>
  <c r="FX5" i="26"/>
  <c r="FW5" i="26"/>
  <c r="FV5" i="26"/>
  <c r="FU5" i="26"/>
  <c r="FT5" i="26"/>
  <c r="FS5" i="26"/>
  <c r="FR5" i="26"/>
  <c r="FQ5" i="26"/>
  <c r="FP5" i="26"/>
  <c r="FN5" i="26"/>
  <c r="FM5" i="26"/>
  <c r="FL5" i="26"/>
  <c r="FK5" i="26"/>
  <c r="FJ5" i="26"/>
  <c r="FI5" i="26"/>
  <c r="FH5" i="26"/>
  <c r="FG5" i="26"/>
  <c r="FF5" i="26"/>
  <c r="FE5" i="26"/>
  <c r="FD5" i="26"/>
  <c r="FC5" i="26"/>
  <c r="FA5" i="26"/>
  <c r="EZ5" i="26"/>
  <c r="EY5" i="26"/>
  <c r="EX5" i="26"/>
  <c r="EW5" i="26"/>
  <c r="EV5" i="26"/>
  <c r="EU5" i="26"/>
  <c r="ET5" i="26"/>
  <c r="ES5" i="26"/>
  <c r="ER5" i="26"/>
  <c r="EQ5" i="26"/>
  <c r="EP5" i="26"/>
  <c r="EN5" i="26"/>
  <c r="EM5" i="26"/>
  <c r="EL5" i="26"/>
  <c r="EK5" i="26"/>
  <c r="EJ5" i="26"/>
  <c r="EI5" i="26"/>
  <c r="EH5" i="26"/>
  <c r="EG5" i="26"/>
  <c r="EF5" i="26"/>
  <c r="EE5" i="26"/>
  <c r="ED5" i="26"/>
  <c r="EC5" i="26"/>
  <c r="EA5" i="26"/>
  <c r="DZ5" i="26"/>
  <c r="DY5" i="26"/>
  <c r="DX5" i="26"/>
  <c r="DW5" i="26"/>
  <c r="DV5" i="26"/>
  <c r="DU5" i="26"/>
  <c r="DT5" i="26"/>
  <c r="DS5" i="26"/>
  <c r="DR5" i="26"/>
  <c r="DQ5" i="26"/>
  <c r="DP5" i="26"/>
  <c r="DN5" i="26"/>
  <c r="DM5" i="26"/>
  <c r="DL5" i="26"/>
  <c r="DK5" i="26"/>
  <c r="DJ5" i="26"/>
  <c r="DI5" i="26"/>
  <c r="DH5" i="26"/>
  <c r="DG5" i="26"/>
  <c r="DF5" i="26"/>
  <c r="DE5" i="26"/>
  <c r="DD5" i="26"/>
  <c r="DC5" i="26"/>
  <c r="DA5" i="26"/>
  <c r="CZ5" i="26"/>
  <c r="CY5" i="26"/>
  <c r="CX5" i="26"/>
  <c r="CW5" i="26"/>
  <c r="CV5" i="26"/>
  <c r="CU5" i="26"/>
  <c r="CT5" i="26"/>
  <c r="CS5" i="26"/>
  <c r="CR5" i="26"/>
  <c r="CQ5" i="26"/>
  <c r="CP5" i="26"/>
  <c r="CN5" i="26"/>
  <c r="CM5" i="26"/>
  <c r="CL5" i="26"/>
  <c r="CK5" i="26"/>
  <c r="CJ5" i="26"/>
  <c r="CI5" i="26"/>
  <c r="CH5" i="26"/>
  <c r="CG5" i="26"/>
  <c r="CF5" i="26"/>
  <c r="CE5" i="26"/>
  <c r="CD5" i="26"/>
  <c r="CC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A5" i="26"/>
  <c r="Z5" i="26"/>
  <c r="Y5" i="26"/>
  <c r="X5" i="26"/>
  <c r="W5" i="26"/>
  <c r="V5" i="26"/>
  <c r="U5" i="26"/>
  <c r="T5" i="26"/>
  <c r="S5" i="26"/>
  <c r="R5" i="26"/>
  <c r="Q5" i="26"/>
  <c r="P5" i="26"/>
  <c r="D5" i="26"/>
  <c r="E5" i="26"/>
  <c r="F5" i="26"/>
  <c r="G5" i="26"/>
  <c r="H5" i="26"/>
  <c r="I5" i="26"/>
  <c r="J5" i="26"/>
  <c r="K5" i="26"/>
  <c r="L5" i="26"/>
  <c r="M5" i="26"/>
  <c r="N5" i="26"/>
  <c r="C5" i="26"/>
  <c r="GG3" i="26"/>
  <c r="GF3" i="26"/>
  <c r="GE3" i="26"/>
  <c r="GD3" i="26"/>
  <c r="GC3" i="26"/>
  <c r="GA3" i="26"/>
  <c r="FZ3" i="26"/>
  <c r="FY3" i="26"/>
  <c r="FX3" i="26"/>
  <c r="FW3" i="26"/>
  <c r="FV3" i="26"/>
  <c r="FU3" i="26"/>
  <c r="FT3" i="26"/>
  <c r="FS3" i="26"/>
  <c r="FR3" i="26"/>
  <c r="FQ3" i="26"/>
  <c r="FP3" i="26"/>
  <c r="FN3" i="26"/>
  <c r="FM3" i="26"/>
  <c r="FL3" i="26"/>
  <c r="FK3" i="26"/>
  <c r="FJ3" i="26"/>
  <c r="FI3" i="26"/>
  <c r="FH3" i="26"/>
  <c r="FG3" i="26"/>
  <c r="FF3" i="26"/>
  <c r="FE3" i="26"/>
  <c r="FD3" i="26"/>
  <c r="FC3" i="26"/>
  <c r="FA3" i="26"/>
  <c r="EZ3" i="26"/>
  <c r="EY3" i="26"/>
  <c r="EX3" i="26"/>
  <c r="EW3" i="26"/>
  <c r="EV3" i="26"/>
  <c r="EU3" i="26"/>
  <c r="ET3" i="26"/>
  <c r="ES3" i="26"/>
  <c r="ER3" i="26"/>
  <c r="EQ3" i="26"/>
  <c r="EP3" i="26"/>
  <c r="EN3" i="26"/>
  <c r="EM3" i="26"/>
  <c r="EL3" i="26"/>
  <c r="EK3" i="26"/>
  <c r="EJ3" i="26"/>
  <c r="EI3" i="26"/>
  <c r="EH3" i="26"/>
  <c r="EG3" i="26"/>
  <c r="EF3" i="26"/>
  <c r="EE3" i="26"/>
  <c r="ED3" i="26"/>
  <c r="EC3" i="26"/>
  <c r="EA3" i="26"/>
  <c r="DZ3" i="26"/>
  <c r="DY3" i="26"/>
  <c r="DX3" i="26"/>
  <c r="DW3" i="26"/>
  <c r="DV3" i="26"/>
  <c r="DU3" i="26"/>
  <c r="DT3" i="26"/>
  <c r="DS3" i="26"/>
  <c r="DR3" i="26"/>
  <c r="DQ3" i="26"/>
  <c r="DP3" i="26"/>
  <c r="DN3" i="26"/>
  <c r="DM3" i="26"/>
  <c r="DL3" i="26"/>
  <c r="DK3" i="26"/>
  <c r="DJ3" i="26"/>
  <c r="DI3" i="26"/>
  <c r="DH3" i="26"/>
  <c r="DG3" i="26"/>
  <c r="DF3" i="26"/>
  <c r="DE3" i="26"/>
  <c r="DD3" i="26"/>
  <c r="DC3" i="26"/>
  <c r="DA3" i="26"/>
  <c r="CZ3" i="26"/>
  <c r="CY3" i="26"/>
  <c r="CX3" i="26"/>
  <c r="CW3" i="26"/>
  <c r="CV3" i="26"/>
  <c r="CU3" i="26"/>
  <c r="CT3" i="26"/>
  <c r="CS3" i="26"/>
  <c r="CR3" i="26"/>
  <c r="CQ3" i="26"/>
  <c r="CP3" i="26"/>
  <c r="CN3" i="26"/>
  <c r="CM3" i="26"/>
  <c r="CL3" i="26"/>
  <c r="CK3" i="26"/>
  <c r="CJ3" i="26"/>
  <c r="CI3" i="26"/>
  <c r="CH3" i="26"/>
  <c r="CG3" i="26"/>
  <c r="CF3" i="26"/>
  <c r="CE3" i="26"/>
  <c r="CD3" i="26"/>
  <c r="CC3" i="26"/>
  <c r="CA3" i="26"/>
  <c r="BZ3" i="26"/>
  <c r="BY3" i="26"/>
  <c r="BX3" i="26"/>
  <c r="BW3" i="26"/>
  <c r="BV3" i="26"/>
  <c r="BU3" i="26"/>
  <c r="BT3" i="26"/>
  <c r="BS3" i="26"/>
  <c r="BR3" i="26"/>
  <c r="BQ3" i="26"/>
  <c r="BP3" i="26"/>
  <c r="BN3" i="26"/>
  <c r="BM3" i="26"/>
  <c r="BL3" i="26"/>
  <c r="BK3" i="26"/>
  <c r="BJ3" i="26"/>
  <c r="BI3" i="26"/>
  <c r="BH3" i="26"/>
  <c r="BG3" i="26"/>
  <c r="BF3" i="26"/>
  <c r="BE3" i="26"/>
  <c r="BD3" i="26"/>
  <c r="BC3" i="26"/>
  <c r="BA3" i="26"/>
  <c r="AZ3" i="26"/>
  <c r="AY3" i="26"/>
  <c r="AX3" i="26"/>
  <c r="AW3" i="26"/>
  <c r="AV3" i="26"/>
  <c r="AU3" i="26"/>
  <c r="AT3" i="26"/>
  <c r="AS3" i="26"/>
  <c r="AR3" i="26"/>
  <c r="AQ3" i="26"/>
  <c r="AP3" i="26"/>
  <c r="AN3" i="26"/>
  <c r="AM3" i="26"/>
  <c r="AL3" i="26"/>
  <c r="AK3" i="26"/>
  <c r="AJ3" i="26"/>
  <c r="AI3" i="26"/>
  <c r="AH3" i="26"/>
  <c r="AG3" i="26"/>
  <c r="AF3" i="26"/>
  <c r="AE3" i="26"/>
  <c r="AD3" i="26"/>
  <c r="AC3" i="26"/>
  <c r="AA3" i="26"/>
  <c r="Z3" i="26"/>
  <c r="Y3" i="26"/>
  <c r="X3" i="26"/>
  <c r="W3" i="26"/>
  <c r="V3" i="26"/>
  <c r="U3" i="26"/>
  <c r="T3" i="26"/>
  <c r="S3" i="26"/>
  <c r="R3" i="26"/>
  <c r="Q3" i="26"/>
  <c r="P3" i="26"/>
  <c r="F3" i="26"/>
  <c r="G3" i="26"/>
  <c r="H3" i="26"/>
  <c r="I3" i="26"/>
  <c r="J3" i="26"/>
  <c r="K3" i="26"/>
  <c r="L3" i="26"/>
  <c r="M3" i="26"/>
  <c r="N3" i="26"/>
  <c r="D3" i="26"/>
  <c r="E3" i="26"/>
  <c r="F16" i="26" s="1"/>
  <c r="G16" i="26" s="1"/>
  <c r="H16" i="26" s="1"/>
  <c r="I16" i="26" s="1"/>
  <c r="J16" i="26" s="1"/>
  <c r="K16" i="26" s="1"/>
  <c r="L16" i="26" s="1"/>
  <c r="M16" i="26" s="1"/>
  <c r="N16" i="26" s="1"/>
  <c r="P16" i="26" s="1"/>
  <c r="Q16" i="26" s="1"/>
  <c r="C3" i="26"/>
  <c r="M22" i="5" l="1"/>
  <c r="N22" i="5" s="1"/>
  <c r="P22" i="5" s="1"/>
  <c r="M41" i="5"/>
  <c r="N41" i="5" s="1"/>
  <c r="P41" i="5" s="1"/>
  <c r="M28" i="5"/>
  <c r="N28" i="5" s="1"/>
  <c r="P28" i="5" s="1"/>
  <c r="M30" i="5"/>
  <c r="N30" i="5" s="1"/>
  <c r="P30" i="5" s="1"/>
  <c r="M36" i="5"/>
  <c r="N36" i="5" s="1"/>
  <c r="P36" i="5" s="1"/>
  <c r="M38" i="5"/>
  <c r="N38" i="5" s="1"/>
  <c r="P38" i="5" s="1"/>
  <c r="M37" i="5"/>
  <c r="N37" i="5" s="1"/>
  <c r="P37" i="5" s="1"/>
  <c r="M23" i="5"/>
  <c r="N23" i="5" s="1"/>
  <c r="P23" i="5" s="1"/>
  <c r="M26" i="5"/>
  <c r="N26" i="5" s="1"/>
  <c r="P26" i="5" s="1"/>
  <c r="M27" i="5"/>
  <c r="N27" i="5" s="1"/>
  <c r="P27" i="5" s="1"/>
  <c r="M31" i="5"/>
  <c r="N31" i="5" s="1"/>
  <c r="P31" i="5" s="1"/>
  <c r="M24" i="5"/>
  <c r="N24" i="5" s="1"/>
  <c r="P24" i="5" s="1"/>
  <c r="M35" i="5"/>
  <c r="N35" i="5" s="1"/>
  <c r="P35" i="5" s="1"/>
  <c r="M25" i="5"/>
  <c r="N25" i="5" s="1"/>
  <c r="P25" i="5" s="1"/>
  <c r="M43" i="5"/>
  <c r="N43" i="5" s="1"/>
  <c r="P43" i="5" s="1"/>
  <c r="M33" i="5"/>
  <c r="N33" i="5" s="1"/>
  <c r="P33" i="5" s="1"/>
  <c r="M21" i="5"/>
  <c r="N21" i="5" l="1"/>
  <c r="P21" i="5" s="1"/>
  <c r="P48" i="5" s="1"/>
  <c r="P49" i="5" s="1"/>
  <c r="P50" i="5" s="1"/>
  <c r="C65" i="5" s="1"/>
  <c r="B36" i="4"/>
  <c r="D35" i="26" l="1"/>
  <c r="H35" i="26"/>
  <c r="L35" i="26"/>
  <c r="F35" i="26"/>
  <c r="J35" i="26"/>
  <c r="N35" i="26"/>
  <c r="P35" i="26" s="1"/>
  <c r="Q35" i="26" s="1"/>
  <c r="R35" i="26" s="1"/>
  <c r="S35" i="26" s="1"/>
  <c r="T35" i="26" s="1"/>
  <c r="U35" i="26" s="1"/>
  <c r="V35" i="26" s="1"/>
  <c r="W35" i="26" s="1"/>
  <c r="X35" i="26" s="1"/>
  <c r="Y35" i="26" s="1"/>
  <c r="Z35" i="26" s="1"/>
  <c r="AA35" i="26" s="1"/>
  <c r="K35" i="26"/>
  <c r="E35" i="26"/>
  <c r="I35" i="26"/>
  <c r="M35" i="26"/>
  <c r="G35" i="26"/>
  <c r="C35" i="26"/>
  <c r="O28" i="26" l="1"/>
  <c r="O26" i="26"/>
  <c r="E29" i="26"/>
  <c r="F29" i="26" s="1"/>
  <c r="G29" i="26" s="1"/>
  <c r="H29" i="26" s="1"/>
  <c r="P29" i="26" l="1"/>
  <c r="Q29" i="26" s="1"/>
  <c r="AC29" i="26" l="1"/>
  <c r="AD29" i="26" l="1"/>
  <c r="AP29" i="26" s="1"/>
  <c r="O29" i="26"/>
  <c r="AB29" i="26" l="1"/>
  <c r="AQ29" i="26"/>
  <c r="BC29" i="26" s="1"/>
  <c r="AO29" i="26" l="1"/>
  <c r="BD29" i="26"/>
  <c r="B28" i="26"/>
  <c r="BB29" i="26" l="1"/>
  <c r="B29" i="26"/>
  <c r="B16" i="26" l="1"/>
  <c r="O16" i="26" l="1"/>
  <c r="C17" i="26" l="1"/>
  <c r="E52" i="41" l="1"/>
  <c r="E53" i="41" s="1"/>
  <c r="C3" i="6"/>
  <c r="B26" i="26"/>
  <c r="E54" i="41" l="1"/>
  <c r="C59" i="41" s="1"/>
  <c r="C60" i="41" s="1"/>
  <c r="C61" i="41" s="1"/>
  <c r="C62" i="41" s="1"/>
  <c r="C63" i="41" s="1"/>
  <c r="C64" i="41" s="1"/>
  <c r="C65" i="41" s="1"/>
  <c r="C66" i="41" s="1"/>
  <c r="C67" i="41" s="1"/>
  <c r="C68" i="41" s="1"/>
  <c r="C69" i="41" s="1"/>
  <c r="C70" i="41" s="1"/>
  <c r="P27" i="26"/>
  <c r="B35" i="26"/>
  <c r="AC35" i="26"/>
  <c r="O35" i="26" l="1"/>
  <c r="AD35" i="26"/>
  <c r="AE35" i="26" s="1"/>
  <c r="AF35" i="26" s="1"/>
  <c r="AG35" i="26" s="1"/>
  <c r="AH35" i="26" s="1"/>
  <c r="AI35" i="26" s="1"/>
  <c r="AJ35" i="26" s="1"/>
  <c r="AK35" i="26" s="1"/>
  <c r="AL35" i="26" s="1"/>
  <c r="AM35" i="26" s="1"/>
  <c r="AN35" i="26" s="1"/>
  <c r="AP35" i="26" s="1"/>
  <c r="D22" i="26"/>
  <c r="AB35" i="26" l="1"/>
  <c r="AQ35" i="26"/>
  <c r="AR35" i="26" s="1"/>
  <c r="AS35" i="26" s="1"/>
  <c r="AT35" i="26" s="1"/>
  <c r="AU35" i="26" s="1"/>
  <c r="AV35" i="26" s="1"/>
  <c r="AW35" i="26" s="1"/>
  <c r="AX35" i="26" s="1"/>
  <c r="AY35" i="26" s="1"/>
  <c r="AZ35" i="26" s="1"/>
  <c r="BA35" i="26" s="1"/>
  <c r="BC35" i="26" s="1"/>
  <c r="C5" i="6"/>
  <c r="B9" i="6" s="1"/>
  <c r="H3" i="6"/>
  <c r="H5" i="6" s="1"/>
  <c r="Q22" i="26"/>
  <c r="E22" i="26"/>
  <c r="AO35" i="26" l="1"/>
  <c r="BD35" i="26"/>
  <c r="BE35" i="26" s="1"/>
  <c r="BF35" i="26" s="1"/>
  <c r="BG35" i="26" s="1"/>
  <c r="BH35" i="26" s="1"/>
  <c r="BI35" i="26" s="1"/>
  <c r="BJ35" i="26" s="1"/>
  <c r="BK35" i="26" s="1"/>
  <c r="BL35" i="26" s="1"/>
  <c r="BM35" i="26" s="1"/>
  <c r="BN35" i="26" s="1"/>
  <c r="BP35" i="26" s="1"/>
  <c r="R22" i="26"/>
  <c r="F22" i="26"/>
  <c r="BB35" i="26" l="1"/>
  <c r="BQ35" i="26"/>
  <c r="BR35" i="26" s="1"/>
  <c r="BS35" i="26" s="1"/>
  <c r="BT35" i="26" s="1"/>
  <c r="BU35" i="26" s="1"/>
  <c r="BV35" i="26" s="1"/>
  <c r="BW35" i="26" s="1"/>
  <c r="BX35" i="26" s="1"/>
  <c r="BY35" i="26" s="1"/>
  <c r="BZ35" i="26" s="1"/>
  <c r="CA35" i="26" s="1"/>
  <c r="CC35" i="26" s="1"/>
  <c r="S22" i="26"/>
  <c r="G22" i="26"/>
  <c r="BO35" i="26" l="1"/>
  <c r="CD35" i="26"/>
  <c r="CE35" i="26" s="1"/>
  <c r="CF35" i="26" s="1"/>
  <c r="CG35" i="26" s="1"/>
  <c r="CH35" i="26" s="1"/>
  <c r="CI35" i="26" s="1"/>
  <c r="CJ35" i="26" s="1"/>
  <c r="CK35" i="26" s="1"/>
  <c r="CL35" i="26" s="1"/>
  <c r="CM35" i="26" s="1"/>
  <c r="CN35" i="26" s="1"/>
  <c r="CP35" i="26" s="1"/>
  <c r="T22" i="26"/>
  <c r="H22" i="26"/>
  <c r="CB35" i="26" l="1"/>
  <c r="I22" i="26"/>
  <c r="CQ35" i="26"/>
  <c r="CR35" i="26" s="1"/>
  <c r="CS35" i="26" s="1"/>
  <c r="CT35" i="26" s="1"/>
  <c r="CU35" i="26" s="1"/>
  <c r="CV35" i="26" s="1"/>
  <c r="CW35" i="26" s="1"/>
  <c r="CX35" i="26" s="1"/>
  <c r="CY35" i="26" s="1"/>
  <c r="CZ35" i="26" s="1"/>
  <c r="DA35" i="26" s="1"/>
  <c r="DC35" i="26" s="1"/>
  <c r="U22" i="26"/>
  <c r="CO35" i="26" l="1"/>
  <c r="DD35" i="26"/>
  <c r="DE35" i="26" s="1"/>
  <c r="DF35" i="26" s="1"/>
  <c r="DG35" i="26" s="1"/>
  <c r="DH35" i="26" s="1"/>
  <c r="DI35" i="26" s="1"/>
  <c r="DJ35" i="26" s="1"/>
  <c r="DK35" i="26" s="1"/>
  <c r="DL35" i="26" s="1"/>
  <c r="DM35" i="26" s="1"/>
  <c r="DN35" i="26" s="1"/>
  <c r="DP35" i="26" s="1"/>
  <c r="V22" i="26"/>
  <c r="J22" i="26"/>
  <c r="DB35" i="26" l="1"/>
  <c r="DQ35" i="26"/>
  <c r="DR35" i="26" s="1"/>
  <c r="DS35" i="26" s="1"/>
  <c r="DT35" i="26" s="1"/>
  <c r="DU35" i="26" s="1"/>
  <c r="DV35" i="26" s="1"/>
  <c r="DW35" i="26" s="1"/>
  <c r="DX35" i="26" s="1"/>
  <c r="DY35" i="26" s="1"/>
  <c r="DZ35" i="26" s="1"/>
  <c r="EA35" i="26" s="1"/>
  <c r="EC35" i="26" s="1"/>
  <c r="W22" i="26"/>
  <c r="K22" i="26"/>
  <c r="DO35" i="26" l="1"/>
  <c r="ED35" i="26"/>
  <c r="EE35" i="26" s="1"/>
  <c r="EF35" i="26" s="1"/>
  <c r="EG35" i="26" s="1"/>
  <c r="EH35" i="26" s="1"/>
  <c r="EI35" i="26" s="1"/>
  <c r="EJ35" i="26" s="1"/>
  <c r="EK35" i="26" s="1"/>
  <c r="EL35" i="26" s="1"/>
  <c r="EM35" i="26" s="1"/>
  <c r="EN35" i="26" s="1"/>
  <c r="EP35" i="26" s="1"/>
  <c r="X22" i="26"/>
  <c r="L22" i="26"/>
  <c r="EB35" i="26" l="1"/>
  <c r="EQ35" i="26"/>
  <c r="ER35" i="26" s="1"/>
  <c r="ES35" i="26" s="1"/>
  <c r="ET35" i="26" s="1"/>
  <c r="EU35" i="26" s="1"/>
  <c r="EV35" i="26" s="1"/>
  <c r="EW35" i="26" s="1"/>
  <c r="EX35" i="26" s="1"/>
  <c r="EY35" i="26" s="1"/>
  <c r="EZ35" i="26" s="1"/>
  <c r="FA35" i="26" s="1"/>
  <c r="FC35" i="26" s="1"/>
  <c r="Y22" i="26"/>
  <c r="M22" i="26"/>
  <c r="EO35" i="26" l="1"/>
  <c r="FD35" i="26"/>
  <c r="FE35" i="26" s="1"/>
  <c r="FF35" i="26" s="1"/>
  <c r="FG35" i="26" s="1"/>
  <c r="FH35" i="26" s="1"/>
  <c r="FI35" i="26" s="1"/>
  <c r="FJ35" i="26" s="1"/>
  <c r="FK35" i="26" s="1"/>
  <c r="FL35" i="26" s="1"/>
  <c r="FM35" i="26" s="1"/>
  <c r="FN35" i="26" s="1"/>
  <c r="FP35" i="26" s="1"/>
  <c r="Z22" i="26"/>
  <c r="N22" i="26"/>
  <c r="FB35" i="26" l="1"/>
  <c r="FQ35" i="26"/>
  <c r="FR35" i="26" s="1"/>
  <c r="FS35" i="26" s="1"/>
  <c r="FT35" i="26" s="1"/>
  <c r="FU35" i="26" s="1"/>
  <c r="FV35" i="26" s="1"/>
  <c r="FW35" i="26" s="1"/>
  <c r="FX35" i="26" s="1"/>
  <c r="FY35" i="26" s="1"/>
  <c r="FZ35" i="26" s="1"/>
  <c r="GA35" i="26" s="1"/>
  <c r="GC35" i="26" s="1"/>
  <c r="AA22" i="26"/>
  <c r="B22" i="26"/>
  <c r="FO35" i="26" l="1"/>
  <c r="AC22" i="26"/>
  <c r="O22" i="26"/>
  <c r="GD35" i="26"/>
  <c r="GE35" i="26" s="1"/>
  <c r="GF35" i="26" s="1"/>
  <c r="GG35" i="26" s="1"/>
  <c r="GB35" i="26" l="1"/>
  <c r="AD22" i="26"/>
  <c r="AE22" i="26" l="1"/>
  <c r="AF22" i="26" l="1"/>
  <c r="AG22" i="26" l="1"/>
  <c r="AH22" i="26" l="1"/>
  <c r="AI22" i="26" l="1"/>
  <c r="AJ22" i="26" l="1"/>
  <c r="AK22" i="26" l="1"/>
  <c r="AL22" i="26" l="1"/>
  <c r="AM22" i="26" l="1"/>
  <c r="AN22" i="26" l="1"/>
  <c r="AB22" i="26" s="1"/>
  <c r="AP22" i="26" l="1"/>
  <c r="AQ22" i="26" l="1"/>
  <c r="AR22" i="26" l="1"/>
  <c r="AS22" i="26" l="1"/>
  <c r="AT22" i="26" l="1"/>
  <c r="AU22" i="26" l="1"/>
  <c r="AV22" i="26" l="1"/>
  <c r="AW22" i="26" l="1"/>
  <c r="AX22" i="26" l="1"/>
  <c r="AY22" i="26" l="1"/>
  <c r="AZ22" i="26" l="1"/>
  <c r="BA22" i="26" l="1"/>
  <c r="AO22" i="26" s="1"/>
  <c r="BC22" i="26" l="1"/>
  <c r="BD22" i="26" l="1"/>
  <c r="BE22" i="26" l="1"/>
  <c r="BF22" i="26" l="1"/>
  <c r="BG22" i="26" l="1"/>
  <c r="BH22" i="26" l="1"/>
  <c r="BI22" i="26" l="1"/>
  <c r="BJ22" i="26" l="1"/>
  <c r="BK22" i="26" l="1"/>
  <c r="BL22" i="26" l="1"/>
  <c r="BM22" i="26" l="1"/>
  <c r="BN22" i="26" l="1"/>
  <c r="BB22" i="26" s="1"/>
  <c r="BP22" i="26" l="1"/>
  <c r="BQ22" i="26" l="1"/>
  <c r="BR22" i="26" l="1"/>
  <c r="BS22" i="26" l="1"/>
  <c r="BT22" i="26" l="1"/>
  <c r="BU22" i="26" l="1"/>
  <c r="BV22" i="26" l="1"/>
  <c r="BW22" i="26" l="1"/>
  <c r="BX22" i="26" l="1"/>
  <c r="BY22" i="26" l="1"/>
  <c r="BZ22" i="26" l="1"/>
  <c r="CA22" i="26" l="1"/>
  <c r="BO22" i="26" s="1"/>
  <c r="CC22" i="26" l="1"/>
  <c r="CD22" i="26" l="1"/>
  <c r="CE22" i="26" l="1"/>
  <c r="CF22" i="26" l="1"/>
  <c r="CG22" i="26" l="1"/>
  <c r="CH22" i="26" l="1"/>
  <c r="CI22" i="26" l="1"/>
  <c r="CJ22" i="26" l="1"/>
  <c r="CK22" i="26" l="1"/>
  <c r="CL22" i="26" l="1"/>
  <c r="CM22" i="26" l="1"/>
  <c r="CN22" i="26" l="1"/>
  <c r="CB22" i="26" s="1"/>
  <c r="CP22" i="26" l="1"/>
  <c r="CQ22" i="26" l="1"/>
  <c r="CR22" i="26" l="1"/>
  <c r="CS22" i="26" l="1"/>
  <c r="CT22" i="26" l="1"/>
  <c r="CU22" i="26" l="1"/>
  <c r="CV22" i="26" l="1"/>
  <c r="CW22" i="26" l="1"/>
  <c r="CX22" i="26" l="1"/>
  <c r="CY22" i="26" l="1"/>
  <c r="CZ22" i="26" l="1"/>
  <c r="DA22" i="26" l="1"/>
  <c r="CO22" i="26" s="1"/>
  <c r="DC22" i="26" l="1"/>
  <c r="DD22" i="26" l="1"/>
  <c r="DE22" i="26" l="1"/>
  <c r="DF22" i="26" l="1"/>
  <c r="DG22" i="26" l="1"/>
  <c r="DH22" i="26" l="1"/>
  <c r="DI22" i="26" l="1"/>
  <c r="DJ22" i="26" l="1"/>
  <c r="DK22" i="26" l="1"/>
  <c r="DL22" i="26" l="1"/>
  <c r="DM22" i="26" l="1"/>
  <c r="DN22" i="26" l="1"/>
  <c r="DB22" i="26" s="1"/>
  <c r="DP22" i="26" l="1"/>
  <c r="DQ22" i="26" l="1"/>
  <c r="DR22" i="26" l="1"/>
  <c r="DS22" i="26" l="1"/>
  <c r="DT22" i="26" l="1"/>
  <c r="DU22" i="26" l="1"/>
  <c r="DV22" i="26" l="1"/>
  <c r="DW22" i="26" l="1"/>
  <c r="DX22" i="26" l="1"/>
  <c r="DY22" i="26" l="1"/>
  <c r="DZ22" i="26" l="1"/>
  <c r="EA22" i="26" l="1"/>
  <c r="DO22" i="26" s="1"/>
  <c r="EC22" i="26" l="1"/>
  <c r="ED22" i="26" l="1"/>
  <c r="EE22" i="26" l="1"/>
  <c r="EF22" i="26" l="1"/>
  <c r="EG22" i="26" l="1"/>
  <c r="EH22" i="26" l="1"/>
  <c r="EI22" i="26" l="1"/>
  <c r="EJ22" i="26" l="1"/>
  <c r="EK22" i="26" l="1"/>
  <c r="EL22" i="26" l="1"/>
  <c r="EM22" i="26" l="1"/>
  <c r="EN22" i="26" l="1"/>
  <c r="EB22" i="26" s="1"/>
  <c r="EP22" i="26" l="1"/>
  <c r="EQ22" i="26" l="1"/>
  <c r="ER22" i="26" l="1"/>
  <c r="ES22" i="26" l="1"/>
  <c r="ET22" i="26" l="1"/>
  <c r="EU22" i="26" l="1"/>
  <c r="EV22" i="26" l="1"/>
  <c r="EW22" i="26" l="1"/>
  <c r="EX22" i="26" l="1"/>
  <c r="EY22" i="26" l="1"/>
  <c r="EZ22" i="26" l="1"/>
  <c r="FA22" i="26" l="1"/>
  <c r="EO22" i="26" s="1"/>
  <c r="FC22" i="26" l="1"/>
  <c r="FD22" i="26" l="1"/>
  <c r="FE22" i="26" l="1"/>
  <c r="FF22" i="26" l="1"/>
  <c r="FG22" i="26" l="1"/>
  <c r="FH22" i="26" l="1"/>
  <c r="FI22" i="26" l="1"/>
  <c r="FJ22" i="26" l="1"/>
  <c r="FK22" i="26" l="1"/>
  <c r="FL22" i="26" l="1"/>
  <c r="FM22" i="26" l="1"/>
  <c r="FN22" i="26" l="1"/>
  <c r="FB22" i="26" s="1"/>
  <c r="FP22" i="26" l="1"/>
  <c r="FQ22" i="26" l="1"/>
  <c r="FR22" i="26" l="1"/>
  <c r="FS22" i="26" l="1"/>
  <c r="FT22" i="26" l="1"/>
  <c r="FU22" i="26" l="1"/>
  <c r="FV22" i="26" l="1"/>
  <c r="FW22" i="26" l="1"/>
  <c r="FX22" i="26" l="1"/>
  <c r="FY22" i="26" l="1"/>
  <c r="FZ22" i="26" l="1"/>
  <c r="GA22" i="26" l="1"/>
  <c r="FO22" i="26" s="1"/>
  <c r="GC22" i="26" l="1"/>
  <c r="GD22" i="26" l="1"/>
  <c r="GE22" i="26" l="1"/>
  <c r="GF22" i="26" l="1"/>
  <c r="GG22" i="26" l="1"/>
  <c r="GB22" i="26" l="1"/>
  <c r="C59" i="7" l="1"/>
  <c r="C27" i="26" s="1"/>
  <c r="C61" i="5"/>
  <c r="D57" i="5" s="1"/>
  <c r="C10" i="26"/>
  <c r="B10" i="26" s="1"/>
  <c r="B15" i="4"/>
  <c r="Q27" i="26" l="1"/>
  <c r="Q31" i="26" s="1"/>
  <c r="P31" i="26"/>
  <c r="C60" i="7"/>
  <c r="D58" i="5"/>
  <c r="D59" i="5"/>
  <c r="D56" i="5"/>
  <c r="D54" i="5"/>
  <c r="D60" i="5"/>
  <c r="D61" i="5"/>
  <c r="D55" i="5"/>
  <c r="C61" i="7" l="1"/>
  <c r="D27" i="26"/>
  <c r="D31" i="26" s="1"/>
  <c r="R27" i="26"/>
  <c r="R31" i="26" s="1"/>
  <c r="P30" i="26"/>
  <c r="C30" i="26"/>
  <c r="C62" i="7" l="1"/>
  <c r="E27" i="26"/>
  <c r="E31" i="26" s="1"/>
  <c r="C66" i="5"/>
  <c r="Q30" i="26"/>
  <c r="S27" i="26"/>
  <c r="S31" i="26" s="1"/>
  <c r="C63" i="7" l="1"/>
  <c r="F27" i="26"/>
  <c r="F31" i="26" s="1"/>
  <c r="R30" i="26"/>
  <c r="T27" i="26"/>
  <c r="T31" i="26" s="1"/>
  <c r="D30" i="26"/>
  <c r="C67" i="5"/>
  <c r="C64" i="7" l="1"/>
  <c r="G27" i="26"/>
  <c r="G31" i="26" s="1"/>
  <c r="E30" i="26"/>
  <c r="C68" i="5"/>
  <c r="U27" i="26"/>
  <c r="U31" i="26" s="1"/>
  <c r="S30" i="26"/>
  <c r="C65" i="7" l="1"/>
  <c r="H27" i="26"/>
  <c r="C69" i="5"/>
  <c r="F30" i="26"/>
  <c r="T30" i="26"/>
  <c r="V27" i="26"/>
  <c r="V31" i="26" s="1"/>
  <c r="H31" i="26" l="1"/>
  <c r="C66" i="7"/>
  <c r="I27" i="26"/>
  <c r="I31" i="26" s="1"/>
  <c r="W27" i="26"/>
  <c r="W31" i="26" s="1"/>
  <c r="U30" i="26"/>
  <c r="C70" i="5"/>
  <c r="G30" i="26"/>
  <c r="C67" i="7" l="1"/>
  <c r="J27" i="26"/>
  <c r="C71" i="5"/>
  <c r="H30" i="26"/>
  <c r="V30" i="26"/>
  <c r="X27" i="26"/>
  <c r="X31" i="26" s="1"/>
  <c r="J31" i="26" l="1"/>
  <c r="C68" i="7"/>
  <c r="K27" i="26"/>
  <c r="K31" i="26" s="1"/>
  <c r="W30" i="26"/>
  <c r="Y27" i="26"/>
  <c r="Y31" i="26" s="1"/>
  <c r="I30" i="26"/>
  <c r="C72" i="5"/>
  <c r="C69" i="7" l="1"/>
  <c r="L27" i="26"/>
  <c r="Z27" i="26"/>
  <c r="Z31" i="26" s="1"/>
  <c r="C73" i="5"/>
  <c r="J30" i="26"/>
  <c r="X30" i="26"/>
  <c r="L31" i="26" l="1"/>
  <c r="C70" i="7"/>
  <c r="N27" i="26" s="1"/>
  <c r="N31" i="26" s="1"/>
  <c r="B31" i="26" s="1"/>
  <c r="M27" i="26"/>
  <c r="M31" i="26" s="1"/>
  <c r="K30" i="26"/>
  <c r="C74" i="5"/>
  <c r="AA27" i="26"/>
  <c r="AC27" i="26" s="1"/>
  <c r="Y30" i="26"/>
  <c r="B27" i="26" l="1"/>
  <c r="AA31" i="26"/>
  <c r="O31" i="26" s="1"/>
  <c r="Z30" i="26"/>
  <c r="O27" i="26"/>
  <c r="C75" i="5"/>
  <c r="L30" i="26"/>
  <c r="C76" i="5" l="1"/>
  <c r="N30" i="26" s="1"/>
  <c r="M30" i="26"/>
  <c r="AD27" i="26"/>
  <c r="AA30" i="26"/>
  <c r="AC30" i="26" s="1"/>
  <c r="O30" i="26" l="1"/>
  <c r="B30" i="26"/>
  <c r="AE27" i="26"/>
  <c r="AF27" i="26" l="1"/>
  <c r="AD30" i="26"/>
  <c r="AE30" i="26" l="1"/>
  <c r="AG27" i="26"/>
  <c r="AH27" i="26" l="1"/>
  <c r="AF30" i="26"/>
  <c r="AG30" i="26" l="1"/>
  <c r="AI27" i="26"/>
  <c r="AJ27" i="26" l="1"/>
  <c r="AH30" i="26"/>
  <c r="AI30" i="26" l="1"/>
  <c r="AK27" i="26"/>
  <c r="AL27" i="26" l="1"/>
  <c r="AJ30" i="26"/>
  <c r="AK30" i="26" l="1"/>
  <c r="AM27" i="26"/>
  <c r="AN27" i="26" l="1"/>
  <c r="AB27" i="26" s="1"/>
  <c r="AL30" i="26"/>
  <c r="AP27" i="26" l="1"/>
  <c r="AM30" i="26"/>
  <c r="AQ27" i="26" l="1"/>
  <c r="AN30" i="26"/>
  <c r="AB30" i="26" s="1"/>
  <c r="AP30" i="26" l="1"/>
  <c r="AR27" i="26"/>
  <c r="AS27" i="26" l="1"/>
  <c r="AQ30" i="26"/>
  <c r="AR30" i="26" l="1"/>
  <c r="AT27" i="26"/>
  <c r="AU27" i="26" l="1"/>
  <c r="AS30" i="26"/>
  <c r="AV27" i="26" l="1"/>
  <c r="AT30" i="26"/>
  <c r="AU30" i="26" l="1"/>
  <c r="AW27" i="26"/>
  <c r="AX27" i="26" l="1"/>
  <c r="AV30" i="26"/>
  <c r="AW30" i="26" l="1"/>
  <c r="AY27" i="26"/>
  <c r="AZ27" i="26" l="1"/>
  <c r="AX30" i="26"/>
  <c r="AY30" i="26" l="1"/>
  <c r="BA27" i="26"/>
  <c r="AO27" i="26" s="1"/>
  <c r="BC27" i="26" l="1"/>
  <c r="AZ30" i="26"/>
  <c r="BD27" i="26" l="1"/>
  <c r="BA30" i="26"/>
  <c r="AO30" i="26" s="1"/>
  <c r="BC30" i="26" l="1"/>
  <c r="BE27" i="26"/>
  <c r="BF27" i="26" l="1"/>
  <c r="BD30" i="26"/>
  <c r="BE30" i="26" l="1"/>
  <c r="BG27" i="26"/>
  <c r="BH27" i="26" l="1"/>
  <c r="BF30" i="26"/>
  <c r="BG30" i="26" l="1"/>
  <c r="BI27" i="26"/>
  <c r="BJ27" i="26" l="1"/>
  <c r="BH30" i="26"/>
  <c r="BI30" i="26" l="1"/>
  <c r="BK27" i="26"/>
  <c r="BL27" i="26" l="1"/>
  <c r="BJ30" i="26"/>
  <c r="BK30" i="26" l="1"/>
  <c r="BM27" i="26"/>
  <c r="BN27" i="26" l="1"/>
  <c r="BB27" i="26" s="1"/>
  <c r="BL30" i="26"/>
  <c r="BP27" i="26" l="1"/>
  <c r="BM30" i="26"/>
  <c r="BQ27" i="26" l="1"/>
  <c r="BN30" i="26"/>
  <c r="BB30" i="26" s="1"/>
  <c r="BP30" i="26" l="1"/>
  <c r="BR27" i="26"/>
  <c r="BS27" i="26" l="1"/>
  <c r="BQ30" i="26"/>
  <c r="BR30" i="26" l="1"/>
  <c r="BT27" i="26"/>
  <c r="BU27" i="26" l="1"/>
  <c r="BS30" i="26"/>
  <c r="BV27" i="26" l="1"/>
  <c r="BT30" i="26"/>
  <c r="BU30" i="26" l="1"/>
  <c r="BW27" i="26"/>
  <c r="BX27" i="26" l="1"/>
  <c r="BV30" i="26"/>
  <c r="BW30" i="26" l="1"/>
  <c r="BY27" i="26"/>
  <c r="BZ27" i="26" l="1"/>
  <c r="BX30" i="26"/>
  <c r="BY30" i="26" l="1"/>
  <c r="CA27" i="26"/>
  <c r="BO27" i="26" s="1"/>
  <c r="CC27" i="26" l="1"/>
  <c r="BZ30" i="26"/>
  <c r="CD27" i="26" l="1"/>
  <c r="CA30" i="26"/>
  <c r="BO30" i="26" s="1"/>
  <c r="CE27" i="26" l="1"/>
  <c r="CC30" i="26"/>
  <c r="CF27" i="26" l="1"/>
  <c r="CD30" i="26"/>
  <c r="CE30" i="26" l="1"/>
  <c r="CG27" i="26"/>
  <c r="CH27" i="26" l="1"/>
  <c r="CF30" i="26"/>
  <c r="CG30" i="26" l="1"/>
  <c r="CI27" i="26"/>
  <c r="CJ27" i="26" l="1"/>
  <c r="CH30" i="26"/>
  <c r="CI30" i="26" l="1"/>
  <c r="CK27" i="26"/>
  <c r="CL27" i="26" l="1"/>
  <c r="CJ30" i="26"/>
  <c r="CK30" i="26" l="1"/>
  <c r="CM27" i="26"/>
  <c r="CL30" i="26" l="1"/>
  <c r="CN27" i="26"/>
  <c r="CB27" i="26" s="1"/>
  <c r="CP27" i="26" l="1"/>
  <c r="CM30" i="26"/>
  <c r="CN30" i="26" l="1"/>
  <c r="CB30" i="26" s="1"/>
  <c r="CQ27" i="26"/>
  <c r="CR27" i="26" l="1"/>
  <c r="CP30" i="26"/>
  <c r="CQ30" i="26" l="1"/>
  <c r="CS27" i="26"/>
  <c r="CR30" i="26" l="1"/>
  <c r="CT27" i="26"/>
  <c r="CU27" i="26" l="1"/>
  <c r="CS30" i="26"/>
  <c r="CT30" i="26" l="1"/>
  <c r="CV27" i="26"/>
  <c r="CW27" i="26" l="1"/>
  <c r="CU30" i="26"/>
  <c r="CX27" i="26" l="1"/>
  <c r="CV30" i="26"/>
  <c r="CW30" i="26" l="1"/>
  <c r="CY27" i="26"/>
  <c r="CZ27" i="26" l="1"/>
  <c r="CX30" i="26"/>
  <c r="CY30" i="26" l="1"/>
  <c r="DA27" i="26"/>
  <c r="CO27" i="26" s="1"/>
  <c r="DC27" i="26" l="1"/>
  <c r="CZ30" i="26"/>
  <c r="DD27" i="26" l="1"/>
  <c r="DA30" i="26"/>
  <c r="CO30" i="26" s="1"/>
  <c r="DC30" i="26" l="1"/>
  <c r="DE27" i="26"/>
  <c r="DF27" i="26" l="1"/>
  <c r="DD30" i="26"/>
  <c r="DE30" i="26" l="1"/>
  <c r="DG27" i="26"/>
  <c r="DH27" i="26" l="1"/>
  <c r="DF30" i="26"/>
  <c r="DG30" i="26" l="1"/>
  <c r="DI27" i="26"/>
  <c r="DJ27" i="26" l="1"/>
  <c r="DH30" i="26"/>
  <c r="DK27" i="26" l="1"/>
  <c r="DI30" i="26"/>
  <c r="DL27" i="26" l="1"/>
  <c r="DJ30" i="26"/>
  <c r="DK30" i="26" l="1"/>
  <c r="DM27" i="26"/>
  <c r="DN27" i="26" l="1"/>
  <c r="DB27" i="26" s="1"/>
  <c r="DL30" i="26"/>
  <c r="DP27" i="26" l="1"/>
  <c r="DM30" i="26"/>
  <c r="DN30" i="26" l="1"/>
  <c r="DB30" i="26" s="1"/>
  <c r="DQ27" i="26"/>
  <c r="DR27" i="26" l="1"/>
  <c r="DP30" i="26"/>
  <c r="DQ30" i="26" l="1"/>
  <c r="DS27" i="26"/>
  <c r="DT27" i="26" l="1"/>
  <c r="DR30" i="26"/>
  <c r="DS30" i="26" l="1"/>
  <c r="DU27" i="26"/>
  <c r="DV27" i="26" l="1"/>
  <c r="DT30" i="26"/>
  <c r="DU30" i="26" l="1"/>
  <c r="DW27" i="26"/>
  <c r="DX27" i="26" l="1"/>
  <c r="DV30" i="26"/>
  <c r="DW30" i="26" l="1"/>
  <c r="DY27" i="26"/>
  <c r="DZ27" i="26" l="1"/>
  <c r="DX30" i="26"/>
  <c r="EA27" i="26" l="1"/>
  <c r="DO27" i="26" s="1"/>
  <c r="DY30" i="26"/>
  <c r="EC27" i="26" l="1"/>
  <c r="DZ30" i="26"/>
  <c r="ED27" i="26" l="1"/>
  <c r="EA30" i="26"/>
  <c r="DO30" i="26" s="1"/>
  <c r="EC30" i="26" l="1"/>
  <c r="EE27" i="26"/>
  <c r="EF27" i="26" l="1"/>
  <c r="ED30" i="26"/>
  <c r="EE30" i="26" l="1"/>
  <c r="EG27" i="26"/>
  <c r="EH27" i="26" l="1"/>
  <c r="EF30" i="26"/>
  <c r="EI27" i="26" l="1"/>
  <c r="EG30" i="26"/>
  <c r="EH30" i="26" l="1"/>
  <c r="EJ27" i="26"/>
  <c r="EK27" i="26" l="1"/>
  <c r="EI30" i="26"/>
  <c r="EL27" i="26" l="1"/>
  <c r="EJ30" i="26"/>
  <c r="EM27" i="26" l="1"/>
  <c r="EK30" i="26"/>
  <c r="EL30" i="26" l="1"/>
  <c r="EN27" i="26"/>
  <c r="EB27" i="26" s="1"/>
  <c r="EP27" i="26" l="1"/>
  <c r="EM30" i="26"/>
  <c r="EN30" i="26" l="1"/>
  <c r="EB30" i="26" s="1"/>
  <c r="EQ27" i="26"/>
  <c r="ER27" i="26" l="1"/>
  <c r="EP30" i="26"/>
  <c r="EQ30" i="26" l="1"/>
  <c r="ES27" i="26"/>
  <c r="ET27" i="26" l="1"/>
  <c r="ER30" i="26"/>
  <c r="ES30" i="26" l="1"/>
  <c r="EU27" i="26"/>
  <c r="EV27" i="26" l="1"/>
  <c r="ET30" i="26"/>
  <c r="EU30" i="26" l="1"/>
  <c r="EW27" i="26"/>
  <c r="EX27" i="26" l="1"/>
  <c r="EV30" i="26"/>
  <c r="EW30" i="26" l="1"/>
  <c r="EY27" i="26"/>
  <c r="EZ27" i="26" l="1"/>
  <c r="EX30" i="26"/>
  <c r="FA27" i="26" l="1"/>
  <c r="EO27" i="26" s="1"/>
  <c r="EY30" i="26"/>
  <c r="FC27" i="26" l="1"/>
  <c r="EZ30" i="26"/>
  <c r="FD27" i="26" l="1"/>
  <c r="FA30" i="26"/>
  <c r="EO30" i="26" s="1"/>
  <c r="FC30" i="26" l="1"/>
  <c r="FE27" i="26"/>
  <c r="FF27" i="26" l="1"/>
  <c r="FD30" i="26"/>
  <c r="FG27" i="26" l="1"/>
  <c r="FE30" i="26"/>
  <c r="FF30" i="26" l="1"/>
  <c r="FH27" i="26"/>
  <c r="FI27" i="26" l="1"/>
  <c r="FG30" i="26"/>
  <c r="FH30" i="26" l="1"/>
  <c r="FJ27" i="26"/>
  <c r="FK27" i="26" l="1"/>
  <c r="FI30" i="26"/>
  <c r="FJ30" i="26" l="1"/>
  <c r="FL27" i="26"/>
  <c r="FM27" i="26" l="1"/>
  <c r="FK30" i="26"/>
  <c r="FL30" i="26" l="1"/>
  <c r="FN27" i="26"/>
  <c r="FB27" i="26" s="1"/>
  <c r="FP27" i="26" l="1"/>
  <c r="FM30" i="26"/>
  <c r="FQ27" i="26" l="1"/>
  <c r="FN30" i="26"/>
  <c r="FB30" i="26" s="1"/>
  <c r="FP30" i="26" l="1"/>
  <c r="FR27" i="26"/>
  <c r="FQ30" i="26" l="1"/>
  <c r="FS27" i="26"/>
  <c r="FT27" i="26" l="1"/>
  <c r="FR30" i="26"/>
  <c r="FS30" i="26" l="1"/>
  <c r="FU27" i="26"/>
  <c r="FV27" i="26" l="1"/>
  <c r="FT30" i="26"/>
  <c r="FU30" i="26" l="1"/>
  <c r="FW27" i="26"/>
  <c r="FX27" i="26" l="1"/>
  <c r="FV30" i="26"/>
  <c r="FW30" i="26" l="1"/>
  <c r="FY27" i="26"/>
  <c r="FZ27" i="26" l="1"/>
  <c r="FX30" i="26"/>
  <c r="FY30" i="26" l="1"/>
  <c r="GA27" i="26"/>
  <c r="FO27" i="26" s="1"/>
  <c r="GC27" i="26" l="1"/>
  <c r="FZ30" i="26"/>
  <c r="GA30" i="26" l="1"/>
  <c r="FO30" i="26" s="1"/>
  <c r="GD27" i="26"/>
  <c r="GE27" i="26" l="1"/>
  <c r="GC30" i="26"/>
  <c r="GD30" i="26" l="1"/>
  <c r="GF27" i="26"/>
  <c r="GG27" i="26" l="1"/>
  <c r="GE30" i="26"/>
  <c r="GF30" i="26" l="1"/>
  <c r="GG30" i="26" l="1"/>
  <c r="GB27" i="26" l="1"/>
  <c r="GB30" i="26" l="1"/>
  <c r="C21" i="26" l="1"/>
  <c r="C25" i="26" l="1"/>
  <c r="C18" i="26"/>
  <c r="C36" i="26"/>
  <c r="C34" i="26" s="1"/>
  <c r="C37" i="26" l="1"/>
  <c r="C39" i="26" s="1"/>
  <c r="C41" i="26" s="1"/>
  <c r="D12" i="26" s="1"/>
  <c r="D17" i="26"/>
  <c r="D18" i="26" s="1"/>
  <c r="D23" i="26"/>
  <c r="D21" i="26" s="1"/>
  <c r="E15" i="26"/>
  <c r="D32" i="26"/>
  <c r="D25" i="26" s="1"/>
  <c r="D36" i="26"/>
  <c r="D34" i="26" s="1"/>
  <c r="F15" i="26" l="1"/>
  <c r="E23" i="26"/>
  <c r="E21" i="26" s="1"/>
  <c r="E17" i="26"/>
  <c r="E18" i="26" s="1"/>
  <c r="E32" i="26"/>
  <c r="E25" i="26" s="1"/>
  <c r="E36" i="26"/>
  <c r="E34" i="26" s="1"/>
  <c r="D37" i="26"/>
  <c r="D39" i="26" s="1"/>
  <c r="D41" i="26" s="1"/>
  <c r="E12" i="26" s="1"/>
  <c r="E37" i="26" l="1"/>
  <c r="E39" i="26" s="1"/>
  <c r="E41" i="26" s="1"/>
  <c r="F12" i="26" s="1"/>
  <c r="F36" i="26"/>
  <c r="F34" i="26" s="1"/>
  <c r="G15" i="26"/>
  <c r="F23" i="26"/>
  <c r="F21" i="26" s="1"/>
  <c r="F32" i="26"/>
  <c r="F25" i="26" s="1"/>
  <c r="F17" i="26"/>
  <c r="F18" i="26" s="1"/>
  <c r="F37" i="26" l="1"/>
  <c r="F39" i="26" s="1"/>
  <c r="F41" i="26" s="1"/>
  <c r="G12" i="26" s="1"/>
  <c r="G17" i="26"/>
  <c r="G18" i="26" s="1"/>
  <c r="G36" i="26"/>
  <c r="G34" i="26" s="1"/>
  <c r="G23" i="26"/>
  <c r="G21" i="26" s="1"/>
  <c r="G32" i="26"/>
  <c r="G25" i="26" s="1"/>
  <c r="H15" i="26"/>
  <c r="G37" i="26" l="1"/>
  <c r="G39" i="26" s="1"/>
  <c r="G41" i="26" s="1"/>
  <c r="H12" i="26" s="1"/>
  <c r="H17" i="26"/>
  <c r="H18" i="26" s="1"/>
  <c r="I15" i="26"/>
  <c r="H23" i="26"/>
  <c r="H21" i="26" s="1"/>
  <c r="H36" i="26"/>
  <c r="H34" i="26" s="1"/>
  <c r="H32" i="26"/>
  <c r="H25" i="26" s="1"/>
  <c r="H37" i="26" l="1"/>
  <c r="H39" i="26" s="1"/>
  <c r="H41" i="26" s="1"/>
  <c r="I12" i="26" s="1"/>
  <c r="I32" i="26"/>
  <c r="I25" i="26" s="1"/>
  <c r="I17" i="26"/>
  <c r="I18" i="26" s="1"/>
  <c r="I36" i="26"/>
  <c r="I34" i="26" s="1"/>
  <c r="J15" i="26"/>
  <c r="I23" i="26"/>
  <c r="I21" i="26" s="1"/>
  <c r="I37" i="26" l="1"/>
  <c r="I39" i="26" s="1"/>
  <c r="I41" i="26" s="1"/>
  <c r="J12" i="26" s="1"/>
  <c r="J23" i="26"/>
  <c r="J21" i="26" s="1"/>
  <c r="J36" i="26"/>
  <c r="J34" i="26" s="1"/>
  <c r="J17" i="26"/>
  <c r="J18" i="26" s="1"/>
  <c r="K15" i="26"/>
  <c r="J32" i="26"/>
  <c r="J25" i="26" s="1"/>
  <c r="K32" i="26" l="1"/>
  <c r="K25" i="26" s="1"/>
  <c r="K23" i="26"/>
  <c r="K21" i="26" s="1"/>
  <c r="K17" i="26"/>
  <c r="K18" i="26" s="1"/>
  <c r="K36" i="26"/>
  <c r="K34" i="26" s="1"/>
  <c r="L15" i="26"/>
  <c r="J37" i="26"/>
  <c r="J39" i="26" s="1"/>
  <c r="J41" i="26" s="1"/>
  <c r="K12" i="26" s="1"/>
  <c r="K37" i="26" l="1"/>
  <c r="K39" i="26" s="1"/>
  <c r="K41" i="26" s="1"/>
  <c r="L12" i="26" s="1"/>
  <c r="L32" i="26"/>
  <c r="L25" i="26" s="1"/>
  <c r="L17" i="26"/>
  <c r="L18" i="26" s="1"/>
  <c r="L36" i="26"/>
  <c r="L34" i="26" s="1"/>
  <c r="L23" i="26"/>
  <c r="L21" i="26" s="1"/>
  <c r="M15" i="26"/>
  <c r="L37" i="26" l="1"/>
  <c r="L39" i="26" s="1"/>
  <c r="L41" i="26" s="1"/>
  <c r="M12" i="26" s="1"/>
  <c r="M23" i="26"/>
  <c r="M21" i="26" s="1"/>
  <c r="M32" i="26"/>
  <c r="M25" i="26" s="1"/>
  <c r="M36" i="26"/>
  <c r="M34" i="26" s="1"/>
  <c r="M17" i="26"/>
  <c r="M18" i="26" s="1"/>
  <c r="N15" i="26"/>
  <c r="N32" i="26" l="1"/>
  <c r="N23" i="26"/>
  <c r="N36" i="26"/>
  <c r="N17" i="26"/>
  <c r="P15" i="26"/>
  <c r="B15" i="26"/>
  <c r="M37" i="26"/>
  <c r="M39" i="26" s="1"/>
  <c r="M41" i="26" s="1"/>
  <c r="N12" i="26" s="1"/>
  <c r="B17" i="26" l="1"/>
  <c r="B18" i="26" s="1"/>
  <c r="N18" i="26"/>
  <c r="B36" i="26"/>
  <c r="B34" i="26" s="1"/>
  <c r="N34" i="26"/>
  <c r="P23" i="26"/>
  <c r="P21" i="26" s="1"/>
  <c r="P36" i="26"/>
  <c r="P34" i="26" s="1"/>
  <c r="Q15" i="26"/>
  <c r="P17" i="26"/>
  <c r="P18" i="26" s="1"/>
  <c r="P32" i="26"/>
  <c r="P25" i="26" s="1"/>
  <c r="N21" i="26"/>
  <c r="B23" i="26"/>
  <c r="B21" i="26" s="1"/>
  <c r="N25" i="26"/>
  <c r="B32" i="26"/>
  <c r="B25" i="26" s="1"/>
  <c r="P37" i="26" l="1"/>
  <c r="P39" i="26" s="1"/>
  <c r="Q32" i="26"/>
  <c r="Q25" i="26" s="1"/>
  <c r="Q36" i="26"/>
  <c r="Q34" i="26" s="1"/>
  <c r="Q23" i="26"/>
  <c r="Q21" i="26" s="1"/>
  <c r="Q17" i="26"/>
  <c r="Q18" i="26" s="1"/>
  <c r="R15" i="26"/>
  <c r="B37" i="26"/>
  <c r="B39" i="26" s="1"/>
  <c r="B41" i="26" s="1"/>
  <c r="O12" i="26" s="1"/>
  <c r="N37" i="26"/>
  <c r="N39" i="26" s="1"/>
  <c r="N41" i="26" s="1"/>
  <c r="P12" i="26" s="1"/>
  <c r="P41" i="26" l="1"/>
  <c r="Q12" i="26" s="1"/>
  <c r="Q37" i="26"/>
  <c r="Q39" i="26" s="1"/>
  <c r="R36" i="26"/>
  <c r="R34" i="26" s="1"/>
  <c r="R23" i="26"/>
  <c r="R21" i="26" s="1"/>
  <c r="R32" i="26"/>
  <c r="R25" i="26" s="1"/>
  <c r="R17" i="26"/>
  <c r="R18" i="26" s="1"/>
  <c r="S15" i="26"/>
  <c r="Q41" i="26" l="1"/>
  <c r="R12" i="26" s="1"/>
  <c r="R37" i="26"/>
  <c r="R39" i="26" s="1"/>
  <c r="S23" i="26"/>
  <c r="S21" i="26" s="1"/>
  <c r="T15" i="26"/>
  <c r="S32" i="26"/>
  <c r="S25" i="26" s="1"/>
  <c r="S17" i="26"/>
  <c r="S18" i="26" s="1"/>
  <c r="S36" i="26"/>
  <c r="S34" i="26" s="1"/>
  <c r="R41" i="26" l="1"/>
  <c r="S12" i="26" s="1"/>
  <c r="S37" i="26"/>
  <c r="S39" i="26" s="1"/>
  <c r="T32" i="26"/>
  <c r="T25" i="26" s="1"/>
  <c r="T23" i="26"/>
  <c r="T21" i="26" s="1"/>
  <c r="T17" i="26"/>
  <c r="T18" i="26" s="1"/>
  <c r="T36" i="26"/>
  <c r="T34" i="26" s="1"/>
  <c r="U15" i="26"/>
  <c r="S41" i="26" l="1"/>
  <c r="T12" i="26" s="1"/>
  <c r="T37" i="26"/>
  <c r="T39" i="26" s="1"/>
  <c r="U32" i="26"/>
  <c r="U25" i="26" s="1"/>
  <c r="U23" i="26"/>
  <c r="U21" i="26" s="1"/>
  <c r="U36" i="26"/>
  <c r="U34" i="26" s="1"/>
  <c r="U17" i="26"/>
  <c r="U18" i="26" s="1"/>
  <c r="V15" i="26"/>
  <c r="T41" i="26" l="1"/>
  <c r="U12" i="26" s="1"/>
  <c r="U37" i="26"/>
  <c r="U39" i="26" s="1"/>
  <c r="V23" i="26"/>
  <c r="V21" i="26" s="1"/>
  <c r="V32" i="26"/>
  <c r="V25" i="26" s="1"/>
  <c r="V17" i="26"/>
  <c r="V18" i="26" s="1"/>
  <c r="V36" i="26"/>
  <c r="V34" i="26" s="1"/>
  <c r="W15" i="26"/>
  <c r="U41" i="26" l="1"/>
  <c r="V12" i="26" s="1"/>
  <c r="W32" i="26"/>
  <c r="W25" i="26" s="1"/>
  <c r="W23" i="26"/>
  <c r="W21" i="26" s="1"/>
  <c r="W36" i="26"/>
  <c r="W34" i="26" s="1"/>
  <c r="W17" i="26"/>
  <c r="W18" i="26" s="1"/>
  <c r="X15" i="26"/>
  <c r="V37" i="26"/>
  <c r="V39" i="26" s="1"/>
  <c r="V41" i="26" l="1"/>
  <c r="W12" i="26" s="1"/>
  <c r="X36" i="26"/>
  <c r="X34" i="26" s="1"/>
  <c r="X17" i="26"/>
  <c r="X18" i="26" s="1"/>
  <c r="Y15" i="26"/>
  <c r="X23" i="26"/>
  <c r="X21" i="26" s="1"/>
  <c r="X32" i="26"/>
  <c r="X25" i="26" s="1"/>
  <c r="W37" i="26"/>
  <c r="W39" i="26" s="1"/>
  <c r="W41" i="26" l="1"/>
  <c r="X12" i="26" s="1"/>
  <c r="X37" i="26"/>
  <c r="X39" i="26" s="1"/>
  <c r="Y23" i="26"/>
  <c r="Y21" i="26" s="1"/>
  <c r="Y32" i="26"/>
  <c r="Y25" i="26" s="1"/>
  <c r="Y17" i="26"/>
  <c r="Y18" i="26" s="1"/>
  <c r="Y36" i="26"/>
  <c r="Y34" i="26" s="1"/>
  <c r="Z15" i="26"/>
  <c r="X41" i="26" l="1"/>
  <c r="Y12" i="26" s="1"/>
  <c r="Z23" i="26"/>
  <c r="Z21" i="26" s="1"/>
  <c r="Z32" i="26"/>
  <c r="Z25" i="26" s="1"/>
  <c r="Z17" i="26"/>
  <c r="Z18" i="26" s="1"/>
  <c r="AA15" i="26"/>
  <c r="Z36" i="26"/>
  <c r="Z34" i="26" s="1"/>
  <c r="Y37" i="26"/>
  <c r="Y39" i="26" s="1"/>
  <c r="Y41" i="26" l="1"/>
  <c r="Z12" i="26" s="1"/>
  <c r="O15" i="26"/>
  <c r="AA23" i="26"/>
  <c r="AA36" i="26"/>
  <c r="AA34" i="26" s="1"/>
  <c r="AA32" i="26"/>
  <c r="AC15" i="26"/>
  <c r="AC26" i="26" s="1"/>
  <c r="AC28" i="26" s="1"/>
  <c r="AA17" i="26"/>
  <c r="O17" i="26" s="1"/>
  <c r="Z37" i="26"/>
  <c r="Z39" i="26" s="1"/>
  <c r="Z41" i="26" l="1"/>
  <c r="AA12" i="26" s="1"/>
  <c r="AC23" i="26"/>
  <c r="AC21" i="26" s="1"/>
  <c r="AC32" i="26"/>
  <c r="AC17" i="26"/>
  <c r="AC18" i="26" s="1"/>
  <c r="AC36" i="26"/>
  <c r="AC34" i="26" s="1"/>
  <c r="AC31" i="26"/>
  <c r="AC25" i="26" s="1"/>
  <c r="AD15" i="26"/>
  <c r="AA21" i="26"/>
  <c r="O23" i="26"/>
  <c r="O21" i="26" s="1"/>
  <c r="O18" i="26"/>
  <c r="O32" i="26"/>
  <c r="O25" i="26" s="1"/>
  <c r="AA25" i="26"/>
  <c r="AA18" i="26"/>
  <c r="O36" i="26"/>
  <c r="O34" i="26" s="1"/>
  <c r="AA37" i="26" l="1"/>
  <c r="AA39" i="26" s="1"/>
  <c r="AA41" i="26" s="1"/>
  <c r="AC12" i="26" s="1"/>
  <c r="AC37" i="26"/>
  <c r="AC39" i="26" s="1"/>
  <c r="O37" i="26"/>
  <c r="O39" i="26" s="1"/>
  <c r="O41" i="26" s="1"/>
  <c r="AB12" i="26" s="1"/>
  <c r="AD23" i="26"/>
  <c r="AD21" i="26" s="1"/>
  <c r="AD26" i="26"/>
  <c r="AD17" i="26"/>
  <c r="AD18" i="26" s="1"/>
  <c r="AD32" i="26"/>
  <c r="AD36" i="26"/>
  <c r="AD34" i="26" s="1"/>
  <c r="AE15" i="26"/>
  <c r="AC41" i="26" l="1"/>
  <c r="AD12" i="26" s="1"/>
  <c r="AD28" i="26"/>
  <c r="AD31" i="26" s="1"/>
  <c r="AD25" i="26" s="1"/>
  <c r="AD37" i="26" s="1"/>
  <c r="AD39" i="26" s="1"/>
  <c r="AE32" i="26"/>
  <c r="AE36" i="26"/>
  <c r="AE34" i="26" s="1"/>
  <c r="AF15" i="26"/>
  <c r="AE23" i="26"/>
  <c r="AE21" i="26" s="1"/>
  <c r="AE17" i="26"/>
  <c r="AE18" i="26" s="1"/>
  <c r="AE26" i="26"/>
  <c r="AE28" i="26" s="1"/>
  <c r="AE31" i="26" s="1"/>
  <c r="AD41" i="26" l="1"/>
  <c r="AE12" i="26" s="1"/>
  <c r="AF36" i="26"/>
  <c r="AF34" i="26" s="1"/>
  <c r="AF17" i="26"/>
  <c r="AF18" i="26" s="1"/>
  <c r="AF32" i="26"/>
  <c r="AG15" i="26"/>
  <c r="AF23" i="26"/>
  <c r="AF21" i="26" s="1"/>
  <c r="AF26" i="26"/>
  <c r="AF28" i="26" s="1"/>
  <c r="AF31" i="26" s="1"/>
  <c r="AE25" i="26"/>
  <c r="AE37" i="26" s="1"/>
  <c r="AE39" i="26" s="1"/>
  <c r="AE41" i="26" l="1"/>
  <c r="AF12" i="26" s="1"/>
  <c r="AF25" i="26"/>
  <c r="AF37" i="26" s="1"/>
  <c r="AF39" i="26" s="1"/>
  <c r="AG17" i="26"/>
  <c r="AG18" i="26" s="1"/>
  <c r="AG23" i="26"/>
  <c r="AG21" i="26" s="1"/>
  <c r="AG32" i="26"/>
  <c r="AG36" i="26"/>
  <c r="AG34" i="26" s="1"/>
  <c r="AG26" i="26"/>
  <c r="AH15" i="26"/>
  <c r="AF41" i="26" l="1"/>
  <c r="AG12" i="26" s="1"/>
  <c r="AH23" i="26"/>
  <c r="AH21" i="26" s="1"/>
  <c r="AH26" i="26"/>
  <c r="AH36" i="26"/>
  <c r="AH34" i="26" s="1"/>
  <c r="AH32" i="26"/>
  <c r="AH17" i="26"/>
  <c r="AH18" i="26" s="1"/>
  <c r="AI15" i="26"/>
  <c r="AG28" i="26"/>
  <c r="AG31" i="26" s="1"/>
  <c r="AG25" i="26" l="1"/>
  <c r="AG37" i="26" s="1"/>
  <c r="AG39" i="26" s="1"/>
  <c r="AG41" i="26" s="1"/>
  <c r="AH12" i="26" s="1"/>
  <c r="AI23" i="26"/>
  <c r="AI21" i="26" s="1"/>
  <c r="AI26" i="26"/>
  <c r="AI17" i="26"/>
  <c r="AI18" i="26" s="1"/>
  <c r="AI36" i="26"/>
  <c r="AI34" i="26" s="1"/>
  <c r="AI32" i="26"/>
  <c r="AJ15" i="26"/>
  <c r="AH28" i="26"/>
  <c r="AH31" i="26" s="1"/>
  <c r="AJ26" i="26" l="1"/>
  <c r="AJ32" i="26"/>
  <c r="AJ17" i="26"/>
  <c r="AJ18" i="26" s="1"/>
  <c r="AJ23" i="26"/>
  <c r="AJ21" i="26" s="1"/>
  <c r="AJ36" i="26"/>
  <c r="AJ34" i="26" s="1"/>
  <c r="AK15" i="26"/>
  <c r="AI28" i="26"/>
  <c r="AI31" i="26" s="1"/>
  <c r="AH25" i="26"/>
  <c r="AH37" i="26" s="1"/>
  <c r="AH39" i="26" s="1"/>
  <c r="AH41" i="26" s="1"/>
  <c r="AI12" i="26" s="1"/>
  <c r="AI25" i="26" l="1"/>
  <c r="AI37" i="26" s="1"/>
  <c r="AI39" i="26" s="1"/>
  <c r="AI41" i="26" s="1"/>
  <c r="AJ12" i="26" s="1"/>
  <c r="AL15" i="26"/>
  <c r="AK23" i="26"/>
  <c r="AK21" i="26" s="1"/>
  <c r="AK26" i="26"/>
  <c r="AK36" i="26"/>
  <c r="AK34" i="26" s="1"/>
  <c r="AK17" i="26"/>
  <c r="AK18" i="26" s="1"/>
  <c r="AK32" i="26"/>
  <c r="AJ28" i="26"/>
  <c r="AJ31" i="26" s="1"/>
  <c r="AK28" i="26" l="1"/>
  <c r="AK31" i="26" s="1"/>
  <c r="AJ25" i="26"/>
  <c r="AJ37" i="26" s="1"/>
  <c r="AJ39" i="26" s="1"/>
  <c r="AJ41" i="26" s="1"/>
  <c r="AK12" i="26" s="1"/>
  <c r="AL32" i="26"/>
  <c r="AM15" i="26"/>
  <c r="AL26" i="26"/>
  <c r="AL17" i="26"/>
  <c r="AL18" i="26" s="1"/>
  <c r="AL23" i="26"/>
  <c r="AL21" i="26" s="1"/>
  <c r="AL36" i="26"/>
  <c r="AL34" i="26" s="1"/>
  <c r="AK25" i="26" l="1"/>
  <c r="AK37" i="26" s="1"/>
  <c r="AK39" i="26" s="1"/>
  <c r="AK41" i="26" s="1"/>
  <c r="AL12" i="26" s="1"/>
  <c r="AL28" i="26"/>
  <c r="AL31" i="26" s="1"/>
  <c r="AL25" i="26" s="1"/>
  <c r="AL37" i="26" s="1"/>
  <c r="AL39" i="26" s="1"/>
  <c r="AM17" i="26"/>
  <c r="AM18" i="26" s="1"/>
  <c r="AM36" i="26"/>
  <c r="AM34" i="26" s="1"/>
  <c r="AN15" i="26"/>
  <c r="AM26" i="26"/>
  <c r="AM32" i="26"/>
  <c r="AM23" i="26"/>
  <c r="AM21" i="26" s="1"/>
  <c r="AL41" i="26" l="1"/>
  <c r="AM12" i="26" s="1"/>
  <c r="AM28" i="26"/>
  <c r="AM31" i="26" s="1"/>
  <c r="AB15" i="26"/>
  <c r="AN36" i="26"/>
  <c r="AN17" i="26"/>
  <c r="AB17" i="26" s="1"/>
  <c r="AB18" i="26" s="1"/>
  <c r="AN32" i="26"/>
  <c r="AB32" i="26" s="1"/>
  <c r="AP15" i="26"/>
  <c r="AN26" i="26"/>
  <c r="AN28" i="26" s="1"/>
  <c r="AN31" i="26" s="1"/>
  <c r="AN23" i="26"/>
  <c r="AB31" i="26" l="1"/>
  <c r="AB28" i="26"/>
  <c r="AM25" i="26"/>
  <c r="AM37" i="26" s="1"/>
  <c r="AM39" i="26" s="1"/>
  <c r="AM41" i="26" s="1"/>
  <c r="AN12" i="26" s="1"/>
  <c r="AB23" i="26"/>
  <c r="AB21" i="26" s="1"/>
  <c r="AN21" i="26"/>
  <c r="AB36" i="26"/>
  <c r="AB34" i="26" s="1"/>
  <c r="AN34" i="26"/>
  <c r="AN18" i="26"/>
  <c r="AP17" i="26"/>
  <c r="AP18" i="26" s="1"/>
  <c r="AP26" i="26"/>
  <c r="AP28" i="26" s="1"/>
  <c r="AP31" i="26" s="1"/>
  <c r="AP32" i="26"/>
  <c r="AP36" i="26"/>
  <c r="AP34" i="26" s="1"/>
  <c r="AP23" i="26"/>
  <c r="AP21" i="26" s="1"/>
  <c r="AQ15" i="26"/>
  <c r="AB26" i="26"/>
  <c r="AN25" i="26"/>
  <c r="AB25" i="26" l="1"/>
  <c r="AB37" i="26" s="1"/>
  <c r="AB39" i="26" s="1"/>
  <c r="AB41" i="26" s="1"/>
  <c r="AO12" i="26" s="1"/>
  <c r="AN37" i="26"/>
  <c r="AN39" i="26" s="1"/>
  <c r="AN41" i="26" s="1"/>
  <c r="AP12" i="26" s="1"/>
  <c r="AP25" i="26"/>
  <c r="AP37" i="26" s="1"/>
  <c r="AP39" i="26" s="1"/>
  <c r="AQ23" i="26"/>
  <c r="AQ21" i="26" s="1"/>
  <c r="AQ26" i="26"/>
  <c r="AQ28" i="26" s="1"/>
  <c r="AQ31" i="26" s="1"/>
  <c r="AQ36" i="26"/>
  <c r="AQ34" i="26" s="1"/>
  <c r="AQ17" i="26"/>
  <c r="AQ18" i="26" s="1"/>
  <c r="AQ32" i="26"/>
  <c r="AR15" i="26"/>
  <c r="AP41" i="26" l="1"/>
  <c r="AQ12" i="26" s="1"/>
  <c r="AR23" i="26"/>
  <c r="AR21" i="26" s="1"/>
  <c r="AR36" i="26"/>
  <c r="AR34" i="26" s="1"/>
  <c r="AS15" i="26"/>
  <c r="AR26" i="26"/>
  <c r="AR32" i="26"/>
  <c r="AR17" i="26"/>
  <c r="AR18" i="26" s="1"/>
  <c r="AQ25" i="26"/>
  <c r="AQ37" i="26" s="1"/>
  <c r="AQ39" i="26" s="1"/>
  <c r="AQ41" i="26" l="1"/>
  <c r="AR12" i="26" s="1"/>
  <c r="AR28" i="26"/>
  <c r="AR31" i="26" s="1"/>
  <c r="AR25" i="26" s="1"/>
  <c r="AR37" i="26" s="1"/>
  <c r="AR39" i="26" s="1"/>
  <c r="AS23" i="26"/>
  <c r="AS21" i="26" s="1"/>
  <c r="AS26" i="26"/>
  <c r="AS28" i="26" s="1"/>
  <c r="AS31" i="26" s="1"/>
  <c r="AS36" i="26"/>
  <c r="AS34" i="26" s="1"/>
  <c r="AS32" i="26"/>
  <c r="AT15" i="26"/>
  <c r="AS17" i="26"/>
  <c r="AS18" i="26" s="1"/>
  <c r="AR41" i="26" l="1"/>
  <c r="AS12" i="26" s="1"/>
  <c r="AS25" i="26"/>
  <c r="AS37" i="26" s="1"/>
  <c r="AS39" i="26" s="1"/>
  <c r="AT23" i="26"/>
  <c r="AT21" i="26" s="1"/>
  <c r="AT26" i="26"/>
  <c r="AT36" i="26"/>
  <c r="AT34" i="26" s="1"/>
  <c r="AT32" i="26"/>
  <c r="AT17" i="26"/>
  <c r="AT18" i="26" s="1"/>
  <c r="AU15" i="26"/>
  <c r="AS41" i="26" l="1"/>
  <c r="AT12" i="26" s="1"/>
  <c r="AU23" i="26"/>
  <c r="AU21" i="26" s="1"/>
  <c r="AU26" i="26"/>
  <c r="AU36" i="26"/>
  <c r="AU34" i="26" s="1"/>
  <c r="AU32" i="26"/>
  <c r="AV15" i="26"/>
  <c r="AU17" i="26"/>
  <c r="AU18" i="26" s="1"/>
  <c r="AT28" i="26"/>
  <c r="AT31" i="26" s="1"/>
  <c r="AT25" i="26" l="1"/>
  <c r="AT37" i="26" s="1"/>
  <c r="AT39" i="26" s="1"/>
  <c r="AT41" i="26" s="1"/>
  <c r="AU12" i="26" s="1"/>
  <c r="AV26" i="26"/>
  <c r="AV17" i="26"/>
  <c r="AV18" i="26" s="1"/>
  <c r="AV23" i="26"/>
  <c r="AV21" i="26" s="1"/>
  <c r="AV32" i="26"/>
  <c r="AW15" i="26"/>
  <c r="AV36" i="26"/>
  <c r="AV34" i="26" s="1"/>
  <c r="AU28" i="26"/>
  <c r="AU31" i="26" s="1"/>
  <c r="AV28" i="26" l="1"/>
  <c r="AV31" i="26" s="1"/>
  <c r="AV25" i="26" s="1"/>
  <c r="AV37" i="26" s="1"/>
  <c r="AV39" i="26" s="1"/>
  <c r="AW26" i="26"/>
  <c r="AW23" i="26"/>
  <c r="AW21" i="26" s="1"/>
  <c r="AW36" i="26"/>
  <c r="AW34" i="26" s="1"/>
  <c r="AW32" i="26"/>
  <c r="AW17" i="26"/>
  <c r="AW18" i="26" s="1"/>
  <c r="AX15" i="26"/>
  <c r="AU25" i="26"/>
  <c r="AU37" i="26" s="1"/>
  <c r="AU39" i="26" s="1"/>
  <c r="AU41" i="26" s="1"/>
  <c r="AV12" i="26" s="1"/>
  <c r="AV41" i="26" l="1"/>
  <c r="AW12" i="26" s="1"/>
  <c r="AY15" i="26"/>
  <c r="AX23" i="26"/>
  <c r="AX21" i="26" s="1"/>
  <c r="AX26" i="26"/>
  <c r="AX17" i="26"/>
  <c r="AX18" i="26" s="1"/>
  <c r="AX32" i="26"/>
  <c r="AX36" i="26"/>
  <c r="AX34" i="26" s="1"/>
  <c r="AW28" i="26"/>
  <c r="AW31" i="26" s="1"/>
  <c r="AZ15" i="26" l="1"/>
  <c r="AY17" i="26"/>
  <c r="AY18" i="26" s="1"/>
  <c r="AY23" i="26"/>
  <c r="AY21" i="26" s="1"/>
  <c r="AY32" i="26"/>
  <c r="AY36" i="26"/>
  <c r="AY34" i="26" s="1"/>
  <c r="AY26" i="26"/>
  <c r="AX28" i="26"/>
  <c r="AX31" i="26" s="1"/>
  <c r="AW25" i="26"/>
  <c r="AW37" i="26" s="1"/>
  <c r="AW39" i="26" s="1"/>
  <c r="AW41" i="26" s="1"/>
  <c r="AX12" i="26" s="1"/>
  <c r="AX25" i="26" l="1"/>
  <c r="AX37" i="26" s="1"/>
  <c r="AX39" i="26" s="1"/>
  <c r="AX41" i="26" s="1"/>
  <c r="AY12" i="26" s="1"/>
  <c r="AY28" i="26"/>
  <c r="AY31" i="26" s="1"/>
  <c r="BA15" i="26"/>
  <c r="AZ36" i="26"/>
  <c r="AZ34" i="26" s="1"/>
  <c r="AZ17" i="26"/>
  <c r="AZ18" i="26" s="1"/>
  <c r="AZ23" i="26"/>
  <c r="AZ21" i="26" s="1"/>
  <c r="AZ26" i="26"/>
  <c r="AZ32" i="26"/>
  <c r="AO15" i="26" l="1"/>
  <c r="BC15" i="26"/>
  <c r="BA23" i="26"/>
  <c r="BA26" i="26"/>
  <c r="BA17" i="26"/>
  <c r="AO17" i="26" s="1"/>
  <c r="AO18" i="26" s="1"/>
  <c r="BA32" i="26"/>
  <c r="AO32" i="26" s="1"/>
  <c r="BA36" i="26"/>
  <c r="AY25" i="26"/>
  <c r="AY37" i="26" s="1"/>
  <c r="AY39" i="26" s="1"/>
  <c r="AY41" i="26" s="1"/>
  <c r="AZ12" i="26" s="1"/>
  <c r="AZ28" i="26"/>
  <c r="AZ31" i="26" s="1"/>
  <c r="BA28" i="26" l="1"/>
  <c r="AO26" i="26"/>
  <c r="AO23" i="26"/>
  <c r="AO21" i="26" s="1"/>
  <c r="BA21" i="26"/>
  <c r="AZ25" i="26"/>
  <c r="AZ37" i="26" s="1"/>
  <c r="AZ39" i="26" s="1"/>
  <c r="AZ41" i="26" s="1"/>
  <c r="BA12" i="26" s="1"/>
  <c r="BC23" i="26"/>
  <c r="BC21" i="26" s="1"/>
  <c r="BD15" i="26"/>
  <c r="BC32" i="26"/>
  <c r="BC36" i="26"/>
  <c r="BC34" i="26" s="1"/>
  <c r="BC17" i="26"/>
  <c r="BC18" i="26" s="1"/>
  <c r="BC26" i="26"/>
  <c r="BC28" i="26" s="1"/>
  <c r="BC31" i="26" s="1"/>
  <c r="AO36" i="26"/>
  <c r="AO34" i="26" s="1"/>
  <c r="BA34" i="26"/>
  <c r="BA18" i="26"/>
  <c r="BC25" i="26" l="1"/>
  <c r="BC37" i="26" s="1"/>
  <c r="BC39" i="26" s="1"/>
  <c r="BD23" i="26"/>
  <c r="BD21" i="26" s="1"/>
  <c r="BD26" i="26"/>
  <c r="BD32" i="26"/>
  <c r="BD17" i="26"/>
  <c r="BD18" i="26" s="1"/>
  <c r="BD36" i="26"/>
  <c r="BD34" i="26" s="1"/>
  <c r="BE15" i="26"/>
  <c r="BA31" i="26"/>
  <c r="AO28" i="26"/>
  <c r="BD28" i="26" l="1"/>
  <c r="BD31" i="26" s="1"/>
  <c r="BD25" i="26" s="1"/>
  <c r="BD37" i="26" s="1"/>
  <c r="BD39" i="26" s="1"/>
  <c r="BF15" i="26"/>
  <c r="BE23" i="26"/>
  <c r="BE21" i="26" s="1"/>
  <c r="BE26" i="26"/>
  <c r="BE32" i="26"/>
  <c r="BE36" i="26"/>
  <c r="BE34" i="26" s="1"/>
  <c r="BE17" i="26"/>
  <c r="BE18" i="26" s="1"/>
  <c r="AO31" i="26"/>
  <c r="AO25" i="26" s="1"/>
  <c r="AO37" i="26" s="1"/>
  <c r="AO39" i="26" s="1"/>
  <c r="AO41" i="26" s="1"/>
  <c r="BB12" i="26" s="1"/>
  <c r="BA25" i="26"/>
  <c r="BA37" i="26" s="1"/>
  <c r="BA39" i="26" s="1"/>
  <c r="BA41" i="26" s="1"/>
  <c r="BC12" i="26" s="1"/>
  <c r="BC41" i="26" s="1"/>
  <c r="BD12" i="26" s="1"/>
  <c r="BD41" i="26" l="1"/>
  <c r="BE12" i="26" s="1"/>
  <c r="BE28" i="26"/>
  <c r="BE31" i="26" s="1"/>
  <c r="BF32" i="26"/>
  <c r="BF23" i="26"/>
  <c r="BF21" i="26" s="1"/>
  <c r="BF26" i="26"/>
  <c r="BF28" i="26" s="1"/>
  <c r="BF31" i="26" s="1"/>
  <c r="BF17" i="26"/>
  <c r="BF18" i="26" s="1"/>
  <c r="BF36" i="26"/>
  <c r="BF34" i="26" s="1"/>
  <c r="BG15" i="26"/>
  <c r="BF25" i="26" l="1"/>
  <c r="BF37" i="26" s="1"/>
  <c r="BF39" i="26" s="1"/>
  <c r="BE25" i="26"/>
  <c r="BE37" i="26" s="1"/>
  <c r="BE39" i="26" s="1"/>
  <c r="BE41" i="26" s="1"/>
  <c r="BF12" i="26" s="1"/>
  <c r="BG36" i="26"/>
  <c r="BG34" i="26" s="1"/>
  <c r="BG32" i="26"/>
  <c r="BG17" i="26"/>
  <c r="BG18" i="26" s="1"/>
  <c r="BG26" i="26"/>
  <c r="BH15" i="26"/>
  <c r="BG23" i="26"/>
  <c r="BG21" i="26" s="1"/>
  <c r="BF41" i="26" l="1"/>
  <c r="BG12" i="26" s="1"/>
  <c r="BI15" i="26"/>
  <c r="BH23" i="26"/>
  <c r="BH21" i="26" s="1"/>
  <c r="BH32" i="26"/>
  <c r="BH17" i="26"/>
  <c r="BH18" i="26" s="1"/>
  <c r="BH36" i="26"/>
  <c r="BH34" i="26" s="1"/>
  <c r="BH26" i="26"/>
  <c r="BG28" i="26"/>
  <c r="BG31" i="26" s="1"/>
  <c r="BG25" i="26" l="1"/>
  <c r="BH28" i="26"/>
  <c r="BH31" i="26" s="1"/>
  <c r="BH25" i="26" s="1"/>
  <c r="BH37" i="26" s="1"/>
  <c r="BH39" i="26" s="1"/>
  <c r="BI32" i="26"/>
  <c r="BI23" i="26"/>
  <c r="BI21" i="26" s="1"/>
  <c r="BI26" i="26"/>
  <c r="BI36" i="26"/>
  <c r="BI34" i="26" s="1"/>
  <c r="BI17" i="26"/>
  <c r="BI18" i="26" s="1"/>
  <c r="BJ15" i="26"/>
  <c r="BG37" i="26"/>
  <c r="BG39" i="26" s="1"/>
  <c r="BG41" i="26" s="1"/>
  <c r="BH12" i="26" s="1"/>
  <c r="BH41" i="26" l="1"/>
  <c r="BI12" i="26" s="1"/>
  <c r="BI28" i="26"/>
  <c r="BI31" i="26" s="1"/>
  <c r="BK15" i="26"/>
  <c r="BJ23" i="26"/>
  <c r="BJ21" i="26" s="1"/>
  <c r="BJ17" i="26"/>
  <c r="BJ18" i="26" s="1"/>
  <c r="BJ32" i="26"/>
  <c r="BJ36" i="26"/>
  <c r="BJ34" i="26" s="1"/>
  <c r="BJ26" i="26"/>
  <c r="BL15" i="26" l="1"/>
  <c r="BK26" i="26"/>
  <c r="BK36" i="26"/>
  <c r="BK34" i="26" s="1"/>
  <c r="BK23" i="26"/>
  <c r="BK21" i="26" s="1"/>
  <c r="BK17" i="26"/>
  <c r="BK18" i="26" s="1"/>
  <c r="BK32" i="26"/>
  <c r="BI25" i="26"/>
  <c r="BI37" i="26" s="1"/>
  <c r="BI39" i="26" s="1"/>
  <c r="BI41" i="26" s="1"/>
  <c r="BJ12" i="26" s="1"/>
  <c r="BJ28" i="26"/>
  <c r="BJ31" i="26" s="1"/>
  <c r="BK28" i="26" l="1"/>
  <c r="BK31" i="26" s="1"/>
  <c r="BJ25" i="26"/>
  <c r="BJ37" i="26" s="1"/>
  <c r="BJ39" i="26" s="1"/>
  <c r="BJ41" i="26" s="1"/>
  <c r="BK12" i="26" s="1"/>
  <c r="BM15" i="26"/>
  <c r="BL23" i="26"/>
  <c r="BL21" i="26" s="1"/>
  <c r="BL32" i="26"/>
  <c r="BL17" i="26"/>
  <c r="BL18" i="26" s="1"/>
  <c r="BL26" i="26"/>
  <c r="BL36" i="26"/>
  <c r="BL34" i="26" s="1"/>
  <c r="BN15" i="26" l="1"/>
  <c r="BM36" i="26"/>
  <c r="BM34" i="26" s="1"/>
  <c r="BM17" i="26"/>
  <c r="BM18" i="26" s="1"/>
  <c r="BM32" i="26"/>
  <c r="BM23" i="26"/>
  <c r="BM21" i="26" s="1"/>
  <c r="BM26" i="26"/>
  <c r="BK25" i="26"/>
  <c r="BK37" i="26" s="1"/>
  <c r="BK39" i="26" s="1"/>
  <c r="BK41" i="26" s="1"/>
  <c r="BL12" i="26" s="1"/>
  <c r="BL28" i="26"/>
  <c r="BL31" i="26" s="1"/>
  <c r="BL25" i="26" s="1"/>
  <c r="BL37" i="26" s="1"/>
  <c r="BL39" i="26" s="1"/>
  <c r="BL41" i="26" l="1"/>
  <c r="BM12" i="26" s="1"/>
  <c r="BM28" i="26"/>
  <c r="BM31" i="26" s="1"/>
  <c r="BB15" i="26"/>
  <c r="BP15" i="26"/>
  <c r="BN23" i="26"/>
  <c r="BN32" i="26"/>
  <c r="BB32" i="26" s="1"/>
  <c r="BN36" i="26"/>
  <c r="BN26" i="26"/>
  <c r="BN28" i="26" s="1"/>
  <c r="BN31" i="26" s="1"/>
  <c r="BN17" i="26"/>
  <c r="BB31" i="26" l="1"/>
  <c r="BB28" i="26"/>
  <c r="BB26" i="26"/>
  <c r="BB36" i="26"/>
  <c r="BB34" i="26" s="1"/>
  <c r="BN34" i="26"/>
  <c r="BB23" i="26"/>
  <c r="BB21" i="26" s="1"/>
  <c r="BN21" i="26"/>
  <c r="BP36" i="26"/>
  <c r="BP34" i="26" s="1"/>
  <c r="BP17" i="26"/>
  <c r="BP18" i="26" s="1"/>
  <c r="BP26" i="26"/>
  <c r="BP28" i="26" s="1"/>
  <c r="BP31" i="26" s="1"/>
  <c r="BP32" i="26"/>
  <c r="BP23" i="26"/>
  <c r="BP21" i="26" s="1"/>
  <c r="BQ15" i="26"/>
  <c r="BM25" i="26"/>
  <c r="BM37" i="26" s="1"/>
  <c r="BM39" i="26" s="1"/>
  <c r="BM41" i="26" s="1"/>
  <c r="BN12" i="26" s="1"/>
  <c r="BB17" i="26"/>
  <c r="BB18" i="26" s="1"/>
  <c r="BN18" i="26"/>
  <c r="BN25" i="26"/>
  <c r="BB25" i="26" l="1"/>
  <c r="BB37" i="26" s="1"/>
  <c r="BB39" i="26" s="1"/>
  <c r="BB41" i="26" s="1"/>
  <c r="BO12" i="26" s="1"/>
  <c r="BP25" i="26"/>
  <c r="BP37" i="26" s="1"/>
  <c r="BP39" i="26" s="1"/>
  <c r="BQ23" i="26"/>
  <c r="BQ21" i="26" s="1"/>
  <c r="BQ17" i="26"/>
  <c r="BQ18" i="26" s="1"/>
  <c r="BR15" i="26"/>
  <c r="BQ36" i="26"/>
  <c r="BQ34" i="26" s="1"/>
  <c r="BQ26" i="26"/>
  <c r="BQ32" i="26"/>
  <c r="BN37" i="26"/>
  <c r="BN39" i="26" s="1"/>
  <c r="BN41" i="26" s="1"/>
  <c r="BP12" i="26" s="1"/>
  <c r="BP41" i="26" l="1"/>
  <c r="BQ12" i="26" s="1"/>
  <c r="BQ28" i="26"/>
  <c r="BQ31" i="26" s="1"/>
  <c r="BR23" i="26"/>
  <c r="BR21" i="26" s="1"/>
  <c r="BR36" i="26"/>
  <c r="BR34" i="26" s="1"/>
  <c r="BR26" i="26"/>
  <c r="BR32" i="26"/>
  <c r="BR17" i="26"/>
  <c r="BR18" i="26" s="1"/>
  <c r="BS15" i="26"/>
  <c r="BQ25" i="26" l="1"/>
  <c r="BQ37" i="26" s="1"/>
  <c r="BQ39" i="26" s="1"/>
  <c r="BQ41" i="26" s="1"/>
  <c r="BR12" i="26" s="1"/>
  <c r="BR28" i="26"/>
  <c r="BR31" i="26" s="1"/>
  <c r="BS32" i="26"/>
  <c r="BS23" i="26"/>
  <c r="BS21" i="26" s="1"/>
  <c r="BS26" i="26"/>
  <c r="BS28" i="26" s="1"/>
  <c r="BS31" i="26" s="1"/>
  <c r="BT15" i="26"/>
  <c r="BS17" i="26"/>
  <c r="BS18" i="26" s="1"/>
  <c r="BS36" i="26"/>
  <c r="BS34" i="26" s="1"/>
  <c r="BR25" i="26" l="1"/>
  <c r="BR37" i="26" s="1"/>
  <c r="BR39" i="26" s="1"/>
  <c r="BR41" i="26" s="1"/>
  <c r="BS12" i="26" s="1"/>
  <c r="BT23" i="26"/>
  <c r="BT21" i="26" s="1"/>
  <c r="BT26" i="26"/>
  <c r="BT17" i="26"/>
  <c r="BT18" i="26" s="1"/>
  <c r="BT32" i="26"/>
  <c r="BT36" i="26"/>
  <c r="BT34" i="26" s="1"/>
  <c r="BU15" i="26"/>
  <c r="BS25" i="26"/>
  <c r="BS37" i="26" s="1"/>
  <c r="BS39" i="26" s="1"/>
  <c r="BS41" i="26" l="1"/>
  <c r="BT12" i="26" s="1"/>
  <c r="BT28" i="26"/>
  <c r="BT31" i="26" s="1"/>
  <c r="BV15" i="26"/>
  <c r="BU32" i="26"/>
  <c r="BU23" i="26"/>
  <c r="BU21" i="26" s="1"/>
  <c r="BU17" i="26"/>
  <c r="BU18" i="26" s="1"/>
  <c r="BU26" i="26"/>
  <c r="BU36" i="26"/>
  <c r="BU34" i="26" s="1"/>
  <c r="BU28" i="26" l="1"/>
  <c r="BU31" i="26" s="1"/>
  <c r="BU25" i="26" s="1"/>
  <c r="BU37" i="26" s="1"/>
  <c r="BU39" i="26" s="1"/>
  <c r="BV23" i="26"/>
  <c r="BV21" i="26" s="1"/>
  <c r="BV26" i="26"/>
  <c r="BV17" i="26"/>
  <c r="BV18" i="26" s="1"/>
  <c r="BV32" i="26"/>
  <c r="BW15" i="26"/>
  <c r="BV36" i="26"/>
  <c r="BV34" i="26" s="1"/>
  <c r="BT25" i="26"/>
  <c r="BT37" i="26" s="1"/>
  <c r="BT39" i="26" s="1"/>
  <c r="BT41" i="26" s="1"/>
  <c r="BU12" i="26" s="1"/>
  <c r="BW17" i="26" l="1"/>
  <c r="BW18" i="26" s="1"/>
  <c r="BW32" i="26"/>
  <c r="BW36" i="26"/>
  <c r="BW34" i="26" s="1"/>
  <c r="BW23" i="26"/>
  <c r="BW21" i="26" s="1"/>
  <c r="BW26" i="26"/>
  <c r="BX15" i="26"/>
  <c r="BV28" i="26"/>
  <c r="BV31" i="26" s="1"/>
  <c r="BU41" i="26"/>
  <c r="BV12" i="26" s="1"/>
  <c r="BV25" i="26" l="1"/>
  <c r="BV37" i="26" s="1"/>
  <c r="BV39" i="26" s="1"/>
  <c r="BV41" i="26" s="1"/>
  <c r="BW12" i="26" s="1"/>
  <c r="BW28" i="26"/>
  <c r="BW31" i="26" s="1"/>
  <c r="BY15" i="26"/>
  <c r="BX36" i="26"/>
  <c r="BX34" i="26" s="1"/>
  <c r="BX23" i="26"/>
  <c r="BX21" i="26" s="1"/>
  <c r="BX26" i="26"/>
  <c r="BX17" i="26"/>
  <c r="BX18" i="26" s="1"/>
  <c r="BX32" i="26"/>
  <c r="BZ15" i="26" l="1"/>
  <c r="BY23" i="26"/>
  <c r="BY21" i="26" s="1"/>
  <c r="BY26" i="26"/>
  <c r="BY17" i="26"/>
  <c r="BY18" i="26" s="1"/>
  <c r="BY32" i="26"/>
  <c r="BY36" i="26"/>
  <c r="BY34" i="26" s="1"/>
  <c r="BW25" i="26"/>
  <c r="BW37" i="26" s="1"/>
  <c r="BW39" i="26" s="1"/>
  <c r="BW41" i="26" s="1"/>
  <c r="BX12" i="26" s="1"/>
  <c r="BX28" i="26"/>
  <c r="BX31" i="26" s="1"/>
  <c r="BY28" i="26" l="1"/>
  <c r="BY31" i="26" s="1"/>
  <c r="BX25" i="26"/>
  <c r="BX37" i="26" s="1"/>
  <c r="BX39" i="26" s="1"/>
  <c r="BX41" i="26" s="1"/>
  <c r="BY12" i="26" s="1"/>
  <c r="CA15" i="26"/>
  <c r="BZ32" i="26"/>
  <c r="BZ36" i="26"/>
  <c r="BZ34" i="26" s="1"/>
  <c r="BZ23" i="26"/>
  <c r="BZ21" i="26" s="1"/>
  <c r="BZ26" i="26"/>
  <c r="BZ17" i="26"/>
  <c r="BZ18" i="26" s="1"/>
  <c r="BY25" i="26" l="1"/>
  <c r="BY37" i="26" s="1"/>
  <c r="BY39" i="26" s="1"/>
  <c r="BY41" i="26" s="1"/>
  <c r="BZ12" i="26" s="1"/>
  <c r="BO15" i="26"/>
  <c r="CC15" i="26"/>
  <c r="CA23" i="26"/>
  <c r="CA26" i="26"/>
  <c r="CA36" i="26"/>
  <c r="CA17" i="26"/>
  <c r="CA32" i="26"/>
  <c r="BO32" i="26" s="1"/>
  <c r="BZ28" i="26"/>
  <c r="BZ31" i="26" s="1"/>
  <c r="CC17" i="26" l="1"/>
  <c r="CC18" i="26" s="1"/>
  <c r="CC26" i="26"/>
  <c r="CC28" i="26" s="1"/>
  <c r="CC23" i="26"/>
  <c r="CC21" i="26" s="1"/>
  <c r="CD15" i="26"/>
  <c r="CC32" i="26"/>
  <c r="CC36" i="26"/>
  <c r="CC34" i="26" s="1"/>
  <c r="BO36" i="26"/>
  <c r="BO34" i="26" s="1"/>
  <c r="CA34" i="26"/>
  <c r="BZ25" i="26"/>
  <c r="BZ37" i="26" s="1"/>
  <c r="BZ39" i="26" s="1"/>
  <c r="BZ41" i="26" s="1"/>
  <c r="CA12" i="26" s="1"/>
  <c r="CA28" i="26"/>
  <c r="BO26" i="26"/>
  <c r="BO17" i="26"/>
  <c r="BO18" i="26" s="1"/>
  <c r="CA18" i="26"/>
  <c r="BO23" i="26"/>
  <c r="BO21" i="26" s="1"/>
  <c r="CA21" i="26"/>
  <c r="CC31" i="26"/>
  <c r="CD26" i="26" l="1"/>
  <c r="CD17" i="26"/>
  <c r="CD18" i="26" s="1"/>
  <c r="CD36" i="26"/>
  <c r="CD34" i="26" s="1"/>
  <c r="CD32" i="26"/>
  <c r="CE15" i="26"/>
  <c r="CD23" i="26"/>
  <c r="CD21" i="26" s="1"/>
  <c r="CC25" i="26"/>
  <c r="CC37" i="26" s="1"/>
  <c r="CC39" i="26" s="1"/>
  <c r="CA31" i="26"/>
  <c r="BO31" i="26" s="1"/>
  <c r="BO28" i="26"/>
  <c r="BO25" i="26" l="1"/>
  <c r="BO37" i="26" s="1"/>
  <c r="BO39" i="26" s="1"/>
  <c r="BO41" i="26" s="1"/>
  <c r="CB12" i="26" s="1"/>
  <c r="CD28" i="26"/>
  <c r="CD31" i="26" s="1"/>
  <c r="CD25" i="26" s="1"/>
  <c r="CD37" i="26" s="1"/>
  <c r="CD39" i="26" s="1"/>
  <c r="CA25" i="26"/>
  <c r="CA37" i="26" s="1"/>
  <c r="CA39" i="26" s="1"/>
  <c r="CA41" i="26" s="1"/>
  <c r="CC12" i="26" s="1"/>
  <c r="CC41" i="26" s="1"/>
  <c r="CD12" i="26" s="1"/>
  <c r="CF15" i="26"/>
  <c r="CE36" i="26"/>
  <c r="CE34" i="26" s="1"/>
  <c r="CE17" i="26"/>
  <c r="CE18" i="26" s="1"/>
  <c r="CE23" i="26"/>
  <c r="CE21" i="26" s="1"/>
  <c r="CE26" i="26"/>
  <c r="CE32" i="26"/>
  <c r="CD41" i="26" l="1"/>
  <c r="CE12" i="26" s="1"/>
  <c r="CF26" i="26"/>
  <c r="CF36" i="26"/>
  <c r="CF34" i="26" s="1"/>
  <c r="CG15" i="26"/>
  <c r="CF17" i="26"/>
  <c r="CF18" i="26" s="1"/>
  <c r="CF32" i="26"/>
  <c r="CF23" i="26"/>
  <c r="CF21" i="26" s="1"/>
  <c r="CE28" i="26"/>
  <c r="CE31" i="26" s="1"/>
  <c r="CE25" i="26" s="1"/>
  <c r="CE37" i="26" s="1"/>
  <c r="CE39" i="26" s="1"/>
  <c r="CE41" i="26" l="1"/>
  <c r="CF12" i="26" s="1"/>
  <c r="CF28" i="26"/>
  <c r="CF31" i="26" s="1"/>
  <c r="CF25" i="26" s="1"/>
  <c r="CF37" i="26" s="1"/>
  <c r="CF39" i="26" s="1"/>
  <c r="CG17" i="26"/>
  <c r="CG18" i="26" s="1"/>
  <c r="CG23" i="26"/>
  <c r="CG21" i="26" s="1"/>
  <c r="CG26" i="26"/>
  <c r="CG32" i="26"/>
  <c r="CG36" i="26"/>
  <c r="CG34" i="26" s="1"/>
  <c r="CH15" i="26"/>
  <c r="CF41" i="26" l="1"/>
  <c r="CG12" i="26" s="1"/>
  <c r="CG28" i="26"/>
  <c r="CG31" i="26" s="1"/>
  <c r="CG25" i="26" s="1"/>
  <c r="CG37" i="26" s="1"/>
  <c r="CG39" i="26" s="1"/>
  <c r="CH17" i="26"/>
  <c r="CH18" i="26" s="1"/>
  <c r="CH26" i="26"/>
  <c r="CH32" i="26"/>
  <c r="CI15" i="26"/>
  <c r="CH23" i="26"/>
  <c r="CH21" i="26" s="1"/>
  <c r="CH36" i="26"/>
  <c r="CH34" i="26" s="1"/>
  <c r="CG41" i="26" l="1"/>
  <c r="CH12" i="26" s="1"/>
  <c r="CJ15" i="26"/>
  <c r="CI17" i="26"/>
  <c r="CI18" i="26" s="1"/>
  <c r="CI23" i="26"/>
  <c r="CI21" i="26" s="1"/>
  <c r="CI26" i="26"/>
  <c r="CI36" i="26"/>
  <c r="CI34" i="26" s="1"/>
  <c r="CI32" i="26"/>
  <c r="CH28" i="26"/>
  <c r="CH31" i="26" s="1"/>
  <c r="CI28" i="26" l="1"/>
  <c r="CI31" i="26" s="1"/>
  <c r="CI25" i="26" s="1"/>
  <c r="CI37" i="26" s="1"/>
  <c r="CI39" i="26" s="1"/>
  <c r="CJ36" i="26"/>
  <c r="CJ34" i="26" s="1"/>
  <c r="CK15" i="26"/>
  <c r="CJ17" i="26"/>
  <c r="CJ18" i="26" s="1"/>
  <c r="CJ23" i="26"/>
  <c r="CJ21" i="26" s="1"/>
  <c r="CJ26" i="26"/>
  <c r="CJ32" i="26"/>
  <c r="CH25" i="26"/>
  <c r="CH37" i="26" s="1"/>
  <c r="CH39" i="26" s="1"/>
  <c r="CH41" i="26" s="1"/>
  <c r="CI12" i="26" s="1"/>
  <c r="CI41" i="26" l="1"/>
  <c r="CJ12" i="26" s="1"/>
  <c r="CJ28" i="26"/>
  <c r="CJ31" i="26" s="1"/>
  <c r="CJ25" i="26" s="1"/>
  <c r="CJ37" i="26" s="1"/>
  <c r="CJ39" i="26" s="1"/>
  <c r="CK23" i="26"/>
  <c r="CK21" i="26" s="1"/>
  <c r="CK26" i="26"/>
  <c r="CK17" i="26"/>
  <c r="CK18" i="26" s="1"/>
  <c r="CK36" i="26"/>
  <c r="CK34" i="26" s="1"/>
  <c r="CL15" i="26"/>
  <c r="CK32" i="26"/>
  <c r="CJ41" i="26" l="1"/>
  <c r="CK12" i="26" s="1"/>
  <c r="CK28" i="26"/>
  <c r="CK31" i="26" s="1"/>
  <c r="CK25" i="26" s="1"/>
  <c r="CK37" i="26" s="1"/>
  <c r="CK39" i="26" s="1"/>
  <c r="CM15" i="26"/>
  <c r="CL23" i="26"/>
  <c r="CL21" i="26" s="1"/>
  <c r="CL26" i="26"/>
  <c r="CL36" i="26"/>
  <c r="CL34" i="26" s="1"/>
  <c r="CL17" i="26"/>
  <c r="CL18" i="26" s="1"/>
  <c r="CL32" i="26"/>
  <c r="CK41" i="26" l="1"/>
  <c r="CL12" i="26" s="1"/>
  <c r="CL28" i="26"/>
  <c r="CL31" i="26" s="1"/>
  <c r="CM23" i="26"/>
  <c r="CM21" i="26" s="1"/>
  <c r="CM26" i="26"/>
  <c r="CM17" i="26"/>
  <c r="CM18" i="26" s="1"/>
  <c r="CM36" i="26"/>
  <c r="CM34" i="26" s="1"/>
  <c r="CN15" i="26"/>
  <c r="CM32" i="26"/>
  <c r="CL25" i="26" l="1"/>
  <c r="CL37" i="26" s="1"/>
  <c r="CL39" i="26" s="1"/>
  <c r="CL41" i="26" s="1"/>
  <c r="CM12" i="26" s="1"/>
  <c r="CB15" i="26"/>
  <c r="CN23" i="26"/>
  <c r="CN26" i="26"/>
  <c r="CN28" i="26" s="1"/>
  <c r="CN17" i="26"/>
  <c r="CB17" i="26" s="1"/>
  <c r="CB18" i="26" s="1"/>
  <c r="CN36" i="26"/>
  <c r="CN32" i="26"/>
  <c r="CB32" i="26" s="1"/>
  <c r="CP15" i="26"/>
  <c r="CM28" i="26"/>
  <c r="CM31" i="26" s="1"/>
  <c r="CB28" i="26" l="1"/>
  <c r="CB36" i="26"/>
  <c r="CB34" i="26" s="1"/>
  <c r="CN34" i="26"/>
  <c r="CB23" i="26"/>
  <c r="CB21" i="26" s="1"/>
  <c r="CN21" i="26"/>
  <c r="CM25" i="26"/>
  <c r="CM37" i="26" s="1"/>
  <c r="CM39" i="26" s="1"/>
  <c r="CM41" i="26" s="1"/>
  <c r="CN12" i="26" s="1"/>
  <c r="CN31" i="26"/>
  <c r="CP36" i="26"/>
  <c r="CP34" i="26" s="1"/>
  <c r="CP23" i="26"/>
  <c r="CP21" i="26" s="1"/>
  <c r="CP26" i="26"/>
  <c r="CP28" i="26" s="1"/>
  <c r="CP31" i="26" s="1"/>
  <c r="CQ15" i="26"/>
  <c r="CP17" i="26"/>
  <c r="CP18" i="26" s="1"/>
  <c r="CP32" i="26"/>
  <c r="CB26" i="26"/>
  <c r="CN18" i="26"/>
  <c r="CP25" i="26" l="1"/>
  <c r="CP37" i="26" s="1"/>
  <c r="CP39" i="26" s="1"/>
  <c r="CB31" i="26"/>
  <c r="CB25" i="26" s="1"/>
  <c r="CB37" i="26" s="1"/>
  <c r="CB39" i="26" s="1"/>
  <c r="CB41" i="26" s="1"/>
  <c r="CO12" i="26" s="1"/>
  <c r="CN25" i="26"/>
  <c r="CN37" i="26" s="1"/>
  <c r="CN39" i="26" s="1"/>
  <c r="CN41" i="26" s="1"/>
  <c r="CP12" i="26" s="1"/>
  <c r="CQ23" i="26"/>
  <c r="CQ21" i="26" s="1"/>
  <c r="CQ26" i="26"/>
  <c r="CQ36" i="26"/>
  <c r="CQ34" i="26" s="1"/>
  <c r="CQ32" i="26"/>
  <c r="CR15" i="26"/>
  <c r="CQ17" i="26"/>
  <c r="CQ18" i="26" s="1"/>
  <c r="CP41" i="26" l="1"/>
  <c r="CQ12" i="26" s="1"/>
  <c r="CR23" i="26"/>
  <c r="CR21" i="26" s="1"/>
  <c r="CR17" i="26"/>
  <c r="CR18" i="26" s="1"/>
  <c r="CR32" i="26"/>
  <c r="CS15" i="26"/>
  <c r="CR26" i="26"/>
  <c r="CR28" i="26" s="1"/>
  <c r="CR31" i="26" s="1"/>
  <c r="CR36" i="26"/>
  <c r="CR34" i="26" s="1"/>
  <c r="CQ28" i="26"/>
  <c r="CQ31" i="26" s="1"/>
  <c r="CR25" i="26" l="1"/>
  <c r="CR37" i="26" s="1"/>
  <c r="CR39" i="26" s="1"/>
  <c r="CS32" i="26"/>
  <c r="CT15" i="26"/>
  <c r="CS23" i="26"/>
  <c r="CS21" i="26" s="1"/>
  <c r="CS17" i="26"/>
  <c r="CS18" i="26" s="1"/>
  <c r="CS26" i="26"/>
  <c r="CS36" i="26"/>
  <c r="CS34" i="26" s="1"/>
  <c r="CQ25" i="26"/>
  <c r="CQ37" i="26" s="1"/>
  <c r="CQ39" i="26" s="1"/>
  <c r="CQ41" i="26" s="1"/>
  <c r="CR12" i="26" s="1"/>
  <c r="CT32" i="26" l="1"/>
  <c r="CU15" i="26"/>
  <c r="CT26" i="26"/>
  <c r="CT28" i="26" s="1"/>
  <c r="CT31" i="26" s="1"/>
  <c r="CT23" i="26"/>
  <c r="CT21" i="26" s="1"/>
  <c r="CT36" i="26"/>
  <c r="CT34" i="26" s="1"/>
  <c r="CT17" i="26"/>
  <c r="CT18" i="26" s="1"/>
  <c r="CS28" i="26"/>
  <c r="CS31" i="26" s="1"/>
  <c r="CS25" i="26" s="1"/>
  <c r="CS37" i="26" s="1"/>
  <c r="CS39" i="26" s="1"/>
  <c r="CR41" i="26"/>
  <c r="CS12" i="26" s="1"/>
  <c r="CT25" i="26" l="1"/>
  <c r="CT37" i="26" s="1"/>
  <c r="CT39" i="26" s="1"/>
  <c r="CU23" i="26"/>
  <c r="CU21" i="26" s="1"/>
  <c r="CU26" i="26"/>
  <c r="CU36" i="26"/>
  <c r="CU34" i="26" s="1"/>
  <c r="CU32" i="26"/>
  <c r="CU17" i="26"/>
  <c r="CU18" i="26" s="1"/>
  <c r="CV15" i="26"/>
  <c r="CS41" i="26"/>
  <c r="CT12" i="26" s="1"/>
  <c r="CT41" i="26" l="1"/>
  <c r="CU12" i="26" s="1"/>
  <c r="CU28" i="26"/>
  <c r="CU31" i="26" s="1"/>
  <c r="CU25" i="26" s="1"/>
  <c r="CU37" i="26" s="1"/>
  <c r="CU39" i="26" s="1"/>
  <c r="CV23" i="26"/>
  <c r="CV21" i="26" s="1"/>
  <c r="CV17" i="26"/>
  <c r="CV18" i="26" s="1"/>
  <c r="CV26" i="26"/>
  <c r="CV36" i="26"/>
  <c r="CV34" i="26" s="1"/>
  <c r="CW15" i="26"/>
  <c r="CV32" i="26"/>
  <c r="CU41" i="26" l="1"/>
  <c r="CV12" i="26" s="1"/>
  <c r="CW23" i="26"/>
  <c r="CW21" i="26" s="1"/>
  <c r="CW26" i="26"/>
  <c r="CW32" i="26"/>
  <c r="CX15" i="26"/>
  <c r="CW17" i="26"/>
  <c r="CW18" i="26" s="1"/>
  <c r="CW36" i="26"/>
  <c r="CW34" i="26" s="1"/>
  <c r="CV28" i="26"/>
  <c r="CV31" i="26" s="1"/>
  <c r="CW28" i="26" l="1"/>
  <c r="CW31" i="26" s="1"/>
  <c r="CW25" i="26" s="1"/>
  <c r="CW37" i="26" s="1"/>
  <c r="CW39" i="26" s="1"/>
  <c r="CX26" i="26"/>
  <c r="CX17" i="26"/>
  <c r="CX18" i="26" s="1"/>
  <c r="CX32" i="26"/>
  <c r="CX23" i="26"/>
  <c r="CX21" i="26" s="1"/>
  <c r="CX36" i="26"/>
  <c r="CX34" i="26" s="1"/>
  <c r="CY15" i="26"/>
  <c r="CV25" i="26"/>
  <c r="CV37" i="26" s="1"/>
  <c r="CV39" i="26" s="1"/>
  <c r="CV41" i="26" s="1"/>
  <c r="CW12" i="26" s="1"/>
  <c r="CZ15" i="26" l="1"/>
  <c r="CY26" i="26"/>
  <c r="CY23" i="26"/>
  <c r="CY21" i="26" s="1"/>
  <c r="CY36" i="26"/>
  <c r="CY34" i="26" s="1"/>
  <c r="CY17" i="26"/>
  <c r="CY18" i="26" s="1"/>
  <c r="CY32" i="26"/>
  <c r="CX28" i="26"/>
  <c r="CX31" i="26" s="1"/>
  <c r="CX25" i="26" s="1"/>
  <c r="CX37" i="26" s="1"/>
  <c r="CX39" i="26" s="1"/>
  <c r="CW41" i="26"/>
  <c r="CX12" i="26" s="1"/>
  <c r="CY28" i="26" l="1"/>
  <c r="CY31" i="26" s="1"/>
  <c r="CY25" i="26" s="1"/>
  <c r="CY37" i="26" s="1"/>
  <c r="CY39" i="26" s="1"/>
  <c r="CX41" i="26"/>
  <c r="CY12" i="26" s="1"/>
  <c r="DA15" i="26"/>
  <c r="CZ36" i="26"/>
  <c r="CZ34" i="26" s="1"/>
  <c r="CZ32" i="26"/>
  <c r="CZ17" i="26"/>
  <c r="CZ18" i="26" s="1"/>
  <c r="CZ26" i="26"/>
  <c r="CZ23" i="26"/>
  <c r="CZ21" i="26" s="1"/>
  <c r="CZ28" i="26" l="1"/>
  <c r="CZ31" i="26" s="1"/>
  <c r="CZ25" i="26" s="1"/>
  <c r="CZ37" i="26" s="1"/>
  <c r="CZ39" i="26" s="1"/>
  <c r="CO15" i="26"/>
  <c r="DC15" i="26"/>
  <c r="DA36" i="26"/>
  <c r="DA26" i="26"/>
  <c r="DA28" i="26" s="1"/>
  <c r="DA31" i="26" s="1"/>
  <c r="DA23" i="26"/>
  <c r="DA17" i="26"/>
  <c r="DA32" i="26"/>
  <c r="CO32" i="26" s="1"/>
  <c r="CY41" i="26"/>
  <c r="CZ12" i="26" s="1"/>
  <c r="CO31" i="26" l="1"/>
  <c r="CO23" i="26"/>
  <c r="CO21" i="26" s="1"/>
  <c r="DA21" i="26"/>
  <c r="DC36" i="26"/>
  <c r="DC34" i="26" s="1"/>
  <c r="DC23" i="26"/>
  <c r="DC21" i="26" s="1"/>
  <c r="DC17" i="26"/>
  <c r="DC18" i="26" s="1"/>
  <c r="DD15" i="26"/>
  <c r="DC26" i="26"/>
  <c r="DC28" i="26" s="1"/>
  <c r="DC31" i="26" s="1"/>
  <c r="DC25" i="26" s="1"/>
  <c r="DC37" i="26" s="1"/>
  <c r="DC39" i="26" s="1"/>
  <c r="DC32" i="26"/>
  <c r="CO26" i="26"/>
  <c r="CO17" i="26"/>
  <c r="CO18" i="26" s="1"/>
  <c r="DA18" i="26"/>
  <c r="CO36" i="26"/>
  <c r="CO34" i="26" s="1"/>
  <c r="DA34" i="26"/>
  <c r="CZ41" i="26"/>
  <c r="DA12" i="26" s="1"/>
  <c r="CO28" i="26"/>
  <c r="DA25" i="26"/>
  <c r="CO25" i="26" l="1"/>
  <c r="CO37" i="26" s="1"/>
  <c r="CO39" i="26" s="1"/>
  <c r="CO41" i="26" s="1"/>
  <c r="DB12" i="26" s="1"/>
  <c r="DA37" i="26"/>
  <c r="DA39" i="26" s="1"/>
  <c r="DA41" i="26" s="1"/>
  <c r="DC12" i="26" s="1"/>
  <c r="DC41" i="26" s="1"/>
  <c r="DD12" i="26" s="1"/>
  <c r="DE15" i="26"/>
  <c r="DD26" i="26"/>
  <c r="DD23" i="26"/>
  <c r="DD21" i="26" s="1"/>
  <c r="DD36" i="26"/>
  <c r="DD34" i="26" s="1"/>
  <c r="DD32" i="26"/>
  <c r="DD17" i="26"/>
  <c r="DD18" i="26" s="1"/>
  <c r="DD28" i="26" l="1"/>
  <c r="DD31" i="26" s="1"/>
  <c r="DD25" i="26" s="1"/>
  <c r="DD37" i="26" s="1"/>
  <c r="DD39" i="26" s="1"/>
  <c r="DD41" i="26" s="1"/>
  <c r="DE12" i="26" s="1"/>
  <c r="DE26" i="26"/>
  <c r="DE17" i="26"/>
  <c r="DE18" i="26" s="1"/>
  <c r="DE36" i="26"/>
  <c r="DE34" i="26" s="1"/>
  <c r="DE32" i="26"/>
  <c r="DE23" i="26"/>
  <c r="DE21" i="26" s="1"/>
  <c r="DF15" i="26"/>
  <c r="DE28" i="26" l="1"/>
  <c r="DE31" i="26" s="1"/>
  <c r="DF26" i="26"/>
  <c r="DF36" i="26"/>
  <c r="DF34" i="26" s="1"/>
  <c r="DF23" i="26"/>
  <c r="DF21" i="26" s="1"/>
  <c r="DF32" i="26"/>
  <c r="DF17" i="26"/>
  <c r="DF18" i="26" s="1"/>
  <c r="DG15" i="26"/>
  <c r="DF28" i="26" l="1"/>
  <c r="DF31" i="26" s="1"/>
  <c r="DE25" i="26"/>
  <c r="DE37" i="26" s="1"/>
  <c r="DE39" i="26" s="1"/>
  <c r="DE41" i="26" s="1"/>
  <c r="DF12" i="26" s="1"/>
  <c r="DG36" i="26"/>
  <c r="DG34" i="26" s="1"/>
  <c r="DH15" i="26"/>
  <c r="DG26" i="26"/>
  <c r="DG23" i="26"/>
  <c r="DG21" i="26" s="1"/>
  <c r="DG17" i="26"/>
  <c r="DG18" i="26" s="1"/>
  <c r="DG32" i="26"/>
  <c r="DF25" i="26" l="1"/>
  <c r="DF37" i="26" s="1"/>
  <c r="DF39" i="26" s="1"/>
  <c r="DF41" i="26" s="1"/>
  <c r="DG12" i="26" s="1"/>
  <c r="DG28" i="26"/>
  <c r="DG31" i="26" s="1"/>
  <c r="DG25" i="26" s="1"/>
  <c r="DG37" i="26" s="1"/>
  <c r="DG39" i="26" s="1"/>
  <c r="DI15" i="26"/>
  <c r="DH26" i="26"/>
  <c r="DH23" i="26"/>
  <c r="DH21" i="26" s="1"/>
  <c r="DH36" i="26"/>
  <c r="DH34" i="26" s="1"/>
  <c r="DH17" i="26"/>
  <c r="DH18" i="26" s="1"/>
  <c r="DH32" i="26"/>
  <c r="DG41" i="26" l="1"/>
  <c r="DH12" i="26" s="1"/>
  <c r="DI32" i="26"/>
  <c r="DI26" i="26"/>
  <c r="DJ15" i="26"/>
  <c r="DI36" i="26"/>
  <c r="DI34" i="26" s="1"/>
  <c r="DI23" i="26"/>
  <c r="DI21" i="26" s="1"/>
  <c r="DI17" i="26"/>
  <c r="DI18" i="26" s="1"/>
  <c r="DH28" i="26"/>
  <c r="DH31" i="26" s="1"/>
  <c r="DJ36" i="26" l="1"/>
  <c r="DJ34" i="26" s="1"/>
  <c r="DK15" i="26"/>
  <c r="DJ26" i="26"/>
  <c r="DJ23" i="26"/>
  <c r="DJ21" i="26" s="1"/>
  <c r="DJ32" i="26"/>
  <c r="DJ17" i="26"/>
  <c r="DJ18" i="26" s="1"/>
  <c r="DI28" i="26"/>
  <c r="DI31" i="26" s="1"/>
  <c r="DH25" i="26"/>
  <c r="DH37" i="26" s="1"/>
  <c r="DH39" i="26" s="1"/>
  <c r="DH41" i="26" s="1"/>
  <c r="DI12" i="26" s="1"/>
  <c r="DJ28" i="26" l="1"/>
  <c r="DJ31" i="26" s="1"/>
  <c r="DJ25" i="26" s="1"/>
  <c r="DJ37" i="26" s="1"/>
  <c r="DJ39" i="26" s="1"/>
  <c r="DL15" i="26"/>
  <c r="DK26" i="26"/>
  <c r="DK23" i="26"/>
  <c r="DK21" i="26" s="1"/>
  <c r="DK17" i="26"/>
  <c r="DK18" i="26" s="1"/>
  <c r="DK36" i="26"/>
  <c r="DK34" i="26" s="1"/>
  <c r="DK32" i="26"/>
  <c r="DI25" i="26"/>
  <c r="DI37" i="26" s="1"/>
  <c r="DI39" i="26" s="1"/>
  <c r="DI41" i="26" s="1"/>
  <c r="DJ12" i="26" s="1"/>
  <c r="DK28" i="26" l="1"/>
  <c r="DK31" i="26" s="1"/>
  <c r="DK25" i="26" s="1"/>
  <c r="DK37" i="26" s="1"/>
  <c r="DK39" i="26" s="1"/>
  <c r="DM15" i="26"/>
  <c r="DL26" i="26"/>
  <c r="DL23" i="26"/>
  <c r="DL21" i="26" s="1"/>
  <c r="DL32" i="26"/>
  <c r="DL17" i="26"/>
  <c r="DL18" i="26" s="1"/>
  <c r="DL36" i="26"/>
  <c r="DL34" i="26" s="1"/>
  <c r="DJ41" i="26"/>
  <c r="DK12" i="26" s="1"/>
  <c r="DL28" i="26" l="1"/>
  <c r="DL31" i="26" s="1"/>
  <c r="DL25" i="26" s="1"/>
  <c r="DL37" i="26" s="1"/>
  <c r="DL39" i="26" s="1"/>
  <c r="DN15" i="26"/>
  <c r="DM26" i="26"/>
  <c r="DM23" i="26"/>
  <c r="DM21" i="26" s="1"/>
  <c r="DM17" i="26"/>
  <c r="DM18" i="26" s="1"/>
  <c r="DM36" i="26"/>
  <c r="DM34" i="26" s="1"/>
  <c r="DM32" i="26"/>
  <c r="DK41" i="26"/>
  <c r="DL12" i="26" s="1"/>
  <c r="DM28" i="26" l="1"/>
  <c r="DM31" i="26" s="1"/>
  <c r="DM25" i="26" s="1"/>
  <c r="DM37" i="26" s="1"/>
  <c r="DM39" i="26" s="1"/>
  <c r="DB15" i="26"/>
  <c r="DP15" i="26"/>
  <c r="DN32" i="26"/>
  <c r="DB32" i="26" s="1"/>
  <c r="DN36" i="26"/>
  <c r="DN17" i="26"/>
  <c r="DN26" i="26"/>
  <c r="DN28" i="26" s="1"/>
  <c r="DB28" i="26" s="1"/>
  <c r="DN23" i="26"/>
  <c r="DL41" i="26"/>
  <c r="DM12" i="26" s="1"/>
  <c r="DM41" i="26" l="1"/>
  <c r="DN12" i="26" s="1"/>
  <c r="DB17" i="26"/>
  <c r="DB18" i="26" s="1"/>
  <c r="DN18" i="26"/>
  <c r="DP36" i="26"/>
  <c r="DP34" i="26" s="1"/>
  <c r="DP17" i="26"/>
  <c r="DP18" i="26" s="1"/>
  <c r="DQ15" i="26"/>
  <c r="DP32" i="26"/>
  <c r="DP23" i="26"/>
  <c r="DP21" i="26" s="1"/>
  <c r="DP26" i="26"/>
  <c r="DP28" i="26" s="1"/>
  <c r="DP31" i="26" s="1"/>
  <c r="DB36" i="26"/>
  <c r="DB34" i="26" s="1"/>
  <c r="DN34" i="26"/>
  <c r="DN31" i="26"/>
  <c r="DB31" i="26" s="1"/>
  <c r="DB26" i="26"/>
  <c r="DB23" i="26"/>
  <c r="DB21" i="26" s="1"/>
  <c r="DN21" i="26"/>
  <c r="DB25" i="26" l="1"/>
  <c r="DB37" i="26" s="1"/>
  <c r="DB39" i="26" s="1"/>
  <c r="DB41" i="26" s="1"/>
  <c r="DO12" i="26" s="1"/>
  <c r="DP25" i="26"/>
  <c r="DP37" i="26" s="1"/>
  <c r="DP39" i="26" s="1"/>
  <c r="DQ23" i="26"/>
  <c r="DQ21" i="26" s="1"/>
  <c r="DQ17" i="26"/>
  <c r="DQ18" i="26" s="1"/>
  <c r="DQ36" i="26"/>
  <c r="DQ34" i="26" s="1"/>
  <c r="DQ26" i="26"/>
  <c r="DR15" i="26"/>
  <c r="DQ32" i="26"/>
  <c r="DN25" i="26"/>
  <c r="DN37" i="26" s="1"/>
  <c r="DN39" i="26" s="1"/>
  <c r="DN41" i="26" s="1"/>
  <c r="DP12" i="26" s="1"/>
  <c r="DP41" i="26" l="1"/>
  <c r="DQ12" i="26" s="1"/>
  <c r="DQ28" i="26"/>
  <c r="DQ31" i="26" s="1"/>
  <c r="DQ25" i="26" s="1"/>
  <c r="DQ37" i="26" s="1"/>
  <c r="DQ39" i="26" s="1"/>
  <c r="DS15" i="26"/>
  <c r="DR17" i="26"/>
  <c r="DR18" i="26" s="1"/>
  <c r="DR32" i="26"/>
  <c r="DR36" i="26"/>
  <c r="DR34" i="26" s="1"/>
  <c r="DR26" i="26"/>
  <c r="DR28" i="26" s="1"/>
  <c r="DR31" i="26" s="1"/>
  <c r="DR23" i="26"/>
  <c r="DR21" i="26" s="1"/>
  <c r="DQ41" i="26" l="1"/>
  <c r="DR12" i="26" s="1"/>
  <c r="DT15" i="26"/>
  <c r="DS26" i="26"/>
  <c r="DS17" i="26"/>
  <c r="DS18" i="26" s="1"/>
  <c r="DS36" i="26"/>
  <c r="DS34" i="26" s="1"/>
  <c r="DS23" i="26"/>
  <c r="DS21" i="26" s="1"/>
  <c r="DS32" i="26"/>
  <c r="DR25" i="26"/>
  <c r="DR37" i="26" s="1"/>
  <c r="DR39" i="26" s="1"/>
  <c r="DR41" i="26" l="1"/>
  <c r="DS12" i="26" s="1"/>
  <c r="DS28" i="26"/>
  <c r="DS31" i="26" s="1"/>
  <c r="DT23" i="26"/>
  <c r="DT21" i="26" s="1"/>
  <c r="DT17" i="26"/>
  <c r="DT18" i="26" s="1"/>
  <c r="DT32" i="26"/>
  <c r="DU15" i="26"/>
  <c r="DT26" i="26"/>
  <c r="DT36" i="26"/>
  <c r="DT34" i="26" s="1"/>
  <c r="DU23" i="26" l="1"/>
  <c r="DU21" i="26" s="1"/>
  <c r="DU26" i="26"/>
  <c r="DU36" i="26"/>
  <c r="DU34" i="26" s="1"/>
  <c r="DU32" i="26"/>
  <c r="DU17" i="26"/>
  <c r="DU18" i="26" s="1"/>
  <c r="DV15" i="26"/>
  <c r="DS25" i="26"/>
  <c r="DS37" i="26" s="1"/>
  <c r="DS39" i="26" s="1"/>
  <c r="DS41" i="26" s="1"/>
  <c r="DT12" i="26" s="1"/>
  <c r="DT28" i="26"/>
  <c r="DT31" i="26" s="1"/>
  <c r="DT25" i="26" l="1"/>
  <c r="DT37" i="26" s="1"/>
  <c r="DT39" i="26" s="1"/>
  <c r="DT41" i="26" s="1"/>
  <c r="DU12" i="26" s="1"/>
  <c r="DU28" i="26"/>
  <c r="DU31" i="26" s="1"/>
  <c r="DU25" i="26" s="1"/>
  <c r="DU37" i="26" s="1"/>
  <c r="DU39" i="26" s="1"/>
  <c r="DV32" i="26"/>
  <c r="DW15" i="26"/>
  <c r="DV26" i="26"/>
  <c r="DV23" i="26"/>
  <c r="DV21" i="26" s="1"/>
  <c r="DV17" i="26"/>
  <c r="DV18" i="26" s="1"/>
  <c r="DV36" i="26"/>
  <c r="DV34" i="26" s="1"/>
  <c r="DU41" i="26" l="1"/>
  <c r="DV12" i="26" s="1"/>
  <c r="DW23" i="26"/>
  <c r="DW21" i="26" s="1"/>
  <c r="DW36" i="26"/>
  <c r="DW34" i="26" s="1"/>
  <c r="DW17" i="26"/>
  <c r="DW18" i="26" s="1"/>
  <c r="DW32" i="26"/>
  <c r="DW26" i="26"/>
  <c r="DX15" i="26"/>
  <c r="DV28" i="26"/>
  <c r="DV31" i="26" s="1"/>
  <c r="DW28" i="26" l="1"/>
  <c r="DW31" i="26" s="1"/>
  <c r="DX26" i="26"/>
  <c r="DX23" i="26"/>
  <c r="DX21" i="26" s="1"/>
  <c r="DX36" i="26"/>
  <c r="DX34" i="26" s="1"/>
  <c r="DX32" i="26"/>
  <c r="DY15" i="26"/>
  <c r="DX17" i="26"/>
  <c r="DX18" i="26" s="1"/>
  <c r="DV25" i="26"/>
  <c r="DV37" i="26" s="1"/>
  <c r="DV39" i="26" s="1"/>
  <c r="DV41" i="26" s="1"/>
  <c r="DW12" i="26" s="1"/>
  <c r="DX28" i="26" l="1"/>
  <c r="DX31" i="26" s="1"/>
  <c r="DX25" i="26" s="1"/>
  <c r="DX37" i="26" s="1"/>
  <c r="DX39" i="26" s="1"/>
  <c r="DW25" i="26"/>
  <c r="DW37" i="26" s="1"/>
  <c r="DW39" i="26" s="1"/>
  <c r="DW41" i="26" s="1"/>
  <c r="DX12" i="26" s="1"/>
  <c r="DY36" i="26"/>
  <c r="DY34" i="26" s="1"/>
  <c r="DY17" i="26"/>
  <c r="DY18" i="26" s="1"/>
  <c r="DY32" i="26"/>
  <c r="DZ15" i="26"/>
  <c r="DY26" i="26"/>
  <c r="DY23" i="26"/>
  <c r="DY21" i="26" s="1"/>
  <c r="DY28" i="26" l="1"/>
  <c r="DY31" i="26" s="1"/>
  <c r="DY25" i="26" s="1"/>
  <c r="DY37" i="26" s="1"/>
  <c r="DY39" i="26" s="1"/>
  <c r="DZ32" i="26"/>
  <c r="DZ36" i="26"/>
  <c r="DZ34" i="26" s="1"/>
  <c r="EA15" i="26"/>
  <c r="DZ26" i="26"/>
  <c r="DZ23" i="26"/>
  <c r="DZ21" i="26" s="1"/>
  <c r="DZ17" i="26"/>
  <c r="DZ18" i="26" s="1"/>
  <c r="DX41" i="26"/>
  <c r="DY12" i="26" s="1"/>
  <c r="DO15" i="26" l="1"/>
  <c r="EC15" i="26"/>
  <c r="EA17" i="26"/>
  <c r="DO17" i="26" s="1"/>
  <c r="DO18" i="26" s="1"/>
  <c r="EA36" i="26"/>
  <c r="EA32" i="26"/>
  <c r="DO32" i="26" s="1"/>
  <c r="EA26" i="26"/>
  <c r="EA28" i="26" s="1"/>
  <c r="EA31" i="26" s="1"/>
  <c r="EA23" i="26"/>
  <c r="DZ28" i="26"/>
  <c r="DZ31" i="26" s="1"/>
  <c r="DY41" i="26"/>
  <c r="DZ12" i="26" s="1"/>
  <c r="DO31" i="26" l="1"/>
  <c r="DO36" i="26"/>
  <c r="DO34" i="26" s="1"/>
  <c r="EA34" i="26"/>
  <c r="DO28" i="26"/>
  <c r="DO26" i="26"/>
  <c r="EC36" i="26"/>
  <c r="EC34" i="26" s="1"/>
  <c r="EC32" i="26"/>
  <c r="EC17" i="26"/>
  <c r="EC18" i="26" s="1"/>
  <c r="EC23" i="26"/>
  <c r="EC21" i="26" s="1"/>
  <c r="ED15" i="26"/>
  <c r="EC26" i="26"/>
  <c r="EC28" i="26" s="1"/>
  <c r="EC31" i="26" s="1"/>
  <c r="DO23" i="26"/>
  <c r="DO21" i="26" s="1"/>
  <c r="EA21" i="26"/>
  <c r="EA18" i="26"/>
  <c r="EA25" i="26"/>
  <c r="EA37" i="26" s="1"/>
  <c r="EA39" i="26" s="1"/>
  <c r="DZ25" i="26"/>
  <c r="DZ37" i="26" s="1"/>
  <c r="DZ39" i="26" s="1"/>
  <c r="DZ41" i="26" s="1"/>
  <c r="EA12" i="26" s="1"/>
  <c r="DO25" i="26" l="1"/>
  <c r="DO37" i="26" s="1"/>
  <c r="DO39" i="26" s="1"/>
  <c r="DO41" i="26" s="1"/>
  <c r="EB12" i="26" s="1"/>
  <c r="EC25" i="26"/>
  <c r="EC37" i="26" s="1"/>
  <c r="EC39" i="26" s="1"/>
  <c r="EA41" i="26"/>
  <c r="EC12" i="26" s="1"/>
  <c r="ED26" i="26"/>
  <c r="ED36" i="26"/>
  <c r="ED34" i="26" s="1"/>
  <c r="ED17" i="26"/>
  <c r="ED18" i="26" s="1"/>
  <c r="ED23" i="26"/>
  <c r="ED21" i="26" s="1"/>
  <c r="EE15" i="26"/>
  <c r="ED32" i="26"/>
  <c r="EC41" i="26" l="1"/>
  <c r="ED12" i="26" s="1"/>
  <c r="EE26" i="26"/>
  <c r="EE28" i="26" s="1"/>
  <c r="EE31" i="26" s="1"/>
  <c r="EE23" i="26"/>
  <c r="EE21" i="26" s="1"/>
  <c r="EE17" i="26"/>
  <c r="EE18" i="26" s="1"/>
  <c r="EF15" i="26"/>
  <c r="EE32" i="26"/>
  <c r="EE36" i="26"/>
  <c r="EE34" i="26" s="1"/>
  <c r="ED28" i="26"/>
  <c r="ED31" i="26" s="1"/>
  <c r="EE25" i="26" l="1"/>
  <c r="EE37" i="26" s="1"/>
  <c r="EE39" i="26" s="1"/>
  <c r="EG15" i="26"/>
  <c r="EF26" i="26"/>
  <c r="EF23" i="26"/>
  <c r="EF21" i="26" s="1"/>
  <c r="EF36" i="26"/>
  <c r="EF34" i="26" s="1"/>
  <c r="EF32" i="26"/>
  <c r="EF17" i="26"/>
  <c r="EF18" i="26" s="1"/>
  <c r="ED25" i="26"/>
  <c r="ED37" i="26" s="1"/>
  <c r="ED39" i="26" s="1"/>
  <c r="ED41" i="26" s="1"/>
  <c r="EE12" i="26" s="1"/>
  <c r="EE41" i="26" l="1"/>
  <c r="EF12" i="26" s="1"/>
  <c r="EF28" i="26"/>
  <c r="EF31" i="26" s="1"/>
  <c r="EF25" i="26" s="1"/>
  <c r="EF37" i="26" s="1"/>
  <c r="EF39" i="26" s="1"/>
  <c r="EG26" i="26"/>
  <c r="EG36" i="26"/>
  <c r="EG34" i="26" s="1"/>
  <c r="EH15" i="26"/>
  <c r="EG23" i="26"/>
  <c r="EG21" i="26" s="1"/>
  <c r="EG17" i="26"/>
  <c r="EG18" i="26" s="1"/>
  <c r="EG32" i="26"/>
  <c r="EF41" i="26" l="1"/>
  <c r="EG12" i="26" s="1"/>
  <c r="EI15" i="26"/>
  <c r="EH26" i="26"/>
  <c r="EH23" i="26"/>
  <c r="EH21" i="26" s="1"/>
  <c r="EH36" i="26"/>
  <c r="EH34" i="26" s="1"/>
  <c r="EH17" i="26"/>
  <c r="EH18" i="26" s="1"/>
  <c r="EH32" i="26"/>
  <c r="EG28" i="26"/>
  <c r="EG31" i="26" s="1"/>
  <c r="EH28" i="26" l="1"/>
  <c r="EH31" i="26" s="1"/>
  <c r="EH25" i="26" s="1"/>
  <c r="EH37" i="26" s="1"/>
  <c r="EH39" i="26" s="1"/>
  <c r="EJ15" i="26"/>
  <c r="EI17" i="26"/>
  <c r="EI18" i="26" s="1"/>
  <c r="EI32" i="26"/>
  <c r="EI23" i="26"/>
  <c r="EI21" i="26" s="1"/>
  <c r="EI36" i="26"/>
  <c r="EI34" i="26" s="1"/>
  <c r="EI26" i="26"/>
  <c r="EG25" i="26"/>
  <c r="EG37" i="26" s="1"/>
  <c r="EG39" i="26" s="1"/>
  <c r="EG41" i="26" s="1"/>
  <c r="EH12" i="26" s="1"/>
  <c r="EH41" i="26" l="1"/>
  <c r="EI12" i="26" s="1"/>
  <c r="EI28" i="26"/>
  <c r="EI31" i="26" s="1"/>
  <c r="EJ26" i="26"/>
  <c r="EJ17" i="26"/>
  <c r="EJ18" i="26" s="1"/>
  <c r="EJ32" i="26"/>
  <c r="EJ23" i="26"/>
  <c r="EJ21" i="26" s="1"/>
  <c r="EJ36" i="26"/>
  <c r="EJ34" i="26" s="1"/>
  <c r="EK15" i="26"/>
  <c r="EI25" i="26" l="1"/>
  <c r="EI37" i="26" s="1"/>
  <c r="EI39" i="26" s="1"/>
  <c r="EI41" i="26" s="1"/>
  <c r="EJ12" i="26" s="1"/>
  <c r="EJ28" i="26"/>
  <c r="EJ31" i="26" s="1"/>
  <c r="EJ25" i="26" s="1"/>
  <c r="EJ37" i="26" s="1"/>
  <c r="EJ39" i="26" s="1"/>
  <c r="EL15" i="26"/>
  <c r="EK23" i="26"/>
  <c r="EK21" i="26" s="1"/>
  <c r="EK26" i="26"/>
  <c r="EK32" i="26"/>
  <c r="EK36" i="26"/>
  <c r="EK34" i="26" s="1"/>
  <c r="EK17" i="26"/>
  <c r="EK18" i="26" s="1"/>
  <c r="EM15" i="26" l="1"/>
  <c r="EL23" i="26"/>
  <c r="EL21" i="26" s="1"/>
  <c r="EL17" i="26"/>
  <c r="EL18" i="26" s="1"/>
  <c r="EL36" i="26"/>
  <c r="EL34" i="26" s="1"/>
  <c r="EL26" i="26"/>
  <c r="EL32" i="26"/>
  <c r="EK28" i="26"/>
  <c r="EK31" i="26" s="1"/>
  <c r="EJ41" i="26"/>
  <c r="EK12" i="26" s="1"/>
  <c r="EK25" i="26" l="1"/>
  <c r="EK37" i="26" s="1"/>
  <c r="EK39" i="26" s="1"/>
  <c r="EK41" i="26" s="1"/>
  <c r="EL12" i="26" s="1"/>
  <c r="EL28" i="26"/>
  <c r="EL31" i="26" s="1"/>
  <c r="EL25" i="26" s="1"/>
  <c r="EL37" i="26" s="1"/>
  <c r="EL39" i="26" s="1"/>
  <c r="EM26" i="26"/>
  <c r="EM23" i="26"/>
  <c r="EM21" i="26" s="1"/>
  <c r="EM32" i="26"/>
  <c r="EM17" i="26"/>
  <c r="EM18" i="26" s="1"/>
  <c r="EM36" i="26"/>
  <c r="EM34" i="26" s="1"/>
  <c r="EN15" i="26"/>
  <c r="EL41" i="26" l="1"/>
  <c r="EM12" i="26" s="1"/>
  <c r="EM28" i="26"/>
  <c r="EM31" i="26" s="1"/>
  <c r="EM25" i="26" s="1"/>
  <c r="EM37" i="26" s="1"/>
  <c r="EM39" i="26" s="1"/>
  <c r="EB15" i="26"/>
  <c r="EP15" i="26"/>
  <c r="EN32" i="26"/>
  <c r="EB32" i="26" s="1"/>
  <c r="EN26" i="26"/>
  <c r="EN28" i="26" s="1"/>
  <c r="EN31" i="26" s="1"/>
  <c r="EN36" i="26"/>
  <c r="EN23" i="26"/>
  <c r="EN17" i="26"/>
  <c r="EB31" i="26" l="1"/>
  <c r="EM41" i="26"/>
  <c r="EN12" i="26" s="1"/>
  <c r="EP17" i="26"/>
  <c r="EP26" i="26"/>
  <c r="EP28" i="26" s="1"/>
  <c r="EP31" i="26" s="1"/>
  <c r="EQ15" i="26"/>
  <c r="EP36" i="26"/>
  <c r="EP34" i="26" s="1"/>
  <c r="EP32" i="26"/>
  <c r="EP23" i="26"/>
  <c r="EP21" i="26" s="1"/>
  <c r="EB26" i="26"/>
  <c r="EB28" i="26"/>
  <c r="EB17" i="26"/>
  <c r="EB18" i="26" s="1"/>
  <c r="EN18" i="26"/>
  <c r="EB36" i="26"/>
  <c r="EB34" i="26" s="1"/>
  <c r="EN34" i="26"/>
  <c r="EN25" i="26"/>
  <c r="EP18" i="26"/>
  <c r="EB23" i="26"/>
  <c r="EB21" i="26" s="1"/>
  <c r="EN21" i="26"/>
  <c r="EB25" i="26" l="1"/>
  <c r="EB37" i="26" s="1"/>
  <c r="EB39" i="26" s="1"/>
  <c r="EB41" i="26" s="1"/>
  <c r="EO12" i="26" s="1"/>
  <c r="EN37" i="26"/>
  <c r="EN39" i="26" s="1"/>
  <c r="EN41" i="26" s="1"/>
  <c r="EP12" i="26" s="1"/>
  <c r="EQ26" i="26"/>
  <c r="EQ28" i="26" s="1"/>
  <c r="EQ31" i="26" s="1"/>
  <c r="EQ17" i="26"/>
  <c r="EQ18" i="26" s="1"/>
  <c r="EQ23" i="26"/>
  <c r="EQ21" i="26" s="1"/>
  <c r="EQ36" i="26"/>
  <c r="EQ34" i="26" s="1"/>
  <c r="EQ32" i="26"/>
  <c r="ER15" i="26"/>
  <c r="EP25" i="26"/>
  <c r="EP37" i="26" s="1"/>
  <c r="EP39" i="26" s="1"/>
  <c r="EP41" i="26" l="1"/>
  <c r="EQ12" i="26" s="1"/>
  <c r="ER26" i="26"/>
  <c r="ER28" i="26" s="1"/>
  <c r="ER31" i="26" s="1"/>
  <c r="ER23" i="26"/>
  <c r="ER21" i="26" s="1"/>
  <c r="ER17" i="26"/>
  <c r="ER18" i="26" s="1"/>
  <c r="ER36" i="26"/>
  <c r="ER34" i="26" s="1"/>
  <c r="ER32" i="26"/>
  <c r="ES15" i="26"/>
  <c r="EQ25" i="26"/>
  <c r="EQ37" i="26" s="1"/>
  <c r="EQ39" i="26" s="1"/>
  <c r="EQ41" i="26" l="1"/>
  <c r="ER12" i="26" s="1"/>
  <c r="ER25" i="26"/>
  <c r="ER37" i="26" s="1"/>
  <c r="ER39" i="26" s="1"/>
  <c r="ES26" i="26"/>
  <c r="ES23" i="26"/>
  <c r="ES21" i="26" s="1"/>
  <c r="ES17" i="26"/>
  <c r="ES18" i="26" s="1"/>
  <c r="ES36" i="26"/>
  <c r="ES34" i="26" s="1"/>
  <c r="ES32" i="26"/>
  <c r="ET15" i="26"/>
  <c r="ER41" i="26" l="1"/>
  <c r="ES12" i="26" s="1"/>
  <c r="ET23" i="26"/>
  <c r="ET21" i="26" s="1"/>
  <c r="ET36" i="26"/>
  <c r="ET34" i="26" s="1"/>
  <c r="ET32" i="26"/>
  <c r="ET17" i="26"/>
  <c r="ET18" i="26" s="1"/>
  <c r="EU15" i="26"/>
  <c r="ET26" i="26"/>
  <c r="ES28" i="26"/>
  <c r="ES31" i="26" s="1"/>
  <c r="ES25" i="26" l="1"/>
  <c r="ES37" i="26" s="1"/>
  <c r="ES39" i="26" s="1"/>
  <c r="ES41" i="26" s="1"/>
  <c r="ET12" i="26" s="1"/>
  <c r="EU26" i="26"/>
  <c r="EU23" i="26"/>
  <c r="EU21" i="26" s="1"/>
  <c r="EU17" i="26"/>
  <c r="EU18" i="26" s="1"/>
  <c r="EU32" i="26"/>
  <c r="EU36" i="26"/>
  <c r="EU34" i="26" s="1"/>
  <c r="EV15" i="26"/>
  <c r="ET28" i="26"/>
  <c r="ET31" i="26" s="1"/>
  <c r="EV26" i="26" l="1"/>
  <c r="EV23" i="26"/>
  <c r="EV21" i="26" s="1"/>
  <c r="EV17" i="26"/>
  <c r="EV18" i="26" s="1"/>
  <c r="EV32" i="26"/>
  <c r="EV36" i="26"/>
  <c r="EV34" i="26" s="1"/>
  <c r="EW15" i="26"/>
  <c r="EU28" i="26"/>
  <c r="EU31" i="26" s="1"/>
  <c r="ET25" i="26"/>
  <c r="ET37" i="26" s="1"/>
  <c r="ET39" i="26" s="1"/>
  <c r="ET41" i="26" s="1"/>
  <c r="EU12" i="26" s="1"/>
  <c r="EU25" i="26" l="1"/>
  <c r="EU37" i="26" s="1"/>
  <c r="EU39" i="26" s="1"/>
  <c r="EU41" i="26" s="1"/>
  <c r="EV12" i="26" s="1"/>
  <c r="EX15" i="26"/>
  <c r="EW26" i="26"/>
  <c r="EW23" i="26"/>
  <c r="EW21" i="26" s="1"/>
  <c r="EW36" i="26"/>
  <c r="EW34" i="26" s="1"/>
  <c r="EW17" i="26"/>
  <c r="EW18" i="26" s="1"/>
  <c r="EW32" i="26"/>
  <c r="EV28" i="26"/>
  <c r="EV31" i="26" s="1"/>
  <c r="EV25" i="26" l="1"/>
  <c r="EV37" i="26" s="1"/>
  <c r="EV39" i="26" s="1"/>
  <c r="EV41" i="26" s="1"/>
  <c r="EW12" i="26" s="1"/>
  <c r="EW28" i="26"/>
  <c r="EW31" i="26" s="1"/>
  <c r="EW25" i="26" s="1"/>
  <c r="EW37" i="26" s="1"/>
  <c r="EW39" i="26" s="1"/>
  <c r="EX36" i="26"/>
  <c r="EX34" i="26" s="1"/>
  <c r="EY15" i="26"/>
  <c r="EX23" i="26"/>
  <c r="EX21" i="26" s="1"/>
  <c r="EX17" i="26"/>
  <c r="EX18" i="26" s="1"/>
  <c r="EX26" i="26"/>
  <c r="EX32" i="26"/>
  <c r="EW41" i="26" l="1"/>
  <c r="EX12" i="26" s="1"/>
  <c r="EY36" i="26"/>
  <c r="EY34" i="26" s="1"/>
  <c r="EY17" i="26"/>
  <c r="EY18" i="26" s="1"/>
  <c r="EY32" i="26"/>
  <c r="EY26" i="26"/>
  <c r="EY23" i="26"/>
  <c r="EY21" i="26" s="1"/>
  <c r="EZ15" i="26"/>
  <c r="EX28" i="26"/>
  <c r="EX31" i="26" s="1"/>
  <c r="FA15" i="26" l="1"/>
  <c r="EZ23" i="26"/>
  <c r="EZ21" i="26" s="1"/>
  <c r="EZ26" i="26"/>
  <c r="EZ17" i="26"/>
  <c r="EZ18" i="26" s="1"/>
  <c r="EZ36" i="26"/>
  <c r="EZ34" i="26" s="1"/>
  <c r="EZ32" i="26"/>
  <c r="EY28" i="26"/>
  <c r="EY31" i="26" s="1"/>
  <c r="EX25" i="26"/>
  <c r="EX37" i="26" s="1"/>
  <c r="EX39" i="26" s="1"/>
  <c r="EX41" i="26" s="1"/>
  <c r="EY12" i="26" s="1"/>
  <c r="EZ28" i="26" l="1"/>
  <c r="EZ31" i="26" s="1"/>
  <c r="EZ25" i="26" s="1"/>
  <c r="EZ37" i="26" s="1"/>
  <c r="EZ39" i="26" s="1"/>
  <c r="EY25" i="26"/>
  <c r="EY37" i="26" s="1"/>
  <c r="EY39" i="26" s="1"/>
  <c r="EY41" i="26" s="1"/>
  <c r="EZ12" i="26" s="1"/>
  <c r="EO15" i="26"/>
  <c r="FA26" i="26"/>
  <c r="FA36" i="26"/>
  <c r="FA17" i="26"/>
  <c r="FA23" i="26"/>
  <c r="FA32" i="26"/>
  <c r="EO32" i="26" s="1"/>
  <c r="FC15" i="26"/>
  <c r="EZ41" i="26" l="1"/>
  <c r="FA12" i="26" s="1"/>
  <c r="EO17" i="26"/>
  <c r="EO18" i="26" s="1"/>
  <c r="FA18" i="26"/>
  <c r="EO36" i="26"/>
  <c r="EO34" i="26" s="1"/>
  <c r="FA34" i="26"/>
  <c r="FC23" i="26"/>
  <c r="FC21" i="26" s="1"/>
  <c r="FC17" i="26"/>
  <c r="FC18" i="26" s="1"/>
  <c r="FD15" i="26"/>
  <c r="FC32" i="26"/>
  <c r="FC26" i="26"/>
  <c r="FC28" i="26" s="1"/>
  <c r="FC36" i="26"/>
  <c r="FC34" i="26" s="1"/>
  <c r="FA28" i="26"/>
  <c r="EO26" i="26"/>
  <c r="EO23" i="26"/>
  <c r="EO21" i="26" s="1"/>
  <c r="FA21" i="26"/>
  <c r="FC31" i="26"/>
  <c r="FC25" i="26" s="1"/>
  <c r="FC37" i="26" l="1"/>
  <c r="FC39" i="26" s="1"/>
  <c r="FA31" i="26"/>
  <c r="EO31" i="26" s="1"/>
  <c r="EO28" i="26"/>
  <c r="FD23" i="26"/>
  <c r="FD21" i="26" s="1"/>
  <c r="FD36" i="26"/>
  <c r="FD34" i="26" s="1"/>
  <c r="FD17" i="26"/>
  <c r="FD18" i="26" s="1"/>
  <c r="FE15" i="26"/>
  <c r="FD26" i="26"/>
  <c r="FD32" i="26"/>
  <c r="FA25" i="26" l="1"/>
  <c r="FA37" i="26" s="1"/>
  <c r="FA39" i="26" s="1"/>
  <c r="FA41" i="26" s="1"/>
  <c r="FC12" i="26" s="1"/>
  <c r="FC41" i="26" s="1"/>
  <c r="FD12" i="26" s="1"/>
  <c r="EO25" i="26"/>
  <c r="EO37" i="26" s="1"/>
  <c r="EO39" i="26" s="1"/>
  <c r="EO41" i="26" s="1"/>
  <c r="FB12" i="26" s="1"/>
  <c r="FE26" i="26"/>
  <c r="FE28" i="26" s="1"/>
  <c r="FE31" i="26" s="1"/>
  <c r="FE23" i="26"/>
  <c r="FE21" i="26" s="1"/>
  <c r="FF15" i="26"/>
  <c r="FE17" i="26"/>
  <c r="FE18" i="26" s="1"/>
  <c r="FE36" i="26"/>
  <c r="FE34" i="26" s="1"/>
  <c r="FE32" i="26"/>
  <c r="FD28" i="26"/>
  <c r="FD31" i="26" s="1"/>
  <c r="FE25" i="26" l="1"/>
  <c r="FE37" i="26" s="1"/>
  <c r="FE39" i="26" s="1"/>
  <c r="FF32" i="26"/>
  <c r="FF36" i="26"/>
  <c r="FF34" i="26" s="1"/>
  <c r="FG15" i="26"/>
  <c r="FF26" i="26"/>
  <c r="FF28" i="26" s="1"/>
  <c r="FF31" i="26" s="1"/>
  <c r="FF17" i="26"/>
  <c r="FF18" i="26" s="1"/>
  <c r="FF23" i="26"/>
  <c r="FF21" i="26" s="1"/>
  <c r="FD25" i="26"/>
  <c r="FD37" i="26" s="1"/>
  <c r="FD39" i="26" s="1"/>
  <c r="FD41" i="26" s="1"/>
  <c r="FE12" i="26" s="1"/>
  <c r="FE41" i="26" l="1"/>
  <c r="FF12" i="26" s="1"/>
  <c r="FG26" i="26"/>
  <c r="FG28" i="26" s="1"/>
  <c r="FG31" i="26" s="1"/>
  <c r="FG23" i="26"/>
  <c r="FG21" i="26" s="1"/>
  <c r="FG32" i="26"/>
  <c r="FG36" i="26"/>
  <c r="FG34" i="26" s="1"/>
  <c r="FH15" i="26"/>
  <c r="FG17" i="26"/>
  <c r="FG18" i="26" s="1"/>
  <c r="FF25" i="26"/>
  <c r="FF37" i="26" s="1"/>
  <c r="FF39" i="26" s="1"/>
  <c r="FG25" i="26" l="1"/>
  <c r="FG37" i="26" s="1"/>
  <c r="FG39" i="26" s="1"/>
  <c r="FF41" i="26"/>
  <c r="FG12" i="26" s="1"/>
  <c r="FH17" i="26"/>
  <c r="FH18" i="26" s="1"/>
  <c r="FI15" i="26"/>
  <c r="FH26" i="26"/>
  <c r="FH23" i="26"/>
  <c r="FH21" i="26" s="1"/>
  <c r="FH36" i="26"/>
  <c r="FH34" i="26" s="1"/>
  <c r="FH32" i="26"/>
  <c r="FG41" i="26" l="1"/>
  <c r="FH12" i="26" s="1"/>
  <c r="FH28" i="26"/>
  <c r="FH31" i="26" s="1"/>
  <c r="FI36" i="26"/>
  <c r="FI34" i="26" s="1"/>
  <c r="FJ15" i="26"/>
  <c r="FI26" i="26"/>
  <c r="FI23" i="26"/>
  <c r="FI21" i="26" s="1"/>
  <c r="FI32" i="26"/>
  <c r="FI17" i="26"/>
  <c r="FI18" i="26" s="1"/>
  <c r="FH25" i="26" l="1"/>
  <c r="FH37" i="26" s="1"/>
  <c r="FH39" i="26" s="1"/>
  <c r="FH41" i="26" s="1"/>
  <c r="FI12" i="26" s="1"/>
  <c r="FI28" i="26"/>
  <c r="FI31" i="26" s="1"/>
  <c r="FI25" i="26" s="1"/>
  <c r="FI37" i="26" s="1"/>
  <c r="FI39" i="26" s="1"/>
  <c r="FJ36" i="26"/>
  <c r="FJ34" i="26" s="1"/>
  <c r="FJ32" i="26"/>
  <c r="FJ17" i="26"/>
  <c r="FJ18" i="26" s="1"/>
  <c r="FJ26" i="26"/>
  <c r="FJ23" i="26"/>
  <c r="FJ21" i="26" s="1"/>
  <c r="FK15" i="26"/>
  <c r="FJ28" i="26" l="1"/>
  <c r="FJ31" i="26" s="1"/>
  <c r="FJ25" i="26" s="1"/>
  <c r="FJ37" i="26" s="1"/>
  <c r="FJ39" i="26" s="1"/>
  <c r="FL15" i="26"/>
  <c r="FK32" i="26"/>
  <c r="FK36" i="26"/>
  <c r="FK34" i="26" s="1"/>
  <c r="FK26" i="26"/>
  <c r="FK23" i="26"/>
  <c r="FK21" i="26" s="1"/>
  <c r="FK17" i="26"/>
  <c r="FK18" i="26" s="1"/>
  <c r="FI41" i="26"/>
  <c r="FJ12" i="26" s="1"/>
  <c r="FK28" i="26" l="1"/>
  <c r="FK31" i="26" s="1"/>
  <c r="FK25" i="26" s="1"/>
  <c r="FK37" i="26" s="1"/>
  <c r="FK39" i="26" s="1"/>
  <c r="FM15" i="26"/>
  <c r="FL32" i="26"/>
  <c r="FL23" i="26"/>
  <c r="FL21" i="26" s="1"/>
  <c r="FL36" i="26"/>
  <c r="FL34" i="26" s="1"/>
  <c r="FL26" i="26"/>
  <c r="FL17" i="26"/>
  <c r="FL18" i="26" s="1"/>
  <c r="FJ41" i="26"/>
  <c r="FK12" i="26" s="1"/>
  <c r="FM26" i="26" l="1"/>
  <c r="FM23" i="26"/>
  <c r="FM21" i="26" s="1"/>
  <c r="FM36" i="26"/>
  <c r="FM34" i="26" s="1"/>
  <c r="FM17" i="26"/>
  <c r="FM18" i="26" s="1"/>
  <c r="FM32" i="26"/>
  <c r="FN15" i="26"/>
  <c r="FL28" i="26"/>
  <c r="FL31" i="26" s="1"/>
  <c r="FK41" i="26"/>
  <c r="FL12" i="26" s="1"/>
  <c r="FL25" i="26" l="1"/>
  <c r="FL37" i="26" s="1"/>
  <c r="FL39" i="26" s="1"/>
  <c r="FL41" i="26" s="1"/>
  <c r="FM12" i="26" s="1"/>
  <c r="FB15" i="26"/>
  <c r="FN36" i="26"/>
  <c r="FP15" i="26"/>
  <c r="FN26" i="26"/>
  <c r="FN23" i="26"/>
  <c r="FN17" i="26"/>
  <c r="FB17" i="26" s="1"/>
  <c r="FB18" i="26" s="1"/>
  <c r="FN32" i="26"/>
  <c r="FB32" i="26" s="1"/>
  <c r="FM28" i="26"/>
  <c r="FM31" i="26" s="1"/>
  <c r="FN28" i="26" l="1"/>
  <c r="FB26" i="26"/>
  <c r="FP26" i="26"/>
  <c r="FP28" i="26" s="1"/>
  <c r="FP31" i="26" s="1"/>
  <c r="FP17" i="26"/>
  <c r="FP18" i="26" s="1"/>
  <c r="FP32" i="26"/>
  <c r="FQ15" i="26"/>
  <c r="FP36" i="26"/>
  <c r="FP34" i="26" s="1"/>
  <c r="FP23" i="26"/>
  <c r="FP21" i="26" s="1"/>
  <c r="FB36" i="26"/>
  <c r="FB34" i="26" s="1"/>
  <c r="FN34" i="26"/>
  <c r="FB23" i="26"/>
  <c r="FB21" i="26" s="1"/>
  <c r="FN21" i="26"/>
  <c r="FM25" i="26"/>
  <c r="FM37" i="26" s="1"/>
  <c r="FM39" i="26" s="1"/>
  <c r="FM41" i="26" s="1"/>
  <c r="FN12" i="26" s="1"/>
  <c r="FN18" i="26"/>
  <c r="FP25" i="26" l="1"/>
  <c r="FP37" i="26" s="1"/>
  <c r="FP39" i="26" s="1"/>
  <c r="FQ26" i="26"/>
  <c r="FQ28" i="26" s="1"/>
  <c r="FQ31" i="26" s="1"/>
  <c r="FQ23" i="26"/>
  <c r="FQ21" i="26" s="1"/>
  <c r="FQ36" i="26"/>
  <c r="FQ34" i="26" s="1"/>
  <c r="FR15" i="26"/>
  <c r="FQ17" i="26"/>
  <c r="FQ18" i="26" s="1"/>
  <c r="FQ32" i="26"/>
  <c r="FN31" i="26"/>
  <c r="FB28" i="26"/>
  <c r="FQ25" i="26" l="1"/>
  <c r="FQ37" i="26" s="1"/>
  <c r="FQ39" i="26" s="1"/>
  <c r="FS15" i="26"/>
  <c r="FR32" i="26"/>
  <c r="FR23" i="26"/>
  <c r="FR21" i="26" s="1"/>
  <c r="FR17" i="26"/>
  <c r="FR18" i="26" s="1"/>
  <c r="FR26" i="26"/>
  <c r="FR28" i="26" s="1"/>
  <c r="FR31" i="26" s="1"/>
  <c r="FR36" i="26"/>
  <c r="FR34" i="26" s="1"/>
  <c r="FB31" i="26"/>
  <c r="FB25" i="26" s="1"/>
  <c r="FB37" i="26" s="1"/>
  <c r="FB39" i="26" s="1"/>
  <c r="FB41" i="26" s="1"/>
  <c r="FO12" i="26" s="1"/>
  <c r="FN25" i="26"/>
  <c r="FN37" i="26" s="1"/>
  <c r="FN39" i="26" s="1"/>
  <c r="FN41" i="26" s="1"/>
  <c r="FP12" i="26" s="1"/>
  <c r="FP41" i="26" s="1"/>
  <c r="FQ12" i="26" s="1"/>
  <c r="FQ41" i="26" l="1"/>
  <c r="FR12" i="26" s="1"/>
  <c r="FR25" i="26"/>
  <c r="FR37" i="26" s="1"/>
  <c r="FR39" i="26" s="1"/>
  <c r="FS17" i="26"/>
  <c r="FS18" i="26" s="1"/>
  <c r="FT15" i="26"/>
  <c r="FS26" i="26"/>
  <c r="FS36" i="26"/>
  <c r="FS34" i="26" s="1"/>
  <c r="FS23" i="26"/>
  <c r="FS21" i="26" s="1"/>
  <c r="FS32" i="26"/>
  <c r="FR41" i="26" l="1"/>
  <c r="FS12" i="26" s="1"/>
  <c r="FS28" i="26"/>
  <c r="FS31" i="26" s="1"/>
  <c r="FS25" i="26" s="1"/>
  <c r="FS37" i="26" s="1"/>
  <c r="FS39" i="26" s="1"/>
  <c r="FT32" i="26"/>
  <c r="FU15" i="26"/>
  <c r="FT26" i="26"/>
  <c r="FT23" i="26"/>
  <c r="FT21" i="26" s="1"/>
  <c r="FT17" i="26"/>
  <c r="FT18" i="26" s="1"/>
  <c r="FT36" i="26"/>
  <c r="FT34" i="26" s="1"/>
  <c r="FS41" i="26" l="1"/>
  <c r="FT12" i="26" s="1"/>
  <c r="FT28" i="26"/>
  <c r="FT31" i="26" s="1"/>
  <c r="FU26" i="26"/>
  <c r="FU23" i="26"/>
  <c r="FU21" i="26" s="1"/>
  <c r="FU17" i="26"/>
  <c r="FU18" i="26" s="1"/>
  <c r="FV15" i="26"/>
  <c r="FU36" i="26"/>
  <c r="FU34" i="26" s="1"/>
  <c r="FU32" i="26"/>
  <c r="FV26" i="26" l="1"/>
  <c r="FV23" i="26"/>
  <c r="FV21" i="26" s="1"/>
  <c r="FV17" i="26"/>
  <c r="FV18" i="26" s="1"/>
  <c r="FV36" i="26"/>
  <c r="FV34" i="26" s="1"/>
  <c r="FV32" i="26"/>
  <c r="FW15" i="26"/>
  <c r="FU28" i="26"/>
  <c r="FU31" i="26" s="1"/>
  <c r="FT25" i="26"/>
  <c r="FT37" i="26" s="1"/>
  <c r="FT39" i="26" s="1"/>
  <c r="FT41" i="26" s="1"/>
  <c r="FU12" i="26" s="1"/>
  <c r="FU25" i="26" l="1"/>
  <c r="FU37" i="26" s="1"/>
  <c r="FU39" i="26" s="1"/>
  <c r="FU41" i="26" s="1"/>
  <c r="FV12" i="26" s="1"/>
  <c r="FX15" i="26"/>
  <c r="FW26" i="26"/>
  <c r="FW23" i="26"/>
  <c r="FW21" i="26" s="1"/>
  <c r="FW32" i="26"/>
  <c r="FW36" i="26"/>
  <c r="FW34" i="26" s="1"/>
  <c r="FW17" i="26"/>
  <c r="FW18" i="26" s="1"/>
  <c r="FV28" i="26"/>
  <c r="FV31" i="26" s="1"/>
  <c r="FW28" i="26" l="1"/>
  <c r="FW31" i="26" s="1"/>
  <c r="FV25" i="26"/>
  <c r="FV37" i="26" s="1"/>
  <c r="FV39" i="26" s="1"/>
  <c r="FV41" i="26" s="1"/>
  <c r="FW12" i="26" s="1"/>
  <c r="FX36" i="26"/>
  <c r="FX34" i="26" s="1"/>
  <c r="FY15" i="26"/>
  <c r="FX26" i="26"/>
  <c r="FX17" i="26"/>
  <c r="FX18" i="26" s="1"/>
  <c r="FX32" i="26"/>
  <c r="FX23" i="26"/>
  <c r="FX21" i="26" s="1"/>
  <c r="FX28" i="26" l="1"/>
  <c r="FX31" i="26" s="1"/>
  <c r="FW25" i="26"/>
  <c r="FW37" i="26" s="1"/>
  <c r="FW39" i="26" s="1"/>
  <c r="FW41" i="26" s="1"/>
  <c r="FX12" i="26" s="1"/>
  <c r="FY17" i="26"/>
  <c r="FY18" i="26" s="1"/>
  <c r="FZ15" i="26"/>
  <c r="FY26" i="26"/>
  <c r="FY23" i="26"/>
  <c r="FY21" i="26" s="1"/>
  <c r="FY36" i="26"/>
  <c r="FY34" i="26" s="1"/>
  <c r="FY32" i="26"/>
  <c r="FX25" i="26" l="1"/>
  <c r="FX37" i="26" s="1"/>
  <c r="FX39" i="26" s="1"/>
  <c r="FX41" i="26" s="1"/>
  <c r="FY12" i="26" s="1"/>
  <c r="FZ32" i="26"/>
  <c r="FZ36" i="26"/>
  <c r="FZ34" i="26" s="1"/>
  <c r="FZ17" i="26"/>
  <c r="FZ18" i="26" s="1"/>
  <c r="GA15" i="26"/>
  <c r="FZ26" i="26"/>
  <c r="FZ23" i="26"/>
  <c r="FZ21" i="26" s="1"/>
  <c r="FY28" i="26"/>
  <c r="FY31" i="26" s="1"/>
  <c r="FY25" i="26" l="1"/>
  <c r="FY37" i="26" s="1"/>
  <c r="FY39" i="26" s="1"/>
  <c r="FY41" i="26" s="1"/>
  <c r="FZ12" i="26" s="1"/>
  <c r="FZ28" i="26"/>
  <c r="FZ31" i="26" s="1"/>
  <c r="FZ25" i="26" s="1"/>
  <c r="FZ37" i="26" s="1"/>
  <c r="FZ39" i="26" s="1"/>
  <c r="FO15" i="26"/>
  <c r="GA32" i="26"/>
  <c r="FO32" i="26" s="1"/>
  <c r="GA26" i="26"/>
  <c r="GA28" i="26" s="1"/>
  <c r="FO28" i="26" s="1"/>
  <c r="GC15" i="26"/>
  <c r="GA23" i="26"/>
  <c r="GA36" i="26"/>
  <c r="GA17" i="26"/>
  <c r="FO17" i="26" s="1"/>
  <c r="FZ41" i="26" l="1"/>
  <c r="GA12" i="26" s="1"/>
  <c r="GA31" i="26"/>
  <c r="FO31" i="26" s="1"/>
  <c r="GC17" i="26"/>
  <c r="GC18" i="26" s="1"/>
  <c r="GC36" i="26"/>
  <c r="GC34" i="26" s="1"/>
  <c r="GC32" i="26"/>
  <c r="GC23" i="26"/>
  <c r="GC21" i="26" s="1"/>
  <c r="GD15" i="26"/>
  <c r="GC26" i="26"/>
  <c r="GC28" i="26" s="1"/>
  <c r="GC31" i="26" s="1"/>
  <c r="FO26" i="26"/>
  <c r="FO36" i="26"/>
  <c r="FO34" i="26" s="1"/>
  <c r="GA34" i="26"/>
  <c r="FO18" i="26"/>
  <c r="FO23" i="26"/>
  <c r="FO21" i="26" s="1"/>
  <c r="GA21" i="26"/>
  <c r="GA18" i="26"/>
  <c r="GA25" i="26" l="1"/>
  <c r="GA37" i="26" s="1"/>
  <c r="GA39" i="26" s="1"/>
  <c r="GA41" i="26" s="1"/>
  <c r="GC12" i="26" s="1"/>
  <c r="FO25" i="26"/>
  <c r="FO37" i="26" s="1"/>
  <c r="FO39" i="26" s="1"/>
  <c r="FO41" i="26" s="1"/>
  <c r="GB12" i="26" s="1"/>
  <c r="GD26" i="26"/>
  <c r="GD28" i="26" s="1"/>
  <c r="GD31" i="26" s="1"/>
  <c r="GD23" i="26"/>
  <c r="GD21" i="26" s="1"/>
  <c r="GD32" i="26"/>
  <c r="GE15" i="26"/>
  <c r="GD36" i="26"/>
  <c r="GD34" i="26" s="1"/>
  <c r="GD17" i="26"/>
  <c r="GD18" i="26" s="1"/>
  <c r="GC25" i="26"/>
  <c r="GC37" i="26" s="1"/>
  <c r="GC39" i="26" s="1"/>
  <c r="GC41" i="26" l="1"/>
  <c r="GD12" i="26" s="1"/>
  <c r="GD25" i="26"/>
  <c r="GD37" i="26" s="1"/>
  <c r="GD39" i="26" s="1"/>
  <c r="GE26" i="26"/>
  <c r="GE23" i="26"/>
  <c r="GE21" i="26" s="1"/>
  <c r="GE32" i="26"/>
  <c r="GF15" i="26"/>
  <c r="GE36" i="26"/>
  <c r="GE34" i="26" s="1"/>
  <c r="GE17" i="26"/>
  <c r="GE18" i="26" s="1"/>
  <c r="GD41" i="26" l="1"/>
  <c r="GE12" i="26" s="1"/>
  <c r="GG15" i="26"/>
  <c r="GF26" i="26"/>
  <c r="GF17" i="26"/>
  <c r="GF18" i="26" s="1"/>
  <c r="GF36" i="26"/>
  <c r="GF34" i="26" s="1"/>
  <c r="GF32" i="26"/>
  <c r="GF23" i="26"/>
  <c r="GF21" i="26" s="1"/>
  <c r="GE28" i="26"/>
  <c r="GE31" i="26" s="1"/>
  <c r="GF28" i="26" l="1"/>
  <c r="GF31" i="26" s="1"/>
  <c r="GF25" i="26" s="1"/>
  <c r="GF37" i="26" s="1"/>
  <c r="GF39" i="26" s="1"/>
  <c r="GE25" i="26"/>
  <c r="GE37" i="26" s="1"/>
  <c r="GE39" i="26" s="1"/>
  <c r="GE41" i="26" s="1"/>
  <c r="GF12" i="26" s="1"/>
  <c r="GG26" i="26"/>
  <c r="GG36" i="26"/>
  <c r="GG34" i="26" s="1"/>
  <c r="GG17" i="26"/>
  <c r="GG18" i="26" s="1"/>
  <c r="GG23" i="26"/>
  <c r="GG21" i="26" s="1"/>
  <c r="GG32" i="26"/>
  <c r="GF41" i="26" l="1"/>
  <c r="GG12" i="26" s="1"/>
  <c r="GG28" i="26"/>
  <c r="GG31" i="26" s="1"/>
  <c r="GG25" i="26" s="1"/>
  <c r="GG37" i="26" s="1"/>
  <c r="GG39" i="26" s="1"/>
  <c r="GG41" i="26" l="1"/>
  <c r="GB15" i="26" l="1"/>
  <c r="GB32" i="26"/>
  <c r="GB31" i="26" l="1"/>
  <c r="GB17" i="26"/>
  <c r="GB18" i="26" s="1"/>
  <c r="GB28" i="26"/>
  <c r="GB26" i="26"/>
  <c r="GB23" i="26"/>
  <c r="GB21" i="26" s="1"/>
  <c r="GB36" i="26"/>
  <c r="GB34" i="26" s="1"/>
  <c r="GB25" i="26" l="1"/>
  <c r="GB37" i="26" s="1"/>
  <c r="GB39" i="26" s="1"/>
  <c r="GB4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Shirly Marrugo Llorente</author>
  </authors>
  <commentList>
    <comment ref="B12" authorId="0" shapeId="0" xr:uid="{D3C345E7-B379-4755-A065-CDF86B31DFF1}">
      <text>
        <r>
          <rPr>
            <b/>
            <sz val="10"/>
            <color indexed="81"/>
            <rFont val="Tahoma"/>
            <family val="2"/>
          </rPr>
          <t>Shirly Marrugo Llorente:</t>
        </r>
        <r>
          <rPr>
            <sz val="10"/>
            <color indexed="81"/>
            <rFont val="Tahoma"/>
            <family val="2"/>
          </rPr>
          <t xml:space="preserve">
Saldo en Fiducia a 27-OCT-2022</t>
        </r>
      </text>
    </comment>
    <comment ref="C12" authorId="0" shapeId="0" xr:uid="{FB6BEA16-E31E-4E65-BAD7-EE60E3FBC7CB}">
      <text>
        <r>
          <rPr>
            <b/>
            <sz val="10"/>
            <color indexed="81"/>
            <rFont val="Tahoma"/>
            <family val="2"/>
          </rPr>
          <t>Shirly Marrugo Llorente:</t>
        </r>
        <r>
          <rPr>
            <sz val="10"/>
            <color indexed="81"/>
            <rFont val="Tahoma"/>
            <family val="2"/>
          </rPr>
          <t xml:space="preserve">
Saldo en Fiducia a 27-OCT-2022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Shirly Marrugo Llorente</author>
  </authors>
  <commentList>
    <comment ref="P40" authorId="0" shapeId="0" xr:uid="{7F83BC2D-89DE-434A-A6EE-DD33A2CDDC75}">
      <text>
        <r>
          <rPr>
            <b/>
            <sz val="9"/>
            <color indexed="81"/>
            <rFont val="Tahoma"/>
            <family val="2"/>
          </rPr>
          <t>Shirly Marrugo Llorente:</t>
        </r>
        <r>
          <rPr>
            <sz val="9"/>
            <color indexed="81"/>
            <rFont val="Tahoma"/>
            <family val="2"/>
          </rPr>
          <t xml:space="preserve">
Ajuste en la facturación</t>
        </r>
      </text>
    </comment>
    <comment ref="S45" authorId="0" shapeId="0" xr:uid="{D7151B06-AB3A-484B-BE0C-CBC057FC094D}">
      <text>
        <r>
          <rPr>
            <b/>
            <sz val="9"/>
            <color indexed="81"/>
            <rFont val="Tahoma"/>
            <family val="2"/>
          </rPr>
          <t>Shirly Marrugo Llorente:</t>
        </r>
        <r>
          <rPr>
            <sz val="9"/>
            <color indexed="81"/>
            <rFont val="Tahoma"/>
            <family val="2"/>
          </rPr>
          <t xml:space="preserve">
Ajuste en la facturación</t>
        </r>
      </text>
    </comment>
  </commentList>
</comments>
</file>

<file path=xl/sharedStrings.xml><?xml version="1.0" encoding="utf-8"?>
<sst xmlns="http://schemas.openxmlformats.org/spreadsheetml/2006/main" count="385" uniqueCount="261">
  <si>
    <t>COSTO DE LAS UNIDADES CONSTRUCTIVAS DE ALUMBRADO PÚBLICO</t>
  </si>
  <si>
    <t>DESCRIPCIÓN</t>
  </si>
  <si>
    <t xml:space="preserve">COSTO DE INGENIERIA </t>
  </si>
  <si>
    <t>COSTO DE ADMINISTRACIÓN DE LA OBRA</t>
  </si>
  <si>
    <t>COSTO DEL INSPECTOR</t>
  </si>
  <si>
    <t>COSTO DE INTERVENTORÍA</t>
  </si>
  <si>
    <t>COSTO FINANCIERO</t>
  </si>
  <si>
    <t>TOTAL COSTO UCAP</t>
  </si>
  <si>
    <t>VIDA UTIL</t>
  </si>
  <si>
    <t>COSTO DE SUMINISTO (CS)</t>
  </si>
  <si>
    <t>COSTO DE OBRA CIVIL (COC)</t>
  </si>
  <si>
    <t>COSTO DE MONTAJE (CM)</t>
  </si>
  <si>
    <t>LUMINARIAS</t>
  </si>
  <si>
    <t>REDES</t>
  </si>
  <si>
    <t xml:space="preserve">UNIDAD CONSTRUCTIVA </t>
  </si>
  <si>
    <t>COSTOS MÁXIMOS DE LA ACTIVIDAD DE INVERSIÓN DEL SISTEMA DE ALUMBRADO PÚBLICO</t>
  </si>
  <si>
    <t>TIPO DE UNIDAD CONSTRUCTIVA</t>
  </si>
  <si>
    <t>COSTO DE REPOSICIÓN A NUEVO</t>
  </si>
  <si>
    <t>COSTO TOTAL DE LA REPOSICIÓN</t>
  </si>
  <si>
    <t>TASA DE RETORNO</t>
  </si>
  <si>
    <t>VIDA ÚTIL</t>
  </si>
  <si>
    <t>INDICE DE DISPONIBILIDAD</t>
  </si>
  <si>
    <t>CANTIDAD</t>
  </si>
  <si>
    <t>POSTES</t>
  </si>
  <si>
    <t xml:space="preserve">CAAEn: COSTO ANUAL EQUIVALENTE DE LOS ACTIVOS ELÉCTRICOS </t>
  </si>
  <si>
    <t>CATn: COSTO ANUAL DE TERRENOS DE SUBESTACIONES</t>
  </si>
  <si>
    <t xml:space="preserve">CAANEn: COSTO ANUAL EQUIVALENTE DE LOS ACTIVOS NO ELÉCTRICOS </t>
  </si>
  <si>
    <t>POTENCIA TOTAL INSTALADA</t>
  </si>
  <si>
    <t>PORCENTAJE DE INDISPONIBILIDAD</t>
  </si>
  <si>
    <t>POTENCIA FUERA DE SERVICIO</t>
  </si>
  <si>
    <t>HORAS FUERA DE SERVICIO</t>
  </si>
  <si>
    <t>HORAS TOTALES DE OPERACIÓN</t>
  </si>
  <si>
    <t>ID</t>
  </si>
  <si>
    <t>CAAn: COSTO ANUAL EQUIVALENTE DE LOS ACTIVOS DEL SALP</t>
  </si>
  <si>
    <t>CINV: COSTO MÁXIMO DE LA ACTIVIDAD DE INVERSIÓN</t>
  </si>
  <si>
    <t>COSTO TOTAL MÁXIMO DE LA ACTIVIDAD DE INVERSIÓN MENSUAL</t>
  </si>
  <si>
    <t>COSTO TOTAL MÁXIMO DE LA ACTIVIDAD DE INVERSIÓN ANUAL</t>
  </si>
  <si>
    <t xml:space="preserve">INVERSIÓN EN LUMINARIAS </t>
  </si>
  <si>
    <t>VALOR</t>
  </si>
  <si>
    <t>INVERSIÓN EN BOMBILLOS</t>
  </si>
  <si>
    <t>INVERSIÓN EN TRANSFORMADORES</t>
  </si>
  <si>
    <t>INVERSIÓN EN POSTES</t>
  </si>
  <si>
    <t>INVERSIÓN EN REDES</t>
  </si>
  <si>
    <t>PARTICIPACIÓN</t>
  </si>
  <si>
    <t>COSTO TOTAL DE REPOSICIÓN A NUEVO</t>
  </si>
  <si>
    <t>VCEEIn: VALOR EN PESOS DEL CONSUMO DE ENERGÍA POR INDISPONIBILIDAD</t>
  </si>
  <si>
    <t>ID: INDICE DE DISPONIBILIDAD</t>
  </si>
  <si>
    <t xml:space="preserve">CAJAS DE INSPECCIOÓN Y CANALIZACIONES </t>
  </si>
  <si>
    <t>TECNOLOGIA</t>
  </si>
  <si>
    <t>POTENCIA (W)</t>
  </si>
  <si>
    <t>PERDIDA EN LA REACTANCIA (W)</t>
  </si>
  <si>
    <t>POTENCIA INSTALADA (W)</t>
  </si>
  <si>
    <t>SODIO</t>
  </si>
  <si>
    <t>METAL HALIDE</t>
  </si>
  <si>
    <t>LED</t>
  </si>
  <si>
    <t>CARGA TOTAL</t>
  </si>
  <si>
    <t>CENSO ACTUAL</t>
  </si>
  <si>
    <t>CENSO FUTURO</t>
  </si>
  <si>
    <t>INTERVENTORIA</t>
  </si>
  <si>
    <t>IPP</t>
  </si>
  <si>
    <t>IPC</t>
  </si>
  <si>
    <t>COSTO DE ENERGÍA</t>
  </si>
  <si>
    <t>RENDIMIENTOS FINANCIEROS</t>
  </si>
  <si>
    <t>AÑO 1</t>
  </si>
  <si>
    <t>GASTOS FINANCIEROS</t>
  </si>
  <si>
    <t>TOTAL INGRESOS</t>
  </si>
  <si>
    <t>INVERSIÓN INICIAL</t>
  </si>
  <si>
    <t>SALDO EN CAJA</t>
  </si>
  <si>
    <t>ALUMBRADO NAVIDEÑO/ ORNAMENTAL / PROYECTOS DE SMART CITIES</t>
  </si>
  <si>
    <t xml:space="preserve">RECAUDO IMPUESTO ALUMBRADO PÚBLICO </t>
  </si>
  <si>
    <t>COSTOS DEL PROYECTO</t>
  </si>
  <si>
    <t>GASTOS DEL PROYECTO</t>
  </si>
  <si>
    <t xml:space="preserve">SUMINISTRO DE ENERGÍA ALUMBRADO PÚBLICO CSEE </t>
  </si>
  <si>
    <t>TOTAL EGRESOS</t>
  </si>
  <si>
    <t>INVERSIÓN EN EXPANSIÓN VEGETATIVA</t>
  </si>
  <si>
    <t>IVA</t>
  </si>
  <si>
    <t>CRECIMIENTO POBLACIONAL</t>
  </si>
  <si>
    <t>INCREMENTO SMMLV</t>
  </si>
  <si>
    <t>FLUJO DE CAJA</t>
  </si>
  <si>
    <t>INGRESOS DEL PROYECTO</t>
  </si>
  <si>
    <t>EGRESOS DEL PROYECTO</t>
  </si>
  <si>
    <t>SALDO ACUMULADO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</si>
  <si>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</si>
  <si>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</si>
  <si>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</si>
  <si>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</si>
  <si>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</si>
  <si>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</si>
  <si>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</si>
  <si>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</si>
  <si>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</si>
  <si>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</si>
  <si>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</si>
  <si>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</si>
  <si>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</si>
  <si>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</si>
  <si>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CONSUMO CON REACTANCIA 
(KW-H-MES)</t>
  </si>
  <si>
    <t>Caja para redes subterraneas tipo alumbrado público</t>
  </si>
  <si>
    <t>INVERSIÓN EN CAJAS DE INSPECCIÓN Y CANALIZACIONES</t>
  </si>
  <si>
    <t>FLUORESCENTE</t>
  </si>
  <si>
    <t>INCANDESCENTE</t>
  </si>
  <si>
    <t xml:space="preserve">PERIODO </t>
  </si>
  <si>
    <t>INFORMACIÓN MOVIMIENTOS FIDUCIARIOS</t>
  </si>
  <si>
    <t>PAGOS AL CONCESIONARIO</t>
  </si>
  <si>
    <t xml:space="preserve">PAGO ADMINISTRACIÓN FIDUCIARIA </t>
  </si>
  <si>
    <t>PAGO INTERVENTORÍA</t>
  </si>
  <si>
    <t xml:space="preserve">IMPUESTO AP FACTURADO </t>
  </si>
  <si>
    <t>IMPUESTO AP RECAUDADO</t>
  </si>
  <si>
    <t>EFICIENCIA DEL RECAUDO</t>
  </si>
  <si>
    <t>IMPUESTO DEJADO DE RECAUDAR</t>
  </si>
  <si>
    <t>COSTO DE LA ENERGIA</t>
  </si>
  <si>
    <t>TARIFA KWH EN PESOS</t>
  </si>
  <si>
    <t>COSTO DE FACTURACIÓN Y RECAUDO</t>
  </si>
  <si>
    <t xml:space="preserve">VALOR A FAVOR SEGÚN LIQUIDACIÓN </t>
  </si>
  <si>
    <t>AJUSTE AL PESO</t>
  </si>
  <si>
    <t>VALOR A FAVOR GIRADO A FIDUCIA</t>
  </si>
  <si>
    <t>CAOM 
FACTURADO</t>
  </si>
  <si>
    <t>CAOM 
RECAUDADO</t>
  </si>
  <si>
    <t>CAOM ADEUDADO POR EL MUNICIPIO</t>
  </si>
  <si>
    <t>CINV ADEUDADO POR EL MUNICIPIO</t>
  </si>
  <si>
    <t>ALUMBRADO NAVIDEÑO</t>
  </si>
  <si>
    <t>PROYECTOS DE EXPANSIÓN</t>
  </si>
  <si>
    <t>INICIO</t>
  </si>
  <si>
    <t>FIN CONTRATO INICIAL</t>
  </si>
  <si>
    <t>IPC_PROYECCIÓN</t>
  </si>
  <si>
    <t>IPP_PROYECCIÓN</t>
  </si>
  <si>
    <t>TARIFA ENERGÍA_PROYECCIÓN</t>
  </si>
  <si>
    <t>DESARROLLOS TECNOLOGICO + SMART CITIES</t>
  </si>
  <si>
    <t>FIN OTROSI</t>
  </si>
  <si>
    <t>APORTES DEL MUNICIPIO</t>
  </si>
  <si>
    <t>ADMINISTRACIÓN FIDUCIARIA</t>
  </si>
  <si>
    <t>INVERSIÓN TOTAL</t>
  </si>
  <si>
    <t>Poste metalico para farol 3 metros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</si>
  <si>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</si>
  <si>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</si>
  <si>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</si>
  <si>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</si>
  <si>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</si>
  <si>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</si>
  <si>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</si>
  <si>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</si>
  <si>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</si>
  <si>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</si>
  <si>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</si>
  <si>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</si>
  <si>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% EXPANSIONES (AÑO 3)</t>
  </si>
  <si>
    <t>COSTO TOTAL MÁXIMO DE LA ACTIVIDAD DE AOM ANUAL</t>
  </si>
  <si>
    <t>COSTO TOTAL MÁXIMO DE LA ACTIVIDAD DE AOM MENSUAL</t>
  </si>
  <si>
    <t>INVERSIÓN EN SISTEMAS PUESTA A TIERRA</t>
  </si>
  <si>
    <t>DATOS DE ENTRADA DEL MODELO ECONÓMICO</t>
  </si>
  <si>
    <t>INFORMACIÓN GENERAL DEL MODELO</t>
  </si>
  <si>
    <t>MUNICIPIO</t>
  </si>
  <si>
    <t>DEPARTAMENTO</t>
  </si>
  <si>
    <t>ESTADO DEL CONTRATO</t>
  </si>
  <si>
    <t>FECHA DE INICIO</t>
  </si>
  <si>
    <t>DURACIÓN DEL CONTRATO</t>
  </si>
  <si>
    <t>FECHA DE FIN</t>
  </si>
  <si>
    <t xml:space="preserve">AÑO DE EJECUCIÓN </t>
  </si>
  <si>
    <t>COSTO DE LA UCAP</t>
  </si>
  <si>
    <t>VARIABLES ECONÓMICAS Y DEL MERCADO</t>
  </si>
  <si>
    <t>VARIABLES DE LA PROYECCIÓN FINANCIERA</t>
  </si>
  <si>
    <t>FAOMS: FRACCIÓN MÁXIMA DEL COSTO DE REPOSICIÓN A NUEVO ZONA SALINA</t>
  </si>
  <si>
    <t>OTROSÍ</t>
  </si>
  <si>
    <r>
      <t xml:space="preserve">EJECUCIÓN REAL DEL FLUJO DE CAJA
</t>
    </r>
    <r>
      <rPr>
        <b/>
        <sz val="14"/>
        <color theme="1"/>
        <rFont val="Bahnschrift Light SemiCondensed"/>
        <family val="2"/>
      </rPr>
      <t>PROYECTO ALUMBRADO PÚBLICO MUNICIPIO DE TIBÚ</t>
    </r>
  </si>
  <si>
    <t>INFORMACIÓN LIQUIDACIONES CENTRALES</t>
  </si>
  <si>
    <t>PAGO CLIENTES ESPECIALES</t>
  </si>
  <si>
    <t>APORTE DEL MUNICIPIO</t>
  </si>
  <si>
    <t>CONSUMO KWH MES COBRADO POR CENTRALES</t>
  </si>
  <si>
    <t>OTROS COBROS PRACTICADOS POR CENTRALES</t>
  </si>
  <si>
    <t>CINV
 FACTURADO</t>
  </si>
  <si>
    <t>CINV
 RECAUDO</t>
  </si>
  <si>
    <t>Luminaria</t>
  </si>
  <si>
    <t>Redes</t>
  </si>
  <si>
    <t>CARGA INSTALADA</t>
  </si>
  <si>
    <t>CARGA INDISPONIBILIDAD</t>
  </si>
  <si>
    <t>TIEMPO DE AMPLIACIÓN (AÑOS)</t>
  </si>
  <si>
    <t>TIR Resolución CREG 215 2021</t>
  </si>
  <si>
    <t>DATOS CONFORME A LA RESOLUCIÓN CREG 101 013</t>
  </si>
  <si>
    <t>NE</t>
  </si>
  <si>
    <t>FAOML</t>
  </si>
  <si>
    <t>FAOMn</t>
  </si>
  <si>
    <t>COSTOS AMBIENTALES (% DEL CAOM)</t>
  </si>
  <si>
    <t>COSTO DE LAS CERTIFICACIONES RETIE Y RETILAP</t>
  </si>
  <si>
    <t xml:space="preserve">CANTIDAD ACTUAL </t>
  </si>
  <si>
    <t>CRL: COSTO TOTAL DE LA REPOSICIÓN</t>
  </si>
  <si>
    <t>EFICACIA LUMINOSA (Lm/W)</t>
  </si>
  <si>
    <t>Cri,L: AJUSTE POR EFICACIA LUMINOSA</t>
  </si>
  <si>
    <t>COSTOS MÁXIMOS DE LA ACTIVIDAD DE ADMINISTRACIÓN, OPERACIÓN Y MANTENIMIENTO DEL SISTEMA DE ALUMBRADO PÚBLICO DE LAS LUMINARIAS ACTUALES</t>
  </si>
  <si>
    <t>COSTOS MÁXIMOS DE LA ACTIVIDAD DE ADMINISTRACIÓN, OPERACIÓN Y MANTENIMIENTO DEL SISTEMA DE ALUMBRADO PÚBLICO DE LAS LUMINARIAS FUTURAS</t>
  </si>
  <si>
    <t>COSTOS MÁXIMOS DE LA ACTIVIDAD DE ADMINISTRACIÓN, OPERACIÓN Y MANTENIMIENTO DEL SISTEMA DE ALUMBRADO PÚBLICO DE LA INFRAESTRUCTURA</t>
  </si>
  <si>
    <t>FAOML: FRACCIÓN MÁXIMA DEL COSTO DE REPOSICIÓN A NUEVO</t>
  </si>
  <si>
    <t>FAOMn: FRACCIÓN MÁXIMA DEL COSTO DE REPOSICIÓN A NUEVO</t>
  </si>
  <si>
    <t>EFICACICA LUMINOSA RESOLUCIÓN UPME 319 DE 2022</t>
  </si>
  <si>
    <t>COSTOS AMBIENTALES</t>
  </si>
  <si>
    <t>COSTO ACTIVIDAD DE INVERSION_ CONTRATO OTROSI</t>
  </si>
  <si>
    <t xml:space="preserve">COSTO ACTIVIDAD DE INVERSION_ CONTRATO INICIAL </t>
  </si>
  <si>
    <t>COSTO ACTIVIDAD DE ADMINISTRACIÓN, OPERACIÓN Y MANTENIMIENTO EXPANSIÓN</t>
  </si>
  <si>
    <t>COSTO ACTIVIDAD DE ADMINISTRACIÓN, OPERACIÓN Y MANTENIMIENTO (CAOM)</t>
  </si>
  <si>
    <t>CLEMENCIA</t>
  </si>
  <si>
    <t>BOLÍVAR</t>
  </si>
  <si>
    <t>COMISIÓN FIDUCIARIA: MEDIO SMMMLV_2022</t>
  </si>
  <si>
    <t>CLEMENCIA - PERIODO 202112</t>
  </si>
  <si>
    <t>R1</t>
  </si>
  <si>
    <t>R2</t>
  </si>
  <si>
    <t>R3</t>
  </si>
  <si>
    <t>R4</t>
  </si>
  <si>
    <t>R5</t>
  </si>
  <si>
    <t>R6</t>
  </si>
  <si>
    <t>COMERCIAL</t>
  </si>
  <si>
    <t>OFCIAL</t>
  </si>
  <si>
    <t>INDUSTRIAL</t>
  </si>
  <si>
    <t>TOTALES</t>
  </si>
  <si>
    <t>CLIENTES</t>
  </si>
  <si>
    <t>FACTURADO</t>
  </si>
  <si>
    <t>RECAUDADO</t>
  </si>
  <si>
    <t>MERCURIO</t>
  </si>
  <si>
    <t>MODELO FINANCIERO CLEMENCIA</t>
  </si>
  <si>
    <t>Luminaria con bombillo  Fluorescente 45 W</t>
  </si>
  <si>
    <t>Luminaria con bombillo  Fluorescente 80 W</t>
  </si>
  <si>
    <t>Luminaria con bombillo  Incandescente 100 W</t>
  </si>
  <si>
    <t>Farol con bombillo Sodio 70 W</t>
  </si>
  <si>
    <t>Luminaria con bombillo Sodio 70 W</t>
  </si>
  <si>
    <t>Luminaria con bombillo Sodio 150 W</t>
  </si>
  <si>
    <t>Luminaria con bombillo Sodio 250 W</t>
  </si>
  <si>
    <t>Reflector con bombillo Sodio 150 W</t>
  </si>
  <si>
    <t>Reflector con bombillo Sodio 250 W</t>
  </si>
  <si>
    <t>Luminaria con bombillo Metal Halide 250 W</t>
  </si>
  <si>
    <t>Luminaria con bombillo Metal Halide 400 W</t>
  </si>
  <si>
    <t>Reflector con bombillo Metal Halide 250 W</t>
  </si>
  <si>
    <t>Reflector con bombillo Metal Halide 400 W</t>
  </si>
  <si>
    <t>Luminaria con bombillo Mercurio 100 W</t>
  </si>
  <si>
    <t>Luminaria Led 50 W</t>
  </si>
  <si>
    <t>Reflector Led 50 W</t>
  </si>
  <si>
    <t>Reflector Led 150 W</t>
  </si>
  <si>
    <t>Luminaria Led 37 W Nueva</t>
  </si>
  <si>
    <t>Luminaria Led 60 W Nueva</t>
  </si>
  <si>
    <t>Luminaria Led 92 W Nueva</t>
  </si>
  <si>
    <t>Reflector Led 100 W Nuevo</t>
  </si>
  <si>
    <t>Reflector Led 200 W Nuevo</t>
  </si>
  <si>
    <t>Reflector Led 400 W Nuevo</t>
  </si>
  <si>
    <t>Transformador monofasico 15KVA</t>
  </si>
  <si>
    <t>Poste metalico para luminaria 4 metros</t>
  </si>
  <si>
    <t>Poste de concreto 8 metros</t>
  </si>
  <si>
    <t>Poste de concreto 10 metros</t>
  </si>
  <si>
    <t>Poste de concreto 12 metros</t>
  </si>
  <si>
    <t>Poste de concreto 16 metros</t>
  </si>
  <si>
    <t>Canalizacion con un ducto 1/2" PVC x 500MTS</t>
  </si>
  <si>
    <t>Canalizacion con un ducto  1 1/2" PVC x 500MTS</t>
  </si>
  <si>
    <t>Red aerea en cable 2x4+4 AWG x 500MTS</t>
  </si>
  <si>
    <t>Red aerea en cable 2x2+2 AWG x 500MTS</t>
  </si>
  <si>
    <t>Red aerea en ASCR No 4x2 AWG x 500MTS</t>
  </si>
  <si>
    <t>Red subterranea en cable No 12 AWG Cu x 500MTS</t>
  </si>
  <si>
    <t>Red subterranea en cable No 2 AWG Al x 500MTS</t>
  </si>
  <si>
    <t>Red en cable encauchetado 3x14 AWG Cu x 500MTS</t>
  </si>
  <si>
    <t>Sistema puesta a tierra</t>
  </si>
  <si>
    <t>Poste</t>
  </si>
  <si>
    <t>Transformador</t>
  </si>
  <si>
    <t>Cajas de Inspección y Canalizaciones</t>
  </si>
  <si>
    <t>TRANSFORMADOR</t>
  </si>
  <si>
    <t>DIFERENCIA</t>
  </si>
  <si>
    <t xml:space="preserve">CAAEn: COSTO ANUAL EQUIVALENTE DE LOS ACTIVOS ELÉCTRICOS DE LA INVERSIÓN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</si>
</sst>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\ #,##0;[Red]\-&quot;$&quot;\ #,##0"/>
    <numFmt numFmtId="8" formatCode="&quot;$&quot;\ #,##0.00;[Red]\-&quot;$&quot;\ #,##0.0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_-;\-* #,##0.00_-;_-* &quot;-&quot;_-;_-@_-"/>
    <numFmt numFmtId="165" formatCode="_(* #,##0_);_(* \(#,##0\);_(* &quot;-&quot;??_);_(@_)"/>
    <numFmt numFmtId="166" formatCode="#,##0_ ;[Red]\-#,##0\ "/>
    <numFmt numFmtId="167" formatCode="0.000%"/>
    <numFmt numFmtId="168" formatCode="_(* #,##0.00_);_(* \(#,##0.00\);_(* &quot;-&quot;??_);_(@_)"/>
    <numFmt numFmtId="169" formatCode="#,##0.00_ ;[Red]\-#,##0.00\ "/>
    <numFmt numFmtId="170" formatCode="_(&quot;$&quot;\ * #,##0_);_(&quot;$&quot;\ * \(#,##0\);_(&quot;$&quot;\ * &quot;-&quot;??_);_(@_)"/>
    <numFmt numFmtId="171" formatCode="_-&quot;$&quot;\ * #,##0_-;\-&quot;$&quot;\ * #,##0_-;_-&quot;$&quot;\ * &quot;-&quot;??_-;_-@_-"/>
    <numFmt numFmtId="172" formatCode="_-&quot;$&quot;\ * #,##0.00_-;\-&quot;$&quot;\ * #,##0.00_-;_-&quot;$&quot;\ * &quot;-&quot;_-;_-@_-"/>
    <numFmt numFmtId="173" formatCode="0.000"/>
    <numFmt numFmtId="174" formatCode="&quot;$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ahnschrift Light SemiCondensed"/>
      <family val="2"/>
    </font>
    <font>
      <sz val="18"/>
      <name val="Bahnschrift Light SemiCondensed"/>
      <family val="2"/>
    </font>
    <font>
      <sz val="11"/>
      <color theme="1"/>
      <name val="Bahnschrift Light SemiCondensed"/>
      <family val="2"/>
    </font>
    <font>
      <b/>
      <sz val="14"/>
      <color theme="0"/>
      <name val="Bahnschrift Light SemiCondensed"/>
      <family val="2"/>
    </font>
    <font>
      <sz val="14"/>
      <name val="Bahnschrift Light SemiCondensed"/>
      <family val="2"/>
    </font>
    <font>
      <b/>
      <sz val="11"/>
      <color theme="0"/>
      <name val="Bahnschrift Light SemiCondensed"/>
      <family val="2"/>
    </font>
    <font>
      <sz val="10"/>
      <name val="Bahnschrift Light SemiCondensed"/>
      <family val="2"/>
    </font>
    <font>
      <b/>
      <sz val="11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1"/>
      <color theme="4"/>
      <name val="Bahnschrift Light SemiCondensed"/>
      <family val="2"/>
    </font>
    <font>
      <b/>
      <sz val="16"/>
      <color theme="0"/>
      <name val="Bahnschrift Light SemiCondensed"/>
      <family val="2"/>
    </font>
    <font>
      <sz val="12"/>
      <color theme="1"/>
      <name val="Bahnschrift Light SemiCondensed"/>
      <family val="2"/>
    </font>
    <font>
      <b/>
      <sz val="14"/>
      <color theme="1"/>
      <name val="Bahnschrift Light SemiCondensed"/>
      <family val="2"/>
    </font>
    <font>
      <sz val="14"/>
      <color theme="1"/>
      <name val="Bahnschrift Light SemiCondensed"/>
      <family val="2"/>
    </font>
    <font>
      <b/>
      <sz val="18"/>
      <color theme="0"/>
      <name val="Bahnschrift Light SemiCondensed"/>
      <family val="2"/>
    </font>
    <font>
      <b/>
      <sz val="14"/>
      <name val="Bahnschrift Light SemiCondensed"/>
      <family val="2"/>
    </font>
    <font>
      <sz val="10"/>
      <color theme="1"/>
      <name val="Bahnschrift Light SemiCondensed"/>
      <family val="2"/>
    </font>
    <font>
      <sz val="10"/>
      <name val="Verdana"/>
      <family val="2"/>
    </font>
    <font>
      <b/>
      <sz val="18"/>
      <color theme="1"/>
      <name val="Bahnschrift Light SemiCondensed"/>
      <family val="2"/>
    </font>
    <font>
      <b/>
      <sz val="26"/>
      <color theme="1"/>
      <name val="Bahnschrift Light SemiCondensed"/>
      <family val="2"/>
    </font>
    <font>
      <b/>
      <sz val="14"/>
      <color theme="4"/>
      <name val="Bahnschrift Light SemiCondensed"/>
      <family val="2"/>
    </font>
    <font>
      <sz val="10"/>
      <name val="MS Sans Serif"/>
    </font>
    <font>
      <sz val="11"/>
      <color theme="0"/>
      <name val="Bahnschrift Light SemiCondensed"/>
      <family val="2"/>
    </font>
    <font>
      <sz val="11"/>
      <color rgb="FFFF0000"/>
      <name val="Bahnschrift Light Semi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rgb="FF000000"/>
      <name val="Bahnschrift Light SemiCondensed"/>
      <family val="2"/>
    </font>
    <font>
      <b/>
      <sz val="12"/>
      <color theme="0"/>
      <name val="Bahnschrift Light SemiCondensed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7B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2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32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42" fontId="2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42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2" fontId="4" fillId="0" borderId="0" xfId="2" applyFont="1" applyFill="1" applyAlignment="1">
      <alignment vertical="center"/>
    </xf>
    <xf numFmtId="0" fontId="4" fillId="0" borderId="0" xfId="0" applyFont="1"/>
    <xf numFmtId="0" fontId="10" fillId="0" borderId="0" xfId="0" applyFont="1" applyAlignment="1">
      <alignment vertical="center"/>
    </xf>
    <xf numFmtId="42" fontId="4" fillId="0" borderId="0" xfId="2" applyFont="1" applyFill="1" applyBorder="1" applyAlignment="1">
      <alignment vertical="center"/>
    </xf>
    <xf numFmtId="42" fontId="10" fillId="0" borderId="0" xfId="0" applyNumberFormat="1" applyFont="1" applyAlignment="1">
      <alignment vertical="center"/>
    </xf>
    <xf numFmtId="41" fontId="10" fillId="0" borderId="0" xfId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42" fontId="4" fillId="0" borderId="0" xfId="0" applyNumberFormat="1" applyFont="1" applyAlignment="1">
      <alignment horizontal="center" vertical="center"/>
    </xf>
    <xf numFmtId="10" fontId="4" fillId="0" borderId="0" xfId="3" applyNumberFormat="1" applyFont="1" applyFill="1" applyAlignment="1">
      <alignment horizontal="center" vertical="center"/>
    </xf>
    <xf numFmtId="42" fontId="4" fillId="0" borderId="0" xfId="2" applyFont="1" applyFill="1" applyAlignment="1">
      <alignment horizontal="center"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41" fontId="2" fillId="0" borderId="7" xfId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5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10" fontId="4" fillId="0" borderId="0" xfId="0" applyNumberFormat="1" applyFont="1" applyAlignment="1">
      <alignment vertical="center"/>
    </xf>
    <xf numFmtId="42" fontId="10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3" fontId="9" fillId="0" borderId="13" xfId="4" applyNumberFormat="1" applyFont="1" applyFill="1" applyBorder="1" applyAlignment="1">
      <alignment horizontal="center" vertical="center"/>
    </xf>
    <xf numFmtId="0" fontId="14" fillId="0" borderId="13" xfId="0" applyFont="1" applyBorder="1"/>
    <xf numFmtId="42" fontId="14" fillId="0" borderId="13" xfId="2" applyFont="1" applyFill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/>
    </xf>
    <xf numFmtId="4" fontId="2" fillId="0" borderId="13" xfId="4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42" fontId="14" fillId="0" borderId="13" xfId="2" applyFont="1" applyFill="1" applyBorder="1" applyAlignment="1">
      <alignment vertical="center"/>
    </xf>
    <xf numFmtId="4" fontId="9" fillId="0" borderId="13" xfId="4" applyNumberFormat="1" applyFont="1" applyFill="1" applyBorder="1" applyAlignment="1">
      <alignment horizontal="center" vertical="center"/>
    </xf>
    <xf numFmtId="42" fontId="4" fillId="0" borderId="13" xfId="0" applyNumberFormat="1" applyFont="1" applyBorder="1" applyAlignment="1">
      <alignment vertical="center"/>
    </xf>
    <xf numFmtId="4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3" fontId="2" fillId="0" borderId="0" xfId="4" applyFont="1" applyFill="1" applyBorder="1" applyAlignment="1">
      <alignment horizontal="center" vertical="center"/>
    </xf>
    <xf numFmtId="17" fontId="4" fillId="0" borderId="0" xfId="0" applyNumberFormat="1" applyFont="1" applyAlignment="1">
      <alignment horizontal="center"/>
    </xf>
    <xf numFmtId="0" fontId="14" fillId="0" borderId="17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42" fontId="4" fillId="0" borderId="19" xfId="0" applyNumberFormat="1" applyFont="1" applyBorder="1" applyAlignment="1">
      <alignment vertical="center"/>
    </xf>
    <xf numFmtId="10" fontId="4" fillId="0" borderId="19" xfId="0" applyNumberFormat="1" applyFont="1" applyBorder="1" applyAlignment="1">
      <alignment horizontal="center" vertical="center"/>
    </xf>
    <xf numFmtId="42" fontId="4" fillId="0" borderId="19" xfId="2" applyFont="1" applyFill="1" applyBorder="1" applyAlignment="1">
      <alignment vertical="center"/>
    </xf>
    <xf numFmtId="42" fontId="4" fillId="0" borderId="18" xfId="2" applyFont="1" applyFill="1" applyBorder="1" applyAlignment="1">
      <alignment vertical="center"/>
    </xf>
    <xf numFmtId="42" fontId="14" fillId="0" borderId="19" xfId="0" applyNumberFormat="1" applyFont="1" applyBorder="1" applyAlignment="1">
      <alignment vertical="center"/>
    </xf>
    <xf numFmtId="17" fontId="4" fillId="0" borderId="13" xfId="0" applyNumberFormat="1" applyFont="1" applyBorder="1" applyAlignment="1">
      <alignment horizontal="center" vertical="center"/>
    </xf>
    <xf numFmtId="10" fontId="4" fillId="0" borderId="13" xfId="3" applyNumberFormat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/>
    </xf>
    <xf numFmtId="42" fontId="4" fillId="0" borderId="13" xfId="2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44" fontId="4" fillId="0" borderId="13" xfId="7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43" fontId="4" fillId="0" borderId="0" xfId="4" applyFont="1" applyFill="1" applyAlignment="1">
      <alignment vertical="center"/>
    </xf>
    <xf numFmtId="0" fontId="5" fillId="4" borderId="13" xfId="0" applyFont="1" applyFill="1" applyBorder="1" applyAlignment="1">
      <alignment horizontal="center" vertical="center" wrapText="1"/>
    </xf>
    <xf numFmtId="17" fontId="2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7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1" fontId="2" fillId="0" borderId="13" xfId="1" applyFont="1" applyFill="1" applyBorder="1" applyAlignment="1">
      <alignment vertical="center" wrapText="1"/>
    </xf>
    <xf numFmtId="166" fontId="2" fillId="0" borderId="13" xfId="1" applyNumberFormat="1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166" fontId="9" fillId="0" borderId="13" xfId="1" applyNumberFormat="1" applyFont="1" applyFill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64" fontId="4" fillId="0" borderId="18" xfId="1" applyNumberFormat="1" applyFont="1" applyFill="1" applyBorder="1" applyAlignment="1">
      <alignment horizontal="right" vertical="center"/>
    </xf>
    <xf numFmtId="0" fontId="15" fillId="0" borderId="19" xfId="0" applyFont="1" applyBorder="1" applyAlignment="1">
      <alignment horizontal="center" vertical="center"/>
    </xf>
    <xf numFmtId="42" fontId="15" fillId="0" borderId="19" xfId="0" applyNumberFormat="1" applyFont="1" applyBorder="1" applyAlignment="1">
      <alignment vertical="center"/>
    </xf>
    <xf numFmtId="42" fontId="14" fillId="0" borderId="18" xfId="0" applyNumberFormat="1" applyFont="1" applyBorder="1" applyAlignment="1">
      <alignment vertical="center"/>
    </xf>
    <xf numFmtId="10" fontId="15" fillId="0" borderId="19" xfId="0" applyNumberFormat="1" applyFont="1" applyBorder="1" applyAlignment="1">
      <alignment horizontal="center" vertical="center"/>
    </xf>
    <xf numFmtId="42" fontId="15" fillId="0" borderId="19" xfId="2" applyFont="1" applyFill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42" fontId="14" fillId="0" borderId="18" xfId="2" applyFont="1" applyFill="1" applyBorder="1" applyAlignment="1">
      <alignment vertical="center"/>
    </xf>
    <xf numFmtId="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vertical="center"/>
    </xf>
    <xf numFmtId="43" fontId="2" fillId="0" borderId="13" xfId="4" applyFont="1" applyFill="1" applyBorder="1" applyAlignment="1">
      <alignment vertical="center"/>
    </xf>
    <xf numFmtId="0" fontId="7" fillId="9" borderId="20" xfId="0" applyFont="1" applyFill="1" applyBorder="1" applyAlignment="1">
      <alignment vertical="center"/>
    </xf>
    <xf numFmtId="0" fontId="24" fillId="9" borderId="21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2" fontId="4" fillId="0" borderId="23" xfId="2" applyFont="1" applyFill="1" applyBorder="1" applyAlignment="1">
      <alignment horizontal="center" vertical="center"/>
    </xf>
    <xf numFmtId="10" fontId="2" fillId="0" borderId="23" xfId="3" applyNumberFormat="1" applyFont="1" applyFill="1" applyBorder="1" applyAlignment="1">
      <alignment horizontal="center" vertical="center"/>
    </xf>
    <xf numFmtId="2" fontId="2" fillId="0" borderId="23" xfId="4" applyNumberFormat="1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vertical="center"/>
    </xf>
    <xf numFmtId="2" fontId="2" fillId="5" borderId="23" xfId="4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10" fontId="2" fillId="0" borderId="23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10" fontId="2" fillId="0" borderId="25" xfId="0" applyNumberFormat="1" applyFont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10" fontId="4" fillId="0" borderId="27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10" fontId="4" fillId="0" borderId="23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10" fontId="4" fillId="0" borderId="23" xfId="2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10" fontId="4" fillId="0" borderId="25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0" fontId="4" fillId="0" borderId="0" xfId="2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42" fontId="4" fillId="0" borderId="27" xfId="2" applyFont="1" applyFill="1" applyBorder="1" applyAlignment="1">
      <alignment horizontal="center" vertical="center"/>
    </xf>
    <xf numFmtId="167" fontId="4" fillId="0" borderId="25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" fontId="4" fillId="0" borderId="21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" fontId="4" fillId="0" borderId="23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4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1" fontId="9" fillId="6" borderId="36" xfId="0" applyNumberFormat="1" applyFont="1" applyFill="1" applyBorder="1" applyAlignment="1">
      <alignment horizontal="center" vertical="center" wrapText="1"/>
    </xf>
    <xf numFmtId="1" fontId="9" fillId="6" borderId="41" xfId="0" applyNumberFormat="1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170" fontId="4" fillId="0" borderId="13" xfId="7" applyNumberFormat="1" applyFont="1" applyBorder="1" applyAlignment="1">
      <alignment vertical="center"/>
    </xf>
    <xf numFmtId="9" fontId="4" fillId="0" borderId="13" xfId="3" applyFont="1" applyBorder="1" applyAlignment="1">
      <alignment horizontal="center"/>
    </xf>
    <xf numFmtId="170" fontId="4" fillId="0" borderId="13" xfId="0" applyNumberFormat="1" applyFont="1" applyBorder="1"/>
    <xf numFmtId="44" fontId="4" fillId="0" borderId="13" xfId="7" applyFont="1" applyBorder="1"/>
    <xf numFmtId="43" fontId="4" fillId="0" borderId="13" xfId="4" applyFont="1" applyBorder="1"/>
    <xf numFmtId="0" fontId="25" fillId="0" borderId="13" xfId="0" applyFont="1" applyBorder="1"/>
    <xf numFmtId="44" fontId="4" fillId="0" borderId="13" xfId="0" applyNumberFormat="1" applyFont="1" applyBorder="1"/>
    <xf numFmtId="0" fontId="4" fillId="0" borderId="13" xfId="0" applyFont="1" applyBorder="1"/>
    <xf numFmtId="171" fontId="2" fillId="0" borderId="13" xfId="7" applyNumberFormat="1" applyFont="1" applyBorder="1"/>
    <xf numFmtId="171" fontId="4" fillId="0" borderId="13" xfId="7" applyNumberFormat="1" applyFont="1" applyBorder="1"/>
    <xf numFmtId="170" fontId="4" fillId="0" borderId="13" xfId="7" applyNumberFormat="1" applyFont="1" applyFill="1" applyBorder="1" applyAlignment="1">
      <alignment vertical="center"/>
    </xf>
    <xf numFmtId="9" fontId="4" fillId="0" borderId="13" xfId="3" applyFont="1" applyFill="1" applyBorder="1" applyAlignment="1">
      <alignment horizontal="center"/>
    </xf>
    <xf numFmtId="44" fontId="4" fillId="0" borderId="13" xfId="7" applyFont="1" applyFill="1" applyBorder="1"/>
    <xf numFmtId="43" fontId="4" fillId="0" borderId="13" xfId="4" applyFont="1" applyFill="1" applyBorder="1"/>
    <xf numFmtId="171" fontId="2" fillId="0" borderId="13" xfId="7" applyNumberFormat="1" applyFont="1" applyFill="1" applyBorder="1"/>
    <xf numFmtId="171" fontId="4" fillId="0" borderId="13" xfId="7" applyNumberFormat="1" applyFont="1" applyFill="1" applyBorder="1"/>
    <xf numFmtId="44" fontId="25" fillId="0" borderId="13" xfId="0" applyNumberFormat="1" applyFont="1" applyBorder="1"/>
    <xf numFmtId="170" fontId="4" fillId="0" borderId="13" xfId="7" applyNumberFormat="1" applyFont="1" applyBorder="1" applyAlignment="1">
      <alignment horizontal="center" vertical="center"/>
    </xf>
    <xf numFmtId="42" fontId="4" fillId="0" borderId="13" xfId="0" applyNumberFormat="1" applyFont="1" applyBorder="1"/>
    <xf numFmtId="172" fontId="4" fillId="0" borderId="13" xfId="0" applyNumberFormat="1" applyFont="1" applyBorder="1"/>
    <xf numFmtId="171" fontId="4" fillId="0" borderId="0" xfId="7" applyNumberFormat="1" applyFont="1" applyBorder="1"/>
    <xf numFmtId="44" fontId="10" fillId="0" borderId="0" xfId="0" applyNumberFormat="1" applyFont="1"/>
    <xf numFmtId="9" fontId="10" fillId="0" borderId="0" xfId="3" applyFont="1" applyAlignment="1">
      <alignment horizontal="center"/>
    </xf>
    <xf numFmtId="43" fontId="10" fillId="0" borderId="0" xfId="4" applyFont="1"/>
    <xf numFmtId="44" fontId="4" fillId="0" borderId="0" xfId="0" applyNumberFormat="1" applyFont="1"/>
    <xf numFmtId="10" fontId="4" fillId="0" borderId="0" xfId="3" applyNumberFormat="1" applyFont="1"/>
    <xf numFmtId="43" fontId="2" fillId="0" borderId="13" xfId="4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17" fontId="4" fillId="10" borderId="0" xfId="0" applyNumberFormat="1" applyFont="1" applyFill="1" applyAlignment="1">
      <alignment horizontal="center"/>
    </xf>
    <xf numFmtId="169" fontId="2" fillId="0" borderId="13" xfId="0" applyNumberFormat="1" applyFont="1" applyBorder="1" applyAlignment="1">
      <alignment horizontal="right" vertical="center" wrapText="1"/>
    </xf>
    <xf numFmtId="169" fontId="2" fillId="0" borderId="13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9" fontId="2" fillId="0" borderId="13" xfId="0" applyNumberFormat="1" applyFont="1" applyBorder="1" applyAlignment="1">
      <alignment horizontal="right" vertical="center"/>
    </xf>
    <xf numFmtId="169" fontId="2" fillId="0" borderId="13" xfId="2" applyNumberFormat="1" applyFont="1" applyFill="1" applyBorder="1" applyAlignment="1">
      <alignment horizontal="right" vertical="center"/>
    </xf>
    <xf numFmtId="169" fontId="7" fillId="4" borderId="13" xfId="0" applyNumberFormat="1" applyFont="1" applyFill="1" applyBorder="1" applyAlignment="1">
      <alignment horizontal="right" vertical="center" wrapText="1"/>
    </xf>
    <xf numFmtId="169" fontId="2" fillId="4" borderId="13" xfId="1" applyNumberFormat="1" applyFont="1" applyFill="1" applyBorder="1" applyAlignment="1">
      <alignment horizontal="right" vertical="center"/>
    </xf>
    <xf numFmtId="169" fontId="8" fillId="4" borderId="13" xfId="1" applyNumberFormat="1" applyFont="1" applyFill="1" applyBorder="1" applyAlignment="1">
      <alignment horizontal="right" vertical="center"/>
    </xf>
    <xf numFmtId="41" fontId="2" fillId="0" borderId="0" xfId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9" fontId="2" fillId="0" borderId="13" xfId="1" applyNumberFormat="1" applyFont="1" applyFill="1" applyBorder="1" applyAlignment="1">
      <alignment horizontal="right" vertical="center" wrapText="1"/>
    </xf>
    <xf numFmtId="169" fontId="9" fillId="0" borderId="13" xfId="1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vertical="center" wrapText="1"/>
    </xf>
    <xf numFmtId="6" fontId="4" fillId="0" borderId="0" xfId="0" applyNumberFormat="1" applyFont="1" applyAlignment="1">
      <alignment horizontal="center" vertical="center"/>
    </xf>
    <xf numFmtId="43" fontId="4" fillId="0" borderId="13" xfId="0" applyNumberFormat="1" applyFont="1" applyBorder="1"/>
    <xf numFmtId="0" fontId="2" fillId="0" borderId="23" xfId="3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10" fontId="2" fillId="0" borderId="48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6" fillId="4" borderId="0" xfId="0" applyFont="1" applyFill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0" fontId="4" fillId="0" borderId="13" xfId="4" applyNumberFormat="1" applyFont="1" applyFill="1" applyBorder="1" applyAlignment="1">
      <alignment horizontal="center" vertical="center" wrapText="1"/>
    </xf>
    <xf numFmtId="0" fontId="2" fillId="0" borderId="13" xfId="4" applyNumberFormat="1" applyFont="1" applyFill="1" applyBorder="1" applyAlignment="1">
      <alignment horizontal="center" vertical="center"/>
    </xf>
    <xf numFmtId="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73" fontId="2" fillId="0" borderId="23" xfId="4" applyNumberFormat="1" applyFont="1" applyFill="1" applyBorder="1" applyAlignment="1">
      <alignment horizontal="center" vertical="center"/>
    </xf>
    <xf numFmtId="0" fontId="4" fillId="0" borderId="18" xfId="3" applyNumberFormat="1" applyFont="1" applyFill="1" applyBorder="1" applyAlignment="1">
      <alignment horizontal="right" vertical="center"/>
    </xf>
    <xf numFmtId="42" fontId="4" fillId="0" borderId="18" xfId="0" applyNumberFormat="1" applyFont="1" applyBorder="1" applyAlignment="1">
      <alignment vertical="center"/>
    </xf>
    <xf numFmtId="43" fontId="2" fillId="0" borderId="17" xfId="4" applyFont="1" applyFill="1" applyBorder="1" applyAlignment="1">
      <alignment vertical="center"/>
    </xf>
    <xf numFmtId="43" fontId="2" fillId="0" borderId="18" xfId="4" applyFont="1" applyFill="1" applyBorder="1" applyAlignment="1">
      <alignment vertical="center"/>
    </xf>
    <xf numFmtId="2" fontId="4" fillId="0" borderId="18" xfId="3" applyNumberFormat="1" applyFont="1" applyFill="1" applyBorder="1" applyAlignment="1">
      <alignment horizontal="right" vertical="center"/>
    </xf>
    <xf numFmtId="10" fontId="11" fillId="0" borderId="13" xfId="0" applyNumberFormat="1" applyFont="1" applyBorder="1" applyAlignment="1">
      <alignment horizontal="center" vertical="center" wrapText="1"/>
    </xf>
    <xf numFmtId="174" fontId="4" fillId="0" borderId="13" xfId="0" applyNumberFormat="1" applyFont="1" applyBorder="1" applyAlignment="1">
      <alignment vertical="center"/>
    </xf>
    <xf numFmtId="174" fontId="4" fillId="0" borderId="13" xfId="2" applyNumberFormat="1" applyFont="1" applyFill="1" applyBorder="1" applyAlignment="1">
      <alignment vertical="center"/>
    </xf>
    <xf numFmtId="0" fontId="4" fillId="0" borderId="13" xfId="4" applyNumberFormat="1" applyFont="1" applyBorder="1" applyAlignment="1">
      <alignment horizontal="center" vertical="center"/>
    </xf>
    <xf numFmtId="164" fontId="4" fillId="0" borderId="49" xfId="1" applyNumberFormat="1" applyFont="1" applyFill="1" applyBorder="1" applyAlignment="1">
      <alignment horizontal="right" vertical="center"/>
    </xf>
    <xf numFmtId="0" fontId="15" fillId="0" borderId="19" xfId="0" applyFont="1" applyBorder="1" applyAlignment="1">
      <alignment horizontal="left" vertical="center"/>
    </xf>
    <xf numFmtId="42" fontId="15" fillId="0" borderId="19" xfId="0" applyNumberFormat="1" applyFont="1" applyBorder="1" applyAlignment="1">
      <alignment horizontal="left" vertical="center"/>
    </xf>
    <xf numFmtId="42" fontId="14" fillId="0" borderId="18" xfId="0" applyNumberFormat="1" applyFont="1" applyBorder="1" applyAlignment="1">
      <alignment horizontal="left" vertical="center"/>
    </xf>
    <xf numFmtId="174" fontId="4" fillId="0" borderId="17" xfId="2" applyNumberFormat="1" applyFont="1" applyFill="1" applyBorder="1" applyAlignment="1">
      <alignment vertical="center"/>
    </xf>
    <xf numFmtId="8" fontId="30" fillId="0" borderId="0" xfId="0" applyNumberFormat="1" applyFont="1" applyAlignment="1">
      <alignment horizontal="right" vertical="center"/>
    </xf>
    <xf numFmtId="6" fontId="30" fillId="0" borderId="0" xfId="0" applyNumberFormat="1" applyFont="1" applyAlignment="1">
      <alignment horizontal="right" vertical="center"/>
    </xf>
    <xf numFmtId="174" fontId="4" fillId="0" borderId="13" xfId="7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vertical="center"/>
    </xf>
    <xf numFmtId="41" fontId="10" fillId="12" borderId="13" xfId="1" applyFont="1" applyFill="1" applyBorder="1" applyAlignment="1">
      <alignment horizontal="center" vertical="center"/>
    </xf>
    <xf numFmtId="42" fontId="10" fillId="12" borderId="13" xfId="0" applyNumberFormat="1" applyFont="1" applyFill="1" applyBorder="1" applyAlignment="1">
      <alignment vertical="center"/>
    </xf>
    <xf numFmtId="10" fontId="10" fillId="12" borderId="13" xfId="3" applyNumberFormat="1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74" fontId="14" fillId="0" borderId="18" xfId="0" applyNumberFormat="1" applyFont="1" applyBorder="1" applyAlignment="1">
      <alignment vertical="center"/>
    </xf>
    <xf numFmtId="174" fontId="2" fillId="0" borderId="13" xfId="4" applyNumberFormat="1" applyFont="1" applyFill="1" applyBorder="1" applyAlignment="1">
      <alignment vertical="center"/>
    </xf>
    <xf numFmtId="0" fontId="4" fillId="0" borderId="13" xfId="4" applyNumberFormat="1" applyFont="1" applyBorder="1" applyAlignment="1">
      <alignment horizontal="center" vertical="center" wrapText="1"/>
    </xf>
    <xf numFmtId="174" fontId="14" fillId="0" borderId="19" xfId="0" applyNumberFormat="1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42" fontId="4" fillId="0" borderId="13" xfId="2" applyFont="1" applyBorder="1" applyAlignment="1">
      <alignment vertical="center"/>
    </xf>
    <xf numFmtId="42" fontId="10" fillId="0" borderId="13" xfId="2" applyFont="1" applyBorder="1" applyAlignment="1">
      <alignment vertical="center"/>
    </xf>
    <xf numFmtId="9" fontId="4" fillId="0" borderId="13" xfId="3" applyFont="1" applyBorder="1" applyAlignment="1">
      <alignment horizontal="center" vertical="center"/>
    </xf>
    <xf numFmtId="9" fontId="10" fillId="0" borderId="13" xfId="3" applyFont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/>
    <xf numFmtId="17" fontId="4" fillId="13" borderId="0" xfId="0" applyNumberFormat="1" applyFont="1" applyFill="1" applyAlignment="1">
      <alignment horizontal="center"/>
    </xf>
    <xf numFmtId="0" fontId="9" fillId="13" borderId="13" xfId="0" applyFont="1" applyFill="1" applyBorder="1" applyAlignment="1">
      <alignment horizontal="center" vertical="center" wrapText="1"/>
    </xf>
    <xf numFmtId="165" fontId="9" fillId="13" borderId="13" xfId="4" applyNumberFormat="1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vertical="center"/>
    </xf>
    <xf numFmtId="169" fontId="9" fillId="13" borderId="13" xfId="1" applyNumberFormat="1" applyFont="1" applyFill="1" applyBorder="1" applyAlignment="1">
      <alignment horizontal="right" vertical="center"/>
    </xf>
    <xf numFmtId="169" fontId="9" fillId="13" borderId="13" xfId="0" applyNumberFormat="1" applyFont="1" applyFill="1" applyBorder="1" applyAlignment="1">
      <alignment horizontal="right" vertical="center"/>
    </xf>
    <xf numFmtId="0" fontId="9" fillId="14" borderId="13" xfId="0" applyFont="1" applyFill="1" applyBorder="1" applyAlignment="1">
      <alignment vertical="center" wrapText="1"/>
    </xf>
    <xf numFmtId="169" fontId="9" fillId="14" borderId="13" xfId="1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left" vertical="center"/>
    </xf>
    <xf numFmtId="0" fontId="4" fillId="13" borderId="13" xfId="0" applyFont="1" applyFill="1" applyBorder="1" applyAlignment="1">
      <alignment horizontal="center" vertical="center" wrapText="1"/>
    </xf>
    <xf numFmtId="0" fontId="4" fillId="13" borderId="13" xfId="4" applyNumberFormat="1" applyFont="1" applyFill="1" applyBorder="1" applyAlignment="1">
      <alignment horizontal="center" vertical="center" wrapText="1"/>
    </xf>
    <xf numFmtId="43" fontId="2" fillId="13" borderId="13" xfId="4" applyFont="1" applyFill="1" applyBorder="1" applyAlignment="1">
      <alignment horizontal="center" vertical="center" wrapText="1"/>
    </xf>
    <xf numFmtId="43" fontId="2" fillId="13" borderId="13" xfId="4" applyFont="1" applyFill="1" applyBorder="1" applyAlignment="1">
      <alignment vertical="center"/>
    </xf>
    <xf numFmtId="43" fontId="2" fillId="13" borderId="18" xfId="4" applyFont="1" applyFill="1" applyBorder="1" applyAlignment="1">
      <alignment vertical="center"/>
    </xf>
    <xf numFmtId="174" fontId="2" fillId="13" borderId="13" xfId="4" applyNumberFormat="1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13" xfId="4" applyNumberFormat="1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2" fillId="13" borderId="13" xfId="0" applyNumberFormat="1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1" fontId="9" fillId="0" borderId="29" xfId="0" applyNumberFormat="1" applyFont="1" applyBorder="1" applyAlignment="1">
      <alignment horizontal="center" vertical="center" wrapText="1"/>
    </xf>
    <xf numFmtId="1" fontId="9" fillId="0" borderId="34" xfId="0" applyNumberFormat="1" applyFont="1" applyBorder="1" applyAlignment="1">
      <alignment horizontal="center" vertical="center" wrapText="1"/>
    </xf>
    <xf numFmtId="1" fontId="9" fillId="0" borderId="40" xfId="0" applyNumberFormat="1" applyFont="1" applyBorder="1" applyAlignment="1">
      <alignment horizontal="center" vertical="center" wrapText="1"/>
    </xf>
    <xf numFmtId="44" fontId="20" fillId="2" borderId="0" xfId="7" applyFont="1" applyFill="1" applyBorder="1" applyAlignment="1">
      <alignment horizontal="center" vertical="center" wrapText="1"/>
    </xf>
    <xf numFmtId="1" fontId="5" fillId="8" borderId="20" xfId="0" applyNumberFormat="1" applyFont="1" applyFill="1" applyBorder="1" applyAlignment="1">
      <alignment horizontal="center" vertical="center"/>
    </xf>
    <xf numFmtId="1" fontId="5" fillId="8" borderId="30" xfId="0" applyNumberFormat="1" applyFont="1" applyFill="1" applyBorder="1" applyAlignment="1">
      <alignment horizontal="center" vertical="center"/>
    </xf>
    <xf numFmtId="1" fontId="5" fillId="8" borderId="21" xfId="0" applyNumberFormat="1" applyFont="1" applyFill="1" applyBorder="1" applyAlignment="1">
      <alignment horizontal="center" vertical="center"/>
    </xf>
    <xf numFmtId="1" fontId="5" fillId="8" borderId="24" xfId="0" applyNumberFormat="1" applyFont="1" applyFill="1" applyBorder="1" applyAlignment="1">
      <alignment horizontal="center" vertical="center"/>
    </xf>
    <xf numFmtId="1" fontId="5" fillId="8" borderId="35" xfId="0" applyNumberFormat="1" applyFont="1" applyFill="1" applyBorder="1" applyAlignment="1">
      <alignment horizontal="center" vertical="center"/>
    </xf>
    <xf numFmtId="1" fontId="5" fillId="8" borderId="25" xfId="0" applyNumberFormat="1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 vertical="center"/>
    </xf>
    <xf numFmtId="0" fontId="17" fillId="7" borderId="32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44" fontId="4" fillId="0" borderId="14" xfId="0" applyNumberFormat="1" applyFont="1" applyBorder="1" applyAlignment="1">
      <alignment horizontal="center" vertical="center"/>
    </xf>
    <xf numFmtId="44" fontId="4" fillId="0" borderId="16" xfId="0" applyNumberFormat="1" applyFont="1" applyBorder="1" applyAlignment="1">
      <alignment horizontal="center" vertical="center"/>
    </xf>
    <xf numFmtId="44" fontId="4" fillId="0" borderId="15" xfId="0" applyNumberFormat="1" applyFont="1" applyBorder="1" applyAlignment="1">
      <alignment horizontal="center" vertical="center"/>
    </xf>
    <xf numFmtId="44" fontId="4" fillId="0" borderId="14" xfId="7" applyFont="1" applyBorder="1" applyAlignment="1">
      <alignment horizontal="center" vertical="center"/>
    </xf>
    <xf numFmtId="44" fontId="4" fillId="0" borderId="15" xfId="7" applyFont="1" applyBorder="1" applyAlignment="1">
      <alignment horizontal="center" vertical="center"/>
    </xf>
    <xf numFmtId="44" fontId="4" fillId="0" borderId="16" xfId="7" applyFont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174" fontId="10" fillId="0" borderId="18" xfId="2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13" xfId="0" applyNumberFormat="1" applyFont="1" applyBorder="1" applyAlignment="1">
      <alignment horizontal="center" vertical="center"/>
    </xf>
    <xf numFmtId="174" fontId="10" fillId="0" borderId="13" xfId="2" applyNumberFormat="1" applyFont="1" applyFill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43" fontId="10" fillId="15" borderId="13" xfId="4" applyFont="1" applyFill="1" applyBorder="1" applyAlignment="1">
      <alignment vertical="center"/>
    </xf>
    <xf numFmtId="164" fontId="2" fillId="0" borderId="13" xfId="1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7" fillId="4" borderId="18" xfId="0" applyFont="1" applyFill="1" applyBorder="1" applyAlignment="1">
      <alignment horizontal="center" vertical="center" wrapText="1"/>
    </xf>
    <xf numFmtId="10" fontId="11" fillId="0" borderId="18" xfId="0" applyNumberFormat="1" applyFont="1" applyBorder="1" applyAlignment="1">
      <alignment horizontal="center" vertical="center" wrapText="1"/>
    </xf>
  </cellXfs>
  <cellStyles count="12">
    <cellStyle name="Millares" xfId="4" builtinId="3"/>
    <cellStyle name="Millares [0]" xfId="1" builtinId="6"/>
    <cellStyle name="Millares 2" xfId="11" xr:uid="{00000000-0005-0000-0000-000002000000}"/>
    <cellStyle name="Millares 2 2 2 2 2" xfId="10" xr:uid="{00000000-0005-0000-0000-000003000000}"/>
    <cellStyle name="Moneda" xfId="7" builtinId="4"/>
    <cellStyle name="Moneda [0]" xfId="2" builtinId="7"/>
    <cellStyle name="Moneda 2" xfId="6" xr:uid="{00000000-0005-0000-0000-000006000000}"/>
    <cellStyle name="Moneda 239" xfId="9" xr:uid="{00000000-0005-0000-0000-000007000000}"/>
    <cellStyle name="Normal" xfId="0" builtinId="0"/>
    <cellStyle name="Normal 2 2" xfId="5" xr:uid="{00000000-0005-0000-0000-000009000000}"/>
    <cellStyle name="Normal 5" xfId="8" xr:uid="{00000000-0005-0000-0000-00000A000000}"/>
    <cellStyle name="Porcentaje" xfId="3" builtinId="5"/>
  </cellStyles>
  <dxfs count="0"/>
  <tableStyles count="0" defaultTableStyle="TableStyleMedium2" defaultPivotStyle="PivotStyleLight16"/>
  <colors>
    <mruColors>
      <color rgb="FFAD23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arrugo\Desktop\CONCILIACIONES%20FIDUCIARIAS\Tib&#250;\Conciliaci&#243;n%20fiducia%20balance%20Tib&#2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Datos Tibú"/>
      <sheetName val="Conciliación"/>
      <sheetName val="Hoja2"/>
      <sheetName val="Hoja1"/>
      <sheetName val="Hoja3"/>
      <sheetName val="ETR"/>
    </sheetNames>
    <sheetDataSet>
      <sheetData sheetId="0"/>
      <sheetData sheetId="1"/>
      <sheetData sheetId="2">
        <row r="435">
          <cell r="Q435">
            <v>595000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45"/>
  <sheetViews>
    <sheetView showGridLines="0" tabSelected="1" zoomScale="80" zoomScaleNormal="80" zoomScaleSheetLayoutView="80" workbookViewId="0">
      <selection activeCell="B43" sqref="B43"/>
    </sheetView>
  </sheetViews>
  <sheetFormatPr baseColWidth="10" defaultRowHeight="14.25" x14ac:dyDescent="0.25"/>
  <cols>
    <col min="1" max="1" width="55.42578125" style="3" customWidth="1"/>
    <col min="2" max="2" width="23.5703125" style="3" customWidth="1"/>
    <col min="3" max="3" width="20.140625" style="3" customWidth="1"/>
    <col min="4" max="4" width="12.85546875" style="3" customWidth="1"/>
    <col min="5" max="5" width="14" style="3" customWidth="1"/>
    <col min="6" max="16384" width="11.42578125" style="3"/>
  </cols>
  <sheetData>
    <row r="1" spans="1:3" ht="22.5" x14ac:dyDescent="0.25">
      <c r="A1" s="265" t="s">
        <v>149</v>
      </c>
      <c r="B1" s="265"/>
      <c r="C1" s="134"/>
    </row>
    <row r="2" spans="1:3" ht="15" thickBot="1" x14ac:dyDescent="0.3"/>
    <row r="3" spans="1:3" ht="15" customHeight="1" x14ac:dyDescent="0.25">
      <c r="A3" s="100" t="s">
        <v>150</v>
      </c>
      <c r="B3" s="101"/>
    </row>
    <row r="4" spans="1:3" ht="15" customHeight="1" x14ac:dyDescent="0.25">
      <c r="A4" s="102" t="s">
        <v>151</v>
      </c>
      <c r="B4" s="131" t="s">
        <v>198</v>
      </c>
    </row>
    <row r="5" spans="1:3" ht="15" customHeight="1" x14ac:dyDescent="0.25">
      <c r="A5" s="102" t="s">
        <v>152</v>
      </c>
      <c r="B5" s="131" t="s">
        <v>199</v>
      </c>
    </row>
    <row r="6" spans="1:3" ht="15" customHeight="1" thickBot="1" x14ac:dyDescent="0.3">
      <c r="A6" s="103" t="s">
        <v>153</v>
      </c>
      <c r="B6" s="133" t="s">
        <v>162</v>
      </c>
    </row>
    <row r="7" spans="1:3" ht="15" customHeight="1" thickBot="1" x14ac:dyDescent="0.3"/>
    <row r="8" spans="1:3" ht="15" customHeight="1" x14ac:dyDescent="0.25">
      <c r="A8" s="104" t="s">
        <v>154</v>
      </c>
      <c r="B8" s="130">
        <v>39142</v>
      </c>
    </row>
    <row r="9" spans="1:3" ht="15" customHeight="1" x14ac:dyDescent="0.25">
      <c r="A9" s="102" t="s">
        <v>155</v>
      </c>
      <c r="B9" s="131">
        <v>20</v>
      </c>
    </row>
    <row r="10" spans="1:3" ht="15" customHeight="1" x14ac:dyDescent="0.25">
      <c r="A10" s="102" t="s">
        <v>156</v>
      </c>
      <c r="B10" s="132">
        <v>46447</v>
      </c>
    </row>
    <row r="11" spans="1:3" ht="15" customHeight="1" x14ac:dyDescent="0.25">
      <c r="A11" s="102" t="s">
        <v>157</v>
      </c>
      <c r="B11" s="131">
        <v>15</v>
      </c>
    </row>
    <row r="12" spans="1:3" ht="15" customHeight="1" thickBot="1" x14ac:dyDescent="0.3">
      <c r="A12" s="103" t="s">
        <v>175</v>
      </c>
      <c r="B12" s="133">
        <v>10</v>
      </c>
    </row>
    <row r="13" spans="1:3" ht="15" customHeight="1" thickBot="1" x14ac:dyDescent="0.3">
      <c r="A13" s="40"/>
      <c r="B13" s="40"/>
    </row>
    <row r="14" spans="1:3" ht="15" customHeight="1" x14ac:dyDescent="0.25">
      <c r="A14" s="100" t="s">
        <v>177</v>
      </c>
      <c r="B14" s="101"/>
    </row>
    <row r="15" spans="1:3" ht="15" customHeight="1" x14ac:dyDescent="0.25">
      <c r="A15" s="102" t="s">
        <v>66</v>
      </c>
      <c r="B15" s="105">
        <f>+CINV!E46</f>
        <v>1134500418.6039999</v>
      </c>
    </row>
    <row r="16" spans="1:3" ht="15" customHeight="1" x14ac:dyDescent="0.25">
      <c r="A16" s="102" t="s">
        <v>176</v>
      </c>
      <c r="B16" s="106">
        <v>0.12089999999999999</v>
      </c>
    </row>
    <row r="17" spans="1:2" ht="15" customHeight="1" x14ac:dyDescent="0.25">
      <c r="A17" s="102" t="s">
        <v>178</v>
      </c>
      <c r="B17" s="188">
        <v>4.1000000000000002E-2</v>
      </c>
    </row>
    <row r="18" spans="1:2" ht="15" customHeight="1" x14ac:dyDescent="0.25">
      <c r="A18" s="102" t="s">
        <v>179</v>
      </c>
      <c r="B18" s="205">
        <v>9.7000000000000003E-2</v>
      </c>
    </row>
    <row r="19" spans="1:2" ht="15" customHeight="1" x14ac:dyDescent="0.25">
      <c r="A19" s="102" t="s">
        <v>180</v>
      </c>
      <c r="B19" s="107">
        <v>0.04</v>
      </c>
    </row>
    <row r="20" spans="1:2" ht="15" customHeight="1" x14ac:dyDescent="0.25">
      <c r="A20" s="102" t="s">
        <v>181</v>
      </c>
      <c r="B20" s="205">
        <v>0.01</v>
      </c>
    </row>
    <row r="21" spans="1:2" ht="15" customHeight="1" x14ac:dyDescent="0.25">
      <c r="A21" s="102" t="s">
        <v>32</v>
      </c>
      <c r="B21" s="107">
        <v>0.98</v>
      </c>
    </row>
    <row r="22" spans="1:2" ht="15" customHeight="1" x14ac:dyDescent="0.25">
      <c r="A22" s="102"/>
      <c r="B22" s="107"/>
    </row>
    <row r="23" spans="1:2" ht="15" customHeight="1" x14ac:dyDescent="0.25">
      <c r="A23" s="108" t="s">
        <v>158</v>
      </c>
      <c r="B23" s="109"/>
    </row>
    <row r="24" spans="1:2" ht="15" customHeight="1" x14ac:dyDescent="0.25">
      <c r="A24" s="110" t="s">
        <v>2</v>
      </c>
      <c r="B24" s="111">
        <v>0.08</v>
      </c>
    </row>
    <row r="25" spans="1:2" ht="15" customHeight="1" x14ac:dyDescent="0.25">
      <c r="A25" s="110" t="s">
        <v>3</v>
      </c>
      <c r="B25" s="111">
        <v>0.08</v>
      </c>
    </row>
    <row r="26" spans="1:2" ht="15" customHeight="1" x14ac:dyDescent="0.25">
      <c r="A26" s="110" t="s">
        <v>4</v>
      </c>
      <c r="B26" s="111">
        <v>0.01</v>
      </c>
    </row>
    <row r="27" spans="1:2" ht="15" customHeight="1" x14ac:dyDescent="0.25">
      <c r="A27" s="110" t="s">
        <v>5</v>
      </c>
      <c r="B27" s="111">
        <v>0.02</v>
      </c>
    </row>
    <row r="28" spans="1:2" ht="15" customHeight="1" x14ac:dyDescent="0.25">
      <c r="A28" s="189" t="s">
        <v>182</v>
      </c>
      <c r="B28" s="190">
        <v>0.04</v>
      </c>
    </row>
    <row r="29" spans="1:2" ht="15" customHeight="1" thickBot="1" x14ac:dyDescent="0.3">
      <c r="A29" s="112" t="s">
        <v>6</v>
      </c>
      <c r="B29" s="113">
        <v>0.03</v>
      </c>
    </row>
    <row r="30" spans="1:2" ht="15" customHeight="1" thickBot="1" x14ac:dyDescent="0.3">
      <c r="B30" s="114"/>
    </row>
    <row r="31" spans="1:2" ht="15" customHeight="1" x14ac:dyDescent="0.25">
      <c r="A31" s="100" t="s">
        <v>159</v>
      </c>
      <c r="B31" s="101"/>
    </row>
    <row r="32" spans="1:2" ht="15" customHeight="1" x14ac:dyDescent="0.25">
      <c r="A32" s="125" t="s">
        <v>126</v>
      </c>
      <c r="B32" s="126">
        <v>730</v>
      </c>
    </row>
    <row r="33" spans="1:2" ht="15" customHeight="1" x14ac:dyDescent="0.25">
      <c r="A33" s="115" t="s">
        <v>124</v>
      </c>
      <c r="B33" s="116">
        <v>0.06</v>
      </c>
    </row>
    <row r="34" spans="1:2" ht="15" customHeight="1" x14ac:dyDescent="0.25">
      <c r="A34" s="117" t="s">
        <v>125</v>
      </c>
      <c r="B34" s="118">
        <v>0.05</v>
      </c>
    </row>
    <row r="35" spans="1:2" ht="15" customHeight="1" x14ac:dyDescent="0.25">
      <c r="A35" s="119" t="s">
        <v>76</v>
      </c>
      <c r="B35" s="118">
        <v>5.0000000000000001E-3</v>
      </c>
    </row>
    <row r="36" spans="1:2" ht="15" customHeight="1" x14ac:dyDescent="0.25">
      <c r="A36" s="117" t="s">
        <v>200</v>
      </c>
      <c r="B36" s="105">
        <f>1000000/2</f>
        <v>500000</v>
      </c>
    </row>
    <row r="37" spans="1:2" ht="15" customHeight="1" x14ac:dyDescent="0.25">
      <c r="A37" s="117" t="s">
        <v>77</v>
      </c>
      <c r="B37" s="120">
        <v>0.03</v>
      </c>
    </row>
    <row r="38" spans="1:2" ht="15" customHeight="1" thickBot="1" x14ac:dyDescent="0.3">
      <c r="A38" s="121" t="s">
        <v>75</v>
      </c>
      <c r="B38" s="122">
        <v>0.19</v>
      </c>
    </row>
    <row r="39" spans="1:2" ht="15" customHeight="1" thickBot="1" x14ac:dyDescent="0.3">
      <c r="A39" s="123"/>
      <c r="B39" s="124"/>
    </row>
    <row r="40" spans="1:2" ht="15" customHeight="1" x14ac:dyDescent="0.25">
      <c r="A40" s="100" t="s">
        <v>160</v>
      </c>
      <c r="B40" s="101"/>
    </row>
    <row r="41" spans="1:2" ht="15" customHeight="1" x14ac:dyDescent="0.25">
      <c r="A41" s="102" t="s">
        <v>58</v>
      </c>
      <c r="B41" s="118">
        <v>0.04</v>
      </c>
    </row>
    <row r="42" spans="1:2" ht="15" customHeight="1" x14ac:dyDescent="0.25">
      <c r="A42" s="117" t="s">
        <v>127</v>
      </c>
      <c r="B42" s="118">
        <v>0.05</v>
      </c>
    </row>
    <row r="43" spans="1:2" ht="15" customHeight="1" x14ac:dyDescent="0.25">
      <c r="A43" s="102" t="s">
        <v>145</v>
      </c>
      <c r="B43" s="118">
        <v>0.03</v>
      </c>
    </row>
    <row r="44" spans="1:2" ht="15" customHeight="1" x14ac:dyDescent="0.25">
      <c r="A44" s="117" t="s">
        <v>62</v>
      </c>
      <c r="B44" s="118">
        <v>2E-3</v>
      </c>
    </row>
    <row r="45" spans="1:2" ht="15" customHeight="1" thickBot="1" x14ac:dyDescent="0.3">
      <c r="A45" s="121" t="s">
        <v>64</v>
      </c>
      <c r="B45" s="127">
        <v>1.5E-3</v>
      </c>
    </row>
  </sheetData>
  <mergeCells count="1">
    <mergeCell ref="A1:B1"/>
  </mergeCells>
  <pageMargins left="0.7" right="0.7" top="0.75" bottom="0.75" header="0.3" footer="0.3"/>
  <pageSetup scale="8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6259-9F33-4C37-ACB0-F02CAC266806}">
  <sheetPr filterMode="1">
    <tabColor rgb="FFFF0000"/>
  </sheetPr>
  <dimension ref="A1:J59"/>
  <sheetViews>
    <sheetView showGridLines="0" view="pageBreakPreview" zoomScale="80" zoomScaleNormal="80" zoomScaleSheetLayoutView="80" workbookViewId="0">
      <selection activeCell="E62" sqref="E62"/>
    </sheetView>
  </sheetViews>
  <sheetFormatPr baseColWidth="10" defaultRowHeight="14.25" x14ac:dyDescent="0.25"/>
  <cols>
    <col min="1" max="1" width="26.28515625" style="3" customWidth="1"/>
    <col min="2" max="2" width="48.42578125" style="3" bestFit="1" customWidth="1"/>
    <col min="3" max="3" width="17.7109375" style="3" customWidth="1"/>
    <col min="4" max="4" width="20.5703125" style="3" customWidth="1"/>
    <col min="5" max="5" width="28.7109375" style="3" customWidth="1"/>
    <col min="6" max="6" width="13" style="3" hidden="1" customWidth="1"/>
    <col min="7" max="7" width="0" style="3" hidden="1" customWidth="1"/>
    <col min="8" max="8" width="24.5703125" style="3" hidden="1" customWidth="1"/>
    <col min="9" max="9" width="32" style="3" hidden="1" customWidth="1"/>
    <col min="10" max="10" width="15.28515625" style="3" hidden="1" customWidth="1"/>
    <col min="11" max="16384" width="11.42578125" style="3"/>
  </cols>
  <sheetData>
    <row r="1" spans="1:10" ht="51.75" customHeight="1" x14ac:dyDescent="0.25">
      <c r="A1" s="281" t="s">
        <v>189</v>
      </c>
      <c r="B1" s="281"/>
      <c r="C1" s="281"/>
      <c r="D1" s="281"/>
      <c r="E1" s="281"/>
      <c r="F1" s="317"/>
      <c r="G1" s="317"/>
      <c r="H1" s="317"/>
    </row>
    <row r="2" spans="1:10" ht="20.25" customHeight="1" x14ac:dyDescent="0.25"/>
    <row r="3" spans="1:10" s="15" customFormat="1" ht="51.75" customHeight="1" x14ac:dyDescent="0.25">
      <c r="A3" s="193" t="s">
        <v>16</v>
      </c>
      <c r="B3" s="204" t="s">
        <v>1</v>
      </c>
      <c r="C3" s="204" t="s">
        <v>22</v>
      </c>
      <c r="D3" s="193" t="s">
        <v>17</v>
      </c>
      <c r="E3" s="193" t="s">
        <v>18</v>
      </c>
      <c r="F3" s="193" t="s">
        <v>19</v>
      </c>
      <c r="G3" s="193" t="s">
        <v>20</v>
      </c>
      <c r="H3" s="193" t="s">
        <v>24</v>
      </c>
      <c r="I3" s="193" t="s">
        <v>260</v>
      </c>
      <c r="J3" s="193" t="s">
        <v>259</v>
      </c>
    </row>
    <row r="4" spans="1:10" hidden="1" x14ac:dyDescent="0.25">
      <c r="A4" s="43" t="str">
        <f>+UCAP!B5</f>
        <v>Luminaria</v>
      </c>
      <c r="B4" s="43" t="str">
        <f>+UCAP!C5</f>
        <v>Luminaria con bombillo  Fluorescente 45 W</v>
      </c>
      <c r="C4" s="129">
        <v>0</v>
      </c>
      <c r="D4" s="55">
        <f>+UCAP!O5</f>
        <v>497213</v>
      </c>
      <c r="E4" s="55">
        <f>+C4*D4</f>
        <v>0</v>
      </c>
      <c r="F4" s="314">
        <f>+'DATOS ENTRADA'!$B$16</f>
        <v>0.12089999999999999</v>
      </c>
      <c r="G4" s="44">
        <v>15</v>
      </c>
      <c r="H4" s="213">
        <f>+E4*(F4/(1-(1+F4)^(-G4)))</f>
        <v>0</v>
      </c>
      <c r="I4" s="43"/>
      <c r="J4" s="43"/>
    </row>
    <row r="5" spans="1:10" hidden="1" x14ac:dyDescent="0.25">
      <c r="A5" s="43" t="str">
        <f>+UCAP!B6</f>
        <v>Luminaria</v>
      </c>
      <c r="B5" s="43" t="str">
        <f>+UCAP!C6</f>
        <v>Luminaria con bombillo  Fluorescente 80 W</v>
      </c>
      <c r="C5" s="129">
        <v>0</v>
      </c>
      <c r="D5" s="55">
        <f>+UCAP!O6</f>
        <v>523575</v>
      </c>
      <c r="E5" s="55">
        <f t="shared" ref="E5:E43" si="0">+C5*D5</f>
        <v>0</v>
      </c>
      <c r="F5" s="314">
        <f>+'DATOS ENTRADA'!$B$16</f>
        <v>0.12089999999999999</v>
      </c>
      <c r="G5" s="44">
        <v>15</v>
      </c>
      <c r="H5" s="213">
        <f t="shared" ref="H5:H43" si="1">+E5*(F5/(1-(1+F5)^(-G5)))</f>
        <v>0</v>
      </c>
      <c r="I5" s="43"/>
      <c r="J5" s="43"/>
    </row>
    <row r="6" spans="1:10" hidden="1" x14ac:dyDescent="0.25">
      <c r="A6" s="43" t="str">
        <f>+UCAP!B7</f>
        <v>Luminaria</v>
      </c>
      <c r="B6" s="43" t="str">
        <f>+UCAP!C7</f>
        <v>Luminaria con bombillo  Incandescente 100 W</v>
      </c>
      <c r="C6" s="129">
        <v>0</v>
      </c>
      <c r="D6" s="55">
        <f>+UCAP!O7</f>
        <v>565298</v>
      </c>
      <c r="E6" s="55">
        <f t="shared" si="0"/>
        <v>0</v>
      </c>
      <c r="F6" s="314">
        <f>+'DATOS ENTRADA'!$B$16</f>
        <v>0.12089999999999999</v>
      </c>
      <c r="G6" s="44">
        <v>15</v>
      </c>
      <c r="H6" s="213">
        <f t="shared" si="1"/>
        <v>0</v>
      </c>
      <c r="I6" s="43"/>
      <c r="J6" s="43"/>
    </row>
    <row r="7" spans="1:10" hidden="1" x14ac:dyDescent="0.25">
      <c r="A7" s="43" t="str">
        <f>+UCAP!B8</f>
        <v>Luminaria</v>
      </c>
      <c r="B7" s="43" t="str">
        <f>+UCAP!C8</f>
        <v>Farol con bombillo Sodio 70 W</v>
      </c>
      <c r="C7" s="129">
        <v>0</v>
      </c>
      <c r="D7" s="55">
        <f>+UCAP!O8</f>
        <v>1102312</v>
      </c>
      <c r="E7" s="55">
        <f t="shared" si="0"/>
        <v>0</v>
      </c>
      <c r="F7" s="314">
        <f>+'DATOS ENTRADA'!$B$16</f>
        <v>0.12089999999999999</v>
      </c>
      <c r="G7" s="44">
        <v>15</v>
      </c>
      <c r="H7" s="213">
        <f t="shared" si="1"/>
        <v>0</v>
      </c>
      <c r="I7" s="43"/>
      <c r="J7" s="43"/>
    </row>
    <row r="8" spans="1:10" hidden="1" x14ac:dyDescent="0.25">
      <c r="A8" s="43" t="str">
        <f>+UCAP!B9</f>
        <v>Luminaria</v>
      </c>
      <c r="B8" s="43" t="str">
        <f>+UCAP!C9</f>
        <v>Luminaria con bombillo Sodio 70 W</v>
      </c>
      <c r="C8" s="129">
        <v>0</v>
      </c>
      <c r="D8" s="55">
        <f>+UCAP!O9</f>
        <v>788649</v>
      </c>
      <c r="E8" s="55">
        <f t="shared" si="0"/>
        <v>0</v>
      </c>
      <c r="F8" s="314">
        <f>+'DATOS ENTRADA'!$B$16</f>
        <v>0.12089999999999999</v>
      </c>
      <c r="G8" s="44">
        <v>15</v>
      </c>
      <c r="H8" s="213">
        <f t="shared" si="1"/>
        <v>0</v>
      </c>
      <c r="I8" s="43"/>
      <c r="J8" s="43"/>
    </row>
    <row r="9" spans="1:10" hidden="1" x14ac:dyDescent="0.25">
      <c r="A9" s="43" t="str">
        <f>+UCAP!B10</f>
        <v>Luminaria</v>
      </c>
      <c r="B9" s="43" t="str">
        <f>+UCAP!C10</f>
        <v>Luminaria con bombillo Sodio 150 W</v>
      </c>
      <c r="C9" s="129">
        <v>0</v>
      </c>
      <c r="D9" s="55">
        <f>+UCAP!O10</f>
        <v>828918</v>
      </c>
      <c r="E9" s="55">
        <f t="shared" si="0"/>
        <v>0</v>
      </c>
      <c r="F9" s="314">
        <f>+'DATOS ENTRADA'!$B$16</f>
        <v>0.12089999999999999</v>
      </c>
      <c r="G9" s="44">
        <v>15</v>
      </c>
      <c r="H9" s="213">
        <f t="shared" si="1"/>
        <v>0</v>
      </c>
      <c r="I9" s="43"/>
      <c r="J9" s="43"/>
    </row>
    <row r="10" spans="1:10" hidden="1" x14ac:dyDescent="0.25">
      <c r="A10" s="43" t="str">
        <f>+UCAP!B11</f>
        <v>Luminaria</v>
      </c>
      <c r="B10" s="43" t="str">
        <f>+UCAP!C11</f>
        <v>Luminaria con bombillo Sodio 250 W</v>
      </c>
      <c r="C10" s="129">
        <v>0</v>
      </c>
      <c r="D10" s="55">
        <f>+UCAP!O11</f>
        <v>920251</v>
      </c>
      <c r="E10" s="55">
        <f t="shared" si="0"/>
        <v>0</v>
      </c>
      <c r="F10" s="314">
        <f>+'DATOS ENTRADA'!$B$16</f>
        <v>0.12089999999999999</v>
      </c>
      <c r="G10" s="44">
        <v>15</v>
      </c>
      <c r="H10" s="213">
        <f t="shared" si="1"/>
        <v>0</v>
      </c>
      <c r="I10" s="43"/>
      <c r="J10" s="43"/>
    </row>
    <row r="11" spans="1:10" hidden="1" x14ac:dyDescent="0.25">
      <c r="A11" s="43" t="str">
        <f>+UCAP!B12</f>
        <v>Luminaria</v>
      </c>
      <c r="B11" s="43" t="str">
        <f>+UCAP!C12</f>
        <v>Reflector con bombillo Sodio 150 W</v>
      </c>
      <c r="C11" s="129">
        <v>0</v>
      </c>
      <c r="D11" s="55">
        <f>+UCAP!O12</f>
        <v>992082</v>
      </c>
      <c r="E11" s="55">
        <f t="shared" si="0"/>
        <v>0</v>
      </c>
      <c r="F11" s="314">
        <f>+'DATOS ENTRADA'!$B$16</f>
        <v>0.12089999999999999</v>
      </c>
      <c r="G11" s="44">
        <v>15</v>
      </c>
      <c r="H11" s="213">
        <f t="shared" si="1"/>
        <v>0</v>
      </c>
      <c r="I11" s="43"/>
      <c r="J11" s="43"/>
    </row>
    <row r="12" spans="1:10" hidden="1" x14ac:dyDescent="0.25">
      <c r="A12" s="43" t="str">
        <f>+UCAP!B13</f>
        <v>Luminaria</v>
      </c>
      <c r="B12" s="43" t="str">
        <f>+UCAP!C13</f>
        <v>Reflector con bombillo Sodio 250 W</v>
      </c>
      <c r="C12" s="129">
        <v>0</v>
      </c>
      <c r="D12" s="55">
        <f>+UCAP!O13</f>
        <v>1083416</v>
      </c>
      <c r="E12" s="55">
        <f t="shared" si="0"/>
        <v>0</v>
      </c>
      <c r="F12" s="314">
        <f>+'DATOS ENTRADA'!$B$16</f>
        <v>0.12089999999999999</v>
      </c>
      <c r="G12" s="44">
        <v>15</v>
      </c>
      <c r="H12" s="213">
        <f t="shared" si="1"/>
        <v>0</v>
      </c>
      <c r="I12" s="43"/>
      <c r="J12" s="43"/>
    </row>
    <row r="13" spans="1:10" hidden="1" x14ac:dyDescent="0.25">
      <c r="A13" s="43" t="str">
        <f>+UCAP!B14</f>
        <v>Luminaria</v>
      </c>
      <c r="B13" s="43" t="str">
        <f>+UCAP!C14</f>
        <v>Luminaria con bombillo Metal Halide 250 W</v>
      </c>
      <c r="C13" s="129">
        <v>0</v>
      </c>
      <c r="D13" s="55">
        <f>+UCAP!O14</f>
        <v>620836</v>
      </c>
      <c r="E13" s="55">
        <f t="shared" si="0"/>
        <v>0</v>
      </c>
      <c r="F13" s="314">
        <f>+'DATOS ENTRADA'!$B$16</f>
        <v>0.12089999999999999</v>
      </c>
      <c r="G13" s="44">
        <v>15</v>
      </c>
      <c r="H13" s="213">
        <f t="shared" si="1"/>
        <v>0</v>
      </c>
      <c r="I13" s="43"/>
      <c r="J13" s="43"/>
    </row>
    <row r="14" spans="1:10" hidden="1" x14ac:dyDescent="0.25">
      <c r="A14" s="43" t="str">
        <f>+UCAP!B15</f>
        <v>Luminaria</v>
      </c>
      <c r="B14" s="43" t="str">
        <f>+UCAP!C15</f>
        <v>Luminaria con bombillo Metal Halide 400 W</v>
      </c>
      <c r="C14" s="129">
        <v>0</v>
      </c>
      <c r="D14" s="55">
        <f>+UCAP!O15</f>
        <v>673693</v>
      </c>
      <c r="E14" s="55">
        <f t="shared" si="0"/>
        <v>0</v>
      </c>
      <c r="F14" s="314">
        <f>+'DATOS ENTRADA'!$B$16</f>
        <v>0.12089999999999999</v>
      </c>
      <c r="G14" s="44">
        <v>15</v>
      </c>
      <c r="H14" s="213">
        <f t="shared" si="1"/>
        <v>0</v>
      </c>
      <c r="I14" s="43"/>
      <c r="J14" s="43"/>
    </row>
    <row r="15" spans="1:10" hidden="1" x14ac:dyDescent="0.25">
      <c r="A15" s="43" t="str">
        <f>+UCAP!B16</f>
        <v>Luminaria</v>
      </c>
      <c r="B15" s="43" t="str">
        <f>+UCAP!C16</f>
        <v>Reflector con bombillo Metal Halide 250 W</v>
      </c>
      <c r="C15" s="129">
        <v>0</v>
      </c>
      <c r="D15" s="55">
        <f>+UCAP!O16</f>
        <v>1233392</v>
      </c>
      <c r="E15" s="55">
        <f t="shared" si="0"/>
        <v>0</v>
      </c>
      <c r="F15" s="314">
        <f>+'DATOS ENTRADA'!$B$16</f>
        <v>0.12089999999999999</v>
      </c>
      <c r="G15" s="44">
        <v>15</v>
      </c>
      <c r="H15" s="213">
        <f t="shared" si="1"/>
        <v>0</v>
      </c>
      <c r="I15" s="43"/>
      <c r="J15" s="43"/>
    </row>
    <row r="16" spans="1:10" hidden="1" x14ac:dyDescent="0.25">
      <c r="A16" s="43" t="str">
        <f>+UCAP!B17</f>
        <v>Luminaria</v>
      </c>
      <c r="B16" s="43" t="str">
        <f>+UCAP!C17</f>
        <v>Reflector con bombillo Metal Halide 400 W</v>
      </c>
      <c r="C16" s="129">
        <v>0</v>
      </c>
      <c r="D16" s="55">
        <f>+UCAP!O17</f>
        <v>1268887</v>
      </c>
      <c r="E16" s="55">
        <f t="shared" si="0"/>
        <v>0</v>
      </c>
      <c r="F16" s="314">
        <f>+'DATOS ENTRADA'!$B$16</f>
        <v>0.12089999999999999</v>
      </c>
      <c r="G16" s="44">
        <v>15</v>
      </c>
      <c r="H16" s="213">
        <f t="shared" si="1"/>
        <v>0</v>
      </c>
      <c r="I16" s="43"/>
      <c r="J16" s="43"/>
    </row>
    <row r="17" spans="1:10" hidden="1" x14ac:dyDescent="0.25">
      <c r="A17" s="43" t="str">
        <f>+UCAP!B18</f>
        <v>Luminaria</v>
      </c>
      <c r="B17" s="43" t="str">
        <f>+UCAP!C18</f>
        <v>Luminaria con bombillo Mercurio 100 W</v>
      </c>
      <c r="C17" s="129">
        <v>0</v>
      </c>
      <c r="D17" s="55">
        <f>+UCAP!O18</f>
        <v>691918</v>
      </c>
      <c r="E17" s="55">
        <f t="shared" si="0"/>
        <v>0</v>
      </c>
      <c r="F17" s="314">
        <f>+'DATOS ENTRADA'!$B$16</f>
        <v>0.12089999999999999</v>
      </c>
      <c r="G17" s="44">
        <v>15</v>
      </c>
      <c r="H17" s="213">
        <f t="shared" si="1"/>
        <v>0</v>
      </c>
      <c r="I17" s="43"/>
      <c r="J17" s="43"/>
    </row>
    <row r="18" spans="1:10" hidden="1" x14ac:dyDescent="0.25">
      <c r="A18" s="43" t="str">
        <f>+UCAP!B19</f>
        <v>Luminaria</v>
      </c>
      <c r="B18" s="43" t="str">
        <f>+UCAP!C19</f>
        <v>Luminaria Led 50 W</v>
      </c>
      <c r="C18" s="129">
        <v>0</v>
      </c>
      <c r="D18" s="55">
        <f>+UCAP!O19</f>
        <v>1155157</v>
      </c>
      <c r="E18" s="55">
        <f t="shared" si="0"/>
        <v>0</v>
      </c>
      <c r="F18" s="314">
        <f>+'DATOS ENTRADA'!$B$16</f>
        <v>0.12089999999999999</v>
      </c>
      <c r="G18" s="44">
        <v>15</v>
      </c>
      <c r="H18" s="213">
        <f t="shared" si="1"/>
        <v>0</v>
      </c>
      <c r="I18" s="43"/>
      <c r="J18" s="43"/>
    </row>
    <row r="19" spans="1:10" hidden="1" x14ac:dyDescent="0.25">
      <c r="A19" s="43" t="str">
        <f>+UCAP!B20</f>
        <v>Luminaria</v>
      </c>
      <c r="B19" s="43" t="str">
        <f>+UCAP!C20</f>
        <v>Reflector Led 50 W</v>
      </c>
      <c r="C19" s="129">
        <v>0</v>
      </c>
      <c r="D19" s="55">
        <f>+UCAP!O20</f>
        <v>1494152</v>
      </c>
      <c r="E19" s="55">
        <f t="shared" si="0"/>
        <v>0</v>
      </c>
      <c r="F19" s="314">
        <f>+'DATOS ENTRADA'!$B$16</f>
        <v>0.12089999999999999</v>
      </c>
      <c r="G19" s="44">
        <v>15</v>
      </c>
      <c r="H19" s="213">
        <f t="shared" si="1"/>
        <v>0</v>
      </c>
      <c r="I19" s="43"/>
      <c r="J19" s="43"/>
    </row>
    <row r="20" spans="1:10" hidden="1" x14ac:dyDescent="0.25">
      <c r="A20" s="43" t="str">
        <f>+UCAP!B21</f>
        <v>Luminaria</v>
      </c>
      <c r="B20" s="43" t="str">
        <f>+UCAP!C21</f>
        <v>Reflector Led 150 W</v>
      </c>
      <c r="C20" s="129">
        <v>0</v>
      </c>
      <c r="D20" s="55">
        <f>+UCAP!O21</f>
        <v>1736960</v>
      </c>
      <c r="E20" s="55">
        <f t="shared" si="0"/>
        <v>0</v>
      </c>
      <c r="F20" s="314">
        <f>+'DATOS ENTRADA'!$B$16</f>
        <v>0.12089999999999999</v>
      </c>
      <c r="G20" s="44">
        <v>15</v>
      </c>
      <c r="H20" s="213">
        <f t="shared" si="1"/>
        <v>0</v>
      </c>
      <c r="I20" s="43"/>
      <c r="J20" s="43"/>
    </row>
    <row r="21" spans="1:10" hidden="1" x14ac:dyDescent="0.25">
      <c r="A21" s="43" t="str">
        <f>+UCAP!B22</f>
        <v>Luminaria</v>
      </c>
      <c r="B21" s="43" t="str">
        <f>+UCAP!C22</f>
        <v>Luminaria Led 37 W Nueva</v>
      </c>
      <c r="C21" s="129">
        <v>0</v>
      </c>
      <c r="D21" s="55">
        <f>+UCAP!O22</f>
        <v>1139696</v>
      </c>
      <c r="E21" s="55">
        <f t="shared" si="0"/>
        <v>0</v>
      </c>
      <c r="F21" s="314">
        <f>+'DATOS ENTRADA'!$B$16</f>
        <v>0.12089999999999999</v>
      </c>
      <c r="G21" s="44">
        <v>15</v>
      </c>
      <c r="H21" s="213">
        <f t="shared" si="1"/>
        <v>0</v>
      </c>
      <c r="I21" s="43"/>
      <c r="J21" s="43"/>
    </row>
    <row r="22" spans="1:10" hidden="1" x14ac:dyDescent="0.25">
      <c r="A22" s="43" t="str">
        <f>+UCAP!B23</f>
        <v>Luminaria</v>
      </c>
      <c r="B22" s="43" t="str">
        <f>+UCAP!C23</f>
        <v>Luminaria Led 60 W Nueva</v>
      </c>
      <c r="C22" s="129">
        <v>0</v>
      </c>
      <c r="D22" s="55">
        <f>+UCAP!O23</f>
        <v>1163976</v>
      </c>
      <c r="E22" s="55">
        <f t="shared" si="0"/>
        <v>0</v>
      </c>
      <c r="F22" s="314">
        <f>+'DATOS ENTRADA'!$B$16</f>
        <v>0.12089999999999999</v>
      </c>
      <c r="G22" s="44">
        <v>15</v>
      </c>
      <c r="H22" s="213">
        <f t="shared" si="1"/>
        <v>0</v>
      </c>
      <c r="I22" s="43"/>
      <c r="J22" s="43"/>
    </row>
    <row r="23" spans="1:10" hidden="1" x14ac:dyDescent="0.25">
      <c r="A23" s="43" t="str">
        <f>+UCAP!B24</f>
        <v>Luminaria</v>
      </c>
      <c r="B23" s="43" t="str">
        <f>+UCAP!C24</f>
        <v>Luminaria Led 92 W Nueva</v>
      </c>
      <c r="C23" s="129">
        <v>0</v>
      </c>
      <c r="D23" s="55">
        <f>+UCAP!O24</f>
        <v>1197021</v>
      </c>
      <c r="E23" s="55">
        <f t="shared" si="0"/>
        <v>0</v>
      </c>
      <c r="F23" s="314">
        <f>+'DATOS ENTRADA'!$B$16</f>
        <v>0.12089999999999999</v>
      </c>
      <c r="G23" s="44">
        <v>15</v>
      </c>
      <c r="H23" s="213">
        <f t="shared" si="1"/>
        <v>0</v>
      </c>
      <c r="I23" s="43"/>
      <c r="J23" s="43"/>
    </row>
    <row r="24" spans="1:10" hidden="1" x14ac:dyDescent="0.25">
      <c r="A24" s="43" t="str">
        <f>+UCAP!B25</f>
        <v>Luminaria</v>
      </c>
      <c r="B24" s="43" t="str">
        <f>+UCAP!C25</f>
        <v>Reflector Led 100 W Nuevo</v>
      </c>
      <c r="C24" s="129">
        <v>0</v>
      </c>
      <c r="D24" s="55">
        <f>+UCAP!O25</f>
        <v>1615556</v>
      </c>
      <c r="E24" s="55">
        <f t="shared" si="0"/>
        <v>0</v>
      </c>
      <c r="F24" s="314">
        <f>+'DATOS ENTRADA'!$B$16</f>
        <v>0.12089999999999999</v>
      </c>
      <c r="G24" s="44">
        <v>15</v>
      </c>
      <c r="H24" s="213">
        <f t="shared" si="1"/>
        <v>0</v>
      </c>
      <c r="I24" s="43"/>
      <c r="J24" s="43"/>
    </row>
    <row r="25" spans="1:10" hidden="1" x14ac:dyDescent="0.25">
      <c r="A25" s="43" t="str">
        <f>+UCAP!B26</f>
        <v>Luminaria</v>
      </c>
      <c r="B25" s="43" t="str">
        <f>+UCAP!C26</f>
        <v>Reflector Led 200 W Nuevo</v>
      </c>
      <c r="C25" s="129">
        <v>0</v>
      </c>
      <c r="D25" s="55">
        <f>+UCAP!O26</f>
        <v>1858363</v>
      </c>
      <c r="E25" s="55">
        <f t="shared" si="0"/>
        <v>0</v>
      </c>
      <c r="F25" s="314">
        <f>+'DATOS ENTRADA'!$B$16</f>
        <v>0.12089999999999999</v>
      </c>
      <c r="G25" s="44">
        <v>15</v>
      </c>
      <c r="H25" s="213">
        <f t="shared" si="1"/>
        <v>0</v>
      </c>
      <c r="I25" s="43"/>
      <c r="J25" s="43"/>
    </row>
    <row r="26" spans="1:10" hidden="1" x14ac:dyDescent="0.25">
      <c r="A26" s="43" t="str">
        <f>+UCAP!B27</f>
        <v>Luminaria</v>
      </c>
      <c r="B26" s="43" t="str">
        <f>+UCAP!C27</f>
        <v>Reflector Led 400 W Nuevo</v>
      </c>
      <c r="C26" s="129">
        <v>0</v>
      </c>
      <c r="D26" s="55">
        <f>+UCAP!O27</f>
        <v>2926718</v>
      </c>
      <c r="E26" s="55">
        <f t="shared" si="0"/>
        <v>0</v>
      </c>
      <c r="F26" s="314">
        <f>+'DATOS ENTRADA'!$B$16</f>
        <v>0.12089999999999999</v>
      </c>
      <c r="G26" s="44">
        <v>15</v>
      </c>
      <c r="H26" s="213">
        <f t="shared" si="1"/>
        <v>0</v>
      </c>
      <c r="I26" s="43"/>
      <c r="J26" s="43"/>
    </row>
    <row r="27" spans="1:10" x14ac:dyDescent="0.25">
      <c r="A27" s="43" t="str">
        <f>+UCAP!B28</f>
        <v>Transformador</v>
      </c>
      <c r="B27" s="43" t="str">
        <f>+UCAP!C28</f>
        <v>Transformador monofasico 15KVA</v>
      </c>
      <c r="C27" s="233">
        <f>+UCAP!E28</f>
        <v>1</v>
      </c>
      <c r="D27" s="55">
        <f>+UCAP!O28</f>
        <v>8762254</v>
      </c>
      <c r="E27" s="55">
        <f t="shared" si="0"/>
        <v>8762254</v>
      </c>
      <c r="F27" s="314">
        <f>+'DATOS ENTRADA'!$B$16</f>
        <v>0.12089999999999999</v>
      </c>
      <c r="G27" s="44">
        <v>25</v>
      </c>
      <c r="H27" s="213">
        <f>+E27*(F27/(1-(1+F27)^(-G27)))</f>
        <v>1124169.1836783029</v>
      </c>
      <c r="I27" s="316">
        <f>+CINV!K27</f>
        <v>1124169.1836783029</v>
      </c>
      <c r="J27" s="316">
        <f>+H27-I27</f>
        <v>0</v>
      </c>
    </row>
    <row r="28" spans="1:10" x14ac:dyDescent="0.25">
      <c r="A28" s="43" t="str">
        <f>+UCAP!B29</f>
        <v>Poste</v>
      </c>
      <c r="B28" s="43" t="str">
        <f>+UCAP!C29</f>
        <v>Poste metalico para luminaria 4 metros</v>
      </c>
      <c r="C28" s="233">
        <f>+UCAP!E29</f>
        <v>18</v>
      </c>
      <c r="D28" s="55">
        <f>+UCAP!O29</f>
        <v>893253</v>
      </c>
      <c r="E28" s="55">
        <f t="shared" si="0"/>
        <v>16078554</v>
      </c>
      <c r="F28" s="314">
        <f>+'DATOS ENTRADA'!$B$16</f>
        <v>0.12089999999999999</v>
      </c>
      <c r="G28" s="44">
        <v>35</v>
      </c>
      <c r="H28" s="213">
        <f t="shared" si="1"/>
        <v>1980364.5724687336</v>
      </c>
      <c r="I28" s="316">
        <f>+CINV!K28</f>
        <v>1980364.5724687336</v>
      </c>
      <c r="J28" s="316">
        <f t="shared" ref="J28:J43" si="2">+H28-I28</f>
        <v>0</v>
      </c>
    </row>
    <row r="29" spans="1:10" x14ac:dyDescent="0.25">
      <c r="A29" s="43" t="str">
        <f>+UCAP!B30</f>
        <v>Poste</v>
      </c>
      <c r="B29" s="43" t="str">
        <f>+UCAP!C30</f>
        <v>Poste metalico para farol 3 metros</v>
      </c>
      <c r="C29" s="233">
        <f>+UCAP!E30</f>
        <v>18</v>
      </c>
      <c r="D29" s="55">
        <f>+UCAP!O30</f>
        <v>879939</v>
      </c>
      <c r="E29" s="55">
        <f t="shared" si="0"/>
        <v>15838902</v>
      </c>
      <c r="F29" s="314">
        <f>+'DATOS ENTRADA'!$B$16</f>
        <v>0.12089999999999999</v>
      </c>
      <c r="G29" s="44">
        <v>35</v>
      </c>
      <c r="H29" s="213">
        <f t="shared" si="1"/>
        <v>1950847.0965488669</v>
      </c>
      <c r="I29" s="316">
        <f>+CINV!K29</f>
        <v>0</v>
      </c>
      <c r="J29" s="316">
        <f t="shared" si="2"/>
        <v>1950847.0965488669</v>
      </c>
    </row>
    <row r="30" spans="1:10" x14ac:dyDescent="0.25">
      <c r="A30" s="43" t="str">
        <f>+UCAP!B31</f>
        <v>Poste</v>
      </c>
      <c r="B30" s="43" t="str">
        <f>+UCAP!C31</f>
        <v>Poste de concreto 8 metros</v>
      </c>
      <c r="C30" s="233">
        <f>+UCAP!E31</f>
        <v>20</v>
      </c>
      <c r="D30" s="55">
        <f>+UCAP!O31</f>
        <v>934951</v>
      </c>
      <c r="E30" s="55">
        <f t="shared" si="0"/>
        <v>18699020</v>
      </c>
      <c r="F30" s="314">
        <f>+'DATOS ENTRADA'!$B$16</f>
        <v>0.12089999999999999</v>
      </c>
      <c r="G30" s="44">
        <v>35</v>
      </c>
      <c r="H30" s="213">
        <f t="shared" si="1"/>
        <v>2303122.3297744496</v>
      </c>
      <c r="I30" s="316">
        <f>+CINV!K30</f>
        <v>2303122.3297744496</v>
      </c>
      <c r="J30" s="316">
        <f t="shared" si="2"/>
        <v>0</v>
      </c>
    </row>
    <row r="31" spans="1:10" x14ac:dyDescent="0.25">
      <c r="A31" s="43" t="str">
        <f>+UCAP!B32</f>
        <v>Poste</v>
      </c>
      <c r="B31" s="43" t="str">
        <f>+UCAP!C32</f>
        <v>Poste de concreto 10 metros</v>
      </c>
      <c r="C31" s="233">
        <f>+UCAP!E32</f>
        <v>10</v>
      </c>
      <c r="D31" s="55">
        <f>+UCAP!O32</f>
        <v>1243802</v>
      </c>
      <c r="E31" s="55">
        <f t="shared" si="0"/>
        <v>12438020</v>
      </c>
      <c r="F31" s="314">
        <f>+'DATOS ENTRADA'!$B$16</f>
        <v>0.12089999999999999</v>
      </c>
      <c r="G31" s="44">
        <v>35</v>
      </c>
      <c r="H31" s="213">
        <f t="shared" si="1"/>
        <v>1531967.0014889124</v>
      </c>
      <c r="I31" s="316">
        <f>+CINV!K31</f>
        <v>919180.20089334738</v>
      </c>
      <c r="J31" s="316">
        <f t="shared" si="2"/>
        <v>612786.800595565</v>
      </c>
    </row>
    <row r="32" spans="1:10" x14ac:dyDescent="0.25">
      <c r="A32" s="43" t="str">
        <f>+UCAP!B33</f>
        <v>Poste</v>
      </c>
      <c r="B32" s="43" t="str">
        <f>+UCAP!C33</f>
        <v>Poste de concreto 12 metros</v>
      </c>
      <c r="C32" s="233">
        <f>+UCAP!E33</f>
        <v>4</v>
      </c>
      <c r="D32" s="55">
        <f>+UCAP!O33</f>
        <v>1816825</v>
      </c>
      <c r="E32" s="55">
        <f t="shared" si="0"/>
        <v>7267300</v>
      </c>
      <c r="F32" s="314">
        <f>+'DATOS ENTRADA'!$B$16</f>
        <v>0.12089999999999999</v>
      </c>
      <c r="G32" s="44">
        <v>35</v>
      </c>
      <c r="H32" s="213">
        <f t="shared" si="1"/>
        <v>895099.36387948983</v>
      </c>
      <c r="I32" s="316">
        <f>+CINV!K32</f>
        <v>0</v>
      </c>
      <c r="J32" s="316">
        <f t="shared" si="2"/>
        <v>895099.36387948983</v>
      </c>
    </row>
    <row r="33" spans="1:10" x14ac:dyDescent="0.25">
      <c r="A33" s="43" t="str">
        <f>+UCAP!B34</f>
        <v>Poste</v>
      </c>
      <c r="B33" s="43" t="str">
        <f>+UCAP!C34</f>
        <v>Poste de concreto 16 metros</v>
      </c>
      <c r="C33" s="233">
        <f>+UCAP!E34</f>
        <v>5</v>
      </c>
      <c r="D33" s="55">
        <f>+UCAP!O34</f>
        <v>3064585</v>
      </c>
      <c r="E33" s="55">
        <f t="shared" si="0"/>
        <v>15322925</v>
      </c>
      <c r="F33" s="314">
        <f>+'DATOS ENTRADA'!$B$16</f>
        <v>0.12089999999999999</v>
      </c>
      <c r="G33" s="44">
        <v>35</v>
      </c>
      <c r="H33" s="213">
        <f t="shared" si="1"/>
        <v>1887295.2018319229</v>
      </c>
      <c r="I33" s="316">
        <f>+CINV!K33</f>
        <v>1887295.2018319229</v>
      </c>
      <c r="J33" s="316">
        <f t="shared" si="2"/>
        <v>0</v>
      </c>
    </row>
    <row r="34" spans="1:10" x14ac:dyDescent="0.25">
      <c r="A34" s="43" t="str">
        <f>+UCAP!B35</f>
        <v>Cajas de Inspección y Canalizaciones</v>
      </c>
      <c r="B34" s="43" t="str">
        <f>+UCAP!C35</f>
        <v>Canalizacion con un ducto 1/2" PVC x 500MTS</v>
      </c>
      <c r="C34" s="233">
        <f>+UCAP!E35</f>
        <v>0.30599999999999999</v>
      </c>
      <c r="D34" s="55">
        <f>+UCAP!O35</f>
        <v>6577158</v>
      </c>
      <c r="E34" s="55">
        <f t="shared" si="0"/>
        <v>2012610.348</v>
      </c>
      <c r="F34" s="314">
        <f>+'DATOS ENTRADA'!$B$16</f>
        <v>0.12089999999999999</v>
      </c>
      <c r="G34" s="44">
        <v>35</v>
      </c>
      <c r="H34" s="213">
        <f t="shared" si="1"/>
        <v>247889.3457311627</v>
      </c>
      <c r="I34" s="316">
        <f>+CINV!K34</f>
        <v>0</v>
      </c>
      <c r="J34" s="316">
        <f t="shared" si="2"/>
        <v>247889.3457311627</v>
      </c>
    </row>
    <row r="35" spans="1:10" x14ac:dyDescent="0.25">
      <c r="A35" s="43" t="str">
        <f>+UCAP!B36</f>
        <v>Cajas de Inspección y Canalizaciones</v>
      </c>
      <c r="B35" s="43" t="str">
        <f>+UCAP!C36</f>
        <v>Canalizacion con un ducto  1 1/2" PVC x 500MTS</v>
      </c>
      <c r="C35" s="233">
        <f>+UCAP!E36</f>
        <v>0.08</v>
      </c>
      <c r="D35" s="55">
        <f>+UCAP!O36</f>
        <v>14291823</v>
      </c>
      <c r="E35" s="55">
        <f t="shared" si="0"/>
        <v>1143345.8400000001</v>
      </c>
      <c r="F35" s="314">
        <f>+'DATOS ENTRADA'!$B$16</f>
        <v>0.12089999999999999</v>
      </c>
      <c r="G35" s="44">
        <v>35</v>
      </c>
      <c r="H35" s="213">
        <f t="shared" si="1"/>
        <v>140823.70812795139</v>
      </c>
      <c r="I35" s="316">
        <f>+CINV!K35</f>
        <v>140823.70812795139</v>
      </c>
      <c r="J35" s="316">
        <f t="shared" si="2"/>
        <v>0</v>
      </c>
    </row>
    <row r="36" spans="1:10" x14ac:dyDescent="0.25">
      <c r="A36" s="43" t="str">
        <f>+UCAP!B37</f>
        <v>Cajas de Inspección y Canalizaciones</v>
      </c>
      <c r="B36" s="43" t="str">
        <f>+UCAP!C37</f>
        <v>Caja para redes subterraneas tipo alumbrado público</v>
      </c>
      <c r="C36" s="233">
        <f>+UCAP!E37</f>
        <v>38</v>
      </c>
      <c r="D36" s="55">
        <f>+UCAP!O37</f>
        <v>358194</v>
      </c>
      <c r="E36" s="55">
        <f t="shared" si="0"/>
        <v>13611372</v>
      </c>
      <c r="F36" s="314">
        <f>+'DATOS ENTRADA'!$B$16</f>
        <v>0.12089999999999999</v>
      </c>
      <c r="G36" s="44">
        <v>35</v>
      </c>
      <c r="H36" s="213">
        <f t="shared" si="1"/>
        <v>1676486.5106335366</v>
      </c>
      <c r="I36" s="316">
        <f>+CINV!K36</f>
        <v>882361.32138607185</v>
      </c>
      <c r="J36" s="316">
        <f t="shared" si="2"/>
        <v>794125.18924746476</v>
      </c>
    </row>
    <row r="37" spans="1:10" x14ac:dyDescent="0.25">
      <c r="A37" s="43" t="str">
        <f>+UCAP!B38</f>
        <v>Redes</v>
      </c>
      <c r="B37" s="43" t="str">
        <f>+UCAP!C38</f>
        <v>Red aerea en cable 2x4+4 AWG x 500MTS</v>
      </c>
      <c r="C37" s="233">
        <f>+UCAP!E38</f>
        <v>1.5640000000000001</v>
      </c>
      <c r="D37" s="55">
        <f>+UCAP!O38</f>
        <v>7907278</v>
      </c>
      <c r="E37" s="55">
        <f t="shared" si="0"/>
        <v>12366982.792000001</v>
      </c>
      <c r="F37" s="314">
        <f>+'DATOS ENTRADA'!$B$16</f>
        <v>0.12089999999999999</v>
      </c>
      <c r="G37" s="44">
        <v>35</v>
      </c>
      <c r="H37" s="213">
        <f t="shared" si="1"/>
        <v>1523217.4852046564</v>
      </c>
      <c r="I37" s="316">
        <f>+CINV!K37</f>
        <v>1342067.579675202</v>
      </c>
      <c r="J37" s="316">
        <f t="shared" si="2"/>
        <v>181149.90552945435</v>
      </c>
    </row>
    <row r="38" spans="1:10" x14ac:dyDescent="0.25">
      <c r="A38" s="43" t="str">
        <f>+UCAP!B39</f>
        <v>Redes</v>
      </c>
      <c r="B38" s="43" t="str">
        <f>+UCAP!C39</f>
        <v>Red aerea en cable 2x2+2 AWG x 500MTS</v>
      </c>
      <c r="C38" s="233">
        <f>+UCAP!E39</f>
        <v>0.78</v>
      </c>
      <c r="D38" s="55">
        <f>+UCAP!O39</f>
        <v>9372820</v>
      </c>
      <c r="E38" s="55">
        <f t="shared" si="0"/>
        <v>7310799.6000000006</v>
      </c>
      <c r="F38" s="314">
        <f>+'DATOS ENTRADA'!$B$16</f>
        <v>0.12089999999999999</v>
      </c>
      <c r="G38" s="44">
        <v>35</v>
      </c>
      <c r="H38" s="213">
        <f t="shared" si="1"/>
        <v>900457.12594917358</v>
      </c>
      <c r="I38" s="316">
        <f>+CINV!K38</f>
        <v>900457.12594917358</v>
      </c>
      <c r="J38" s="316">
        <f t="shared" si="2"/>
        <v>0</v>
      </c>
    </row>
    <row r="39" spans="1:10" x14ac:dyDescent="0.25">
      <c r="A39" s="43" t="str">
        <f>+UCAP!B40</f>
        <v>Redes</v>
      </c>
      <c r="B39" s="43" t="str">
        <f>+UCAP!C40</f>
        <v>Red aerea en ASCR No 4x2 AWG x 500MTS</v>
      </c>
      <c r="C39" s="233">
        <f>+UCAP!E40</f>
        <v>0.22600000000000001</v>
      </c>
      <c r="D39" s="55">
        <f>+UCAP!O40</f>
        <v>12709411</v>
      </c>
      <c r="E39" s="55">
        <f>+C39*D39</f>
        <v>2872326.8859999999</v>
      </c>
      <c r="F39" s="314">
        <f>+'DATOS ENTRADA'!$B$16</f>
        <v>0.12089999999999999</v>
      </c>
      <c r="G39" s="44">
        <v>35</v>
      </c>
      <c r="H39" s="213">
        <f t="shared" si="1"/>
        <v>353778.9782329828</v>
      </c>
      <c r="I39" s="316">
        <f>+CINV!K39</f>
        <v>0</v>
      </c>
      <c r="J39" s="316">
        <f t="shared" si="2"/>
        <v>353778.9782329828</v>
      </c>
    </row>
    <row r="40" spans="1:10" x14ac:dyDescent="0.25">
      <c r="A40" s="43" t="str">
        <f>+UCAP!B41</f>
        <v>Redes</v>
      </c>
      <c r="B40" s="43" t="str">
        <f>+UCAP!C41</f>
        <v>Red subterranea en cable No 12 AWG Cu x 500MTS</v>
      </c>
      <c r="C40" s="233">
        <f>+UCAP!E41</f>
        <v>0.91800000000000004</v>
      </c>
      <c r="D40" s="55">
        <f>+UCAP!O41</f>
        <v>4077855</v>
      </c>
      <c r="E40" s="55">
        <f t="shared" si="0"/>
        <v>3743470.89</v>
      </c>
      <c r="F40" s="314">
        <f>+'DATOS ENTRADA'!$B$16</f>
        <v>0.12089999999999999</v>
      </c>
      <c r="G40" s="44">
        <v>35</v>
      </c>
      <c r="H40" s="213">
        <f t="shared" si="1"/>
        <v>461076.10974369961</v>
      </c>
      <c r="I40" s="316">
        <f>+CINV!K40</f>
        <v>0</v>
      </c>
      <c r="J40" s="316">
        <f t="shared" si="2"/>
        <v>461076.10974369961</v>
      </c>
    </row>
    <row r="41" spans="1:10" x14ac:dyDescent="0.25">
      <c r="A41" s="43" t="str">
        <f>+UCAP!B42</f>
        <v>Redes</v>
      </c>
      <c r="B41" s="43" t="str">
        <f>+UCAP!C42</f>
        <v>Red subterranea en cable No 2 AWG Al x 500MTS</v>
      </c>
      <c r="C41" s="233">
        <f>+UCAP!E42</f>
        <v>0.72</v>
      </c>
      <c r="D41" s="55">
        <f>+UCAP!O42</f>
        <v>4682064</v>
      </c>
      <c r="E41" s="55">
        <f t="shared" si="0"/>
        <v>3371086.08</v>
      </c>
      <c r="F41" s="314">
        <f>+'DATOS ENTRADA'!$B$16</f>
        <v>0.12089999999999999</v>
      </c>
      <c r="G41" s="44">
        <v>35</v>
      </c>
      <c r="H41" s="213">
        <f t="shared" si="1"/>
        <v>415210.18889972934</v>
      </c>
      <c r="I41" s="316">
        <f>+CINV!K41</f>
        <v>415210.18889972934</v>
      </c>
      <c r="J41" s="316">
        <f t="shared" si="2"/>
        <v>0</v>
      </c>
    </row>
    <row r="42" spans="1:10" x14ac:dyDescent="0.25">
      <c r="A42" s="43" t="str">
        <f>+UCAP!B43</f>
        <v>Redes</v>
      </c>
      <c r="B42" s="43" t="str">
        <f>+UCAP!C43</f>
        <v>Red en cable encauchetado 3x14 AWG Cu x 500MTS</v>
      </c>
      <c r="C42" s="233">
        <f>+UCAP!E43</f>
        <v>0.1</v>
      </c>
      <c r="D42" s="55">
        <f>+UCAP!O43</f>
        <v>5247624</v>
      </c>
      <c r="E42" s="55">
        <f t="shared" si="0"/>
        <v>524762.4</v>
      </c>
      <c r="F42" s="314">
        <f>+'DATOS ENTRADA'!$B$16</f>
        <v>0.12089999999999999</v>
      </c>
      <c r="G42" s="44">
        <v>35</v>
      </c>
      <c r="H42" s="213">
        <f t="shared" si="1"/>
        <v>64633.975538078026</v>
      </c>
      <c r="I42" s="316">
        <f>+CINV!K42</f>
        <v>0</v>
      </c>
      <c r="J42" s="316">
        <f t="shared" si="2"/>
        <v>64633.975538078026</v>
      </c>
    </row>
    <row r="43" spans="1:10" x14ac:dyDescent="0.25">
      <c r="A43" s="43" t="str">
        <f>+UCAP!B44</f>
        <v>Redes</v>
      </c>
      <c r="B43" s="43" t="str">
        <f>+UCAP!C44</f>
        <v>Sistema puesta a tierra</v>
      </c>
      <c r="C43" s="233">
        <f>+UCAP!E44</f>
        <v>7</v>
      </c>
      <c r="D43" s="55">
        <f>+UCAP!O44</f>
        <v>337855</v>
      </c>
      <c r="E43" s="55">
        <f t="shared" si="0"/>
        <v>2364985</v>
      </c>
      <c r="F43" s="314">
        <f>+'DATOS ENTRADA'!$B$16</f>
        <v>0.12089999999999999</v>
      </c>
      <c r="G43" s="44">
        <v>35</v>
      </c>
      <c r="H43" s="213">
        <f t="shared" si="1"/>
        <v>291290.65389959619</v>
      </c>
      <c r="I43" s="316">
        <f>+CINV!K43</f>
        <v>291290.65389959619</v>
      </c>
      <c r="J43" s="316">
        <f t="shared" si="2"/>
        <v>0</v>
      </c>
    </row>
    <row r="44" spans="1:10" x14ac:dyDescent="0.25">
      <c r="C44" s="12"/>
      <c r="D44" s="10"/>
      <c r="E44" s="10"/>
      <c r="H44" s="315">
        <f>+ROUND(SUM(H4:H43),0)</f>
        <v>17747729</v>
      </c>
      <c r="I44" s="315">
        <f t="shared" ref="I44:J44" si="3">+ROUND(SUM(I4:I43),0)</f>
        <v>12186342</v>
      </c>
      <c r="J44" s="315">
        <f>+ROUND(SUM(J4:J43),0)</f>
        <v>5561387</v>
      </c>
    </row>
    <row r="45" spans="1:10" x14ac:dyDescent="0.25">
      <c r="C45" s="12"/>
      <c r="D45" s="10"/>
      <c r="E45" s="10"/>
      <c r="J45" s="318">
        <f>+ROUND(J44/17,0)</f>
        <v>327140</v>
      </c>
    </row>
    <row r="46" spans="1:10" ht="14.25" customHeight="1" x14ac:dyDescent="0.25">
      <c r="A46" s="86" t="s">
        <v>44</v>
      </c>
      <c r="B46" s="87"/>
      <c r="C46" s="61"/>
      <c r="D46" s="62"/>
      <c r="E46" s="65">
        <f>+ROUND(SUM(E4:E43),0)</f>
        <v>143728717</v>
      </c>
    </row>
    <row r="47" spans="1:10" x14ac:dyDescent="0.25">
      <c r="A47" s="86" t="s">
        <v>191</v>
      </c>
      <c r="B47" s="87"/>
      <c r="C47" s="87"/>
      <c r="D47" s="87"/>
      <c r="E47" s="210">
        <f>+'DATOS ENTRADA'!B19</f>
        <v>0.04</v>
      </c>
    </row>
    <row r="48" spans="1:10" x14ac:dyDescent="0.25">
      <c r="A48" s="228" t="s">
        <v>161</v>
      </c>
      <c r="E48" s="215">
        <v>0</v>
      </c>
    </row>
    <row r="49" spans="1:5" x14ac:dyDescent="0.25">
      <c r="A49" s="86" t="s">
        <v>46</v>
      </c>
      <c r="B49" s="87"/>
      <c r="C49" s="87"/>
      <c r="D49" s="87"/>
      <c r="E49" s="88">
        <v>1</v>
      </c>
    </row>
    <row r="50" spans="1:5" x14ac:dyDescent="0.25">
      <c r="A50" s="86" t="s">
        <v>45</v>
      </c>
      <c r="B50" s="87"/>
      <c r="C50" s="61"/>
      <c r="D50" s="62"/>
      <c r="E50" s="207"/>
    </row>
    <row r="51" spans="1:5" x14ac:dyDescent="0.25">
      <c r="C51" s="12"/>
      <c r="D51" s="10"/>
      <c r="E51" s="10"/>
    </row>
    <row r="52" spans="1:5" ht="17.25" customHeight="1" x14ac:dyDescent="0.25">
      <c r="A52" s="60" t="s">
        <v>146</v>
      </c>
      <c r="B52" s="87"/>
      <c r="C52" s="89"/>
      <c r="D52" s="90"/>
      <c r="E52" s="91">
        <f>+ROUND(((E46*(E47+E48)*E49)-E50),0)</f>
        <v>5749149</v>
      </c>
    </row>
    <row r="53" spans="1:5" ht="17.25" customHeight="1" x14ac:dyDescent="0.25">
      <c r="A53" s="60" t="s">
        <v>147</v>
      </c>
      <c r="B53" s="87"/>
      <c r="C53" s="89"/>
      <c r="D53" s="90"/>
      <c r="E53" s="91">
        <f>+ROUND((E52/12),0)</f>
        <v>479096</v>
      </c>
    </row>
    <row r="54" spans="1:5" x14ac:dyDescent="0.25">
      <c r="E54" s="75"/>
    </row>
    <row r="55" spans="1:5" x14ac:dyDescent="0.25">
      <c r="E55" s="13"/>
    </row>
    <row r="56" spans="1:5" x14ac:dyDescent="0.25">
      <c r="E56" s="10"/>
    </row>
    <row r="57" spans="1:5" x14ac:dyDescent="0.25">
      <c r="E57" s="10"/>
    </row>
    <row r="59" spans="1:5" x14ac:dyDescent="0.25">
      <c r="C59" s="10"/>
    </row>
  </sheetData>
  <autoFilter ref="A3:E50" xr:uid="{59A36259-9F33-4C37-ACB0-F02CAC266806}">
    <filterColumn colId="2">
      <filters blank="1">
        <filter val="0,08"/>
        <filter val="0,1"/>
        <filter val="0,226"/>
        <filter val="0,306"/>
        <filter val="0,72"/>
        <filter val="0,78"/>
        <filter val="0,918"/>
        <filter val="1"/>
        <filter val="1,564"/>
        <filter val="10"/>
        <filter val="18"/>
        <filter val="20"/>
        <filter val="38"/>
        <filter val="4"/>
        <filter val="5"/>
        <filter val="7"/>
      </filters>
    </filterColumn>
  </autoFilter>
  <mergeCells count="1">
    <mergeCell ref="A1:E1"/>
  </mergeCells>
  <pageMargins left="0.7" right="0.7" top="0.75" bottom="0.75" header="0.3" footer="0.3"/>
  <pageSetup paperSize="9"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showGridLines="0" zoomScale="80" zoomScaleNormal="80" workbookViewId="0">
      <selection activeCell="F31" sqref="F31"/>
    </sheetView>
  </sheetViews>
  <sheetFormatPr baseColWidth="10" defaultRowHeight="14.25" x14ac:dyDescent="0.2"/>
  <cols>
    <col min="1" max="1" width="18.140625" style="14" customWidth="1"/>
    <col min="2" max="2" width="17.85546875" style="14" customWidth="1"/>
    <col min="3" max="5" width="11.42578125" style="14"/>
    <col min="6" max="6" width="18.28515625" style="14" customWidth="1"/>
    <col min="7" max="7" width="18.85546875" style="14" customWidth="1"/>
    <col min="8" max="16384" width="11.42578125" style="14"/>
  </cols>
  <sheetData>
    <row r="1" spans="1:8" x14ac:dyDescent="0.2">
      <c r="A1" s="23" t="s">
        <v>21</v>
      </c>
      <c r="F1" s="23" t="s">
        <v>21</v>
      </c>
    </row>
    <row r="3" spans="1:8" x14ac:dyDescent="0.2">
      <c r="A3" s="28" t="s">
        <v>27</v>
      </c>
      <c r="B3" s="29"/>
      <c r="C3" s="30" t="e">
        <f>+'CENSO FUTURO '!#REF!</f>
        <v>#REF!</v>
      </c>
      <c r="F3" s="28" t="s">
        <v>27</v>
      </c>
      <c r="G3" s="29"/>
      <c r="H3" s="30" t="e">
        <f>+C3</f>
        <v>#REF!</v>
      </c>
    </row>
    <row r="4" spans="1:8" x14ac:dyDescent="0.2">
      <c r="A4" s="31" t="s">
        <v>28</v>
      </c>
      <c r="B4" s="32"/>
      <c r="C4" s="33">
        <v>0</v>
      </c>
      <c r="F4" s="31" t="s">
        <v>28</v>
      </c>
      <c r="G4" s="32"/>
      <c r="H4" s="33">
        <v>0</v>
      </c>
    </row>
    <row r="5" spans="1:8" x14ac:dyDescent="0.2">
      <c r="A5" s="25" t="s">
        <v>29</v>
      </c>
      <c r="B5" s="24"/>
      <c r="C5" s="34" t="e">
        <f>+C3*C4</f>
        <v>#REF!</v>
      </c>
      <c r="F5" s="25" t="s">
        <v>29</v>
      </c>
      <c r="G5" s="24"/>
      <c r="H5" s="34" t="e">
        <f>+H3*H4</f>
        <v>#REF!</v>
      </c>
    </row>
    <row r="6" spans="1:8" x14ac:dyDescent="0.2">
      <c r="A6" s="31" t="s">
        <v>30</v>
      </c>
      <c r="B6" s="32"/>
      <c r="C6" s="33">
        <v>360</v>
      </c>
      <c r="F6" s="31" t="s">
        <v>30</v>
      </c>
      <c r="G6" s="32"/>
      <c r="H6" s="33">
        <v>360</v>
      </c>
    </row>
    <row r="7" spans="1:8" x14ac:dyDescent="0.2">
      <c r="A7" s="35" t="s">
        <v>31</v>
      </c>
      <c r="B7" s="36"/>
      <c r="C7" s="37">
        <v>360</v>
      </c>
      <c r="F7" s="35" t="s">
        <v>31</v>
      </c>
      <c r="G7" s="36"/>
      <c r="H7" s="37">
        <v>360</v>
      </c>
    </row>
    <row r="9" spans="1:8" x14ac:dyDescent="0.2">
      <c r="A9" s="26" t="s">
        <v>32</v>
      </c>
      <c r="B9" s="27" t="e">
        <f>1-((C5*C6)/(C3*C7))</f>
        <v>#REF!</v>
      </c>
      <c r="F9" s="26" t="s">
        <v>32</v>
      </c>
      <c r="G9" s="2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4"/>
  <sheetViews>
    <sheetView showGridLines="0" zoomScale="80" zoomScaleNormal="80" workbookViewId="0">
      <pane xSplit="1" ySplit="5" topLeftCell="B63" activePane="bottomRight" state="frozen"/>
      <selection pane="topRight" activeCell="B1" sqref="B1"/>
      <selection pane="bottomLeft" activeCell="A6" sqref="A6"/>
      <selection pane="bottomRight" activeCell="G92" sqref="G92"/>
    </sheetView>
  </sheetViews>
  <sheetFormatPr baseColWidth="10" defaultRowHeight="14.25" x14ac:dyDescent="0.2"/>
  <cols>
    <col min="1" max="1" width="11.42578125" style="57"/>
    <col min="2" max="2" width="22.5703125" style="14" bestFit="1" customWidth="1"/>
    <col min="3" max="3" width="22.7109375" style="14" bestFit="1" customWidth="1"/>
    <col min="4" max="4" width="14.7109375" style="14" customWidth="1"/>
    <col min="5" max="5" width="20.28515625" style="14" bestFit="1" customWidth="1"/>
    <col min="6" max="6" width="21.7109375" style="14" bestFit="1" customWidth="1"/>
    <col min="7" max="7" width="14.5703125" style="14" customWidth="1"/>
    <col min="8" max="8" width="20.85546875" style="14" customWidth="1"/>
    <col min="9" max="10" width="21" style="14" customWidth="1"/>
    <col min="11" max="11" width="22.7109375" style="14" bestFit="1" customWidth="1"/>
    <col min="12" max="12" width="21.85546875" style="14" bestFit="1" customWidth="1"/>
    <col min="13" max="13" width="22.28515625" style="14" customWidth="1"/>
    <col min="14" max="14" width="21.140625" style="14" bestFit="1" customWidth="1"/>
    <col min="15" max="15" width="23.7109375" style="14" bestFit="1" customWidth="1"/>
    <col min="16" max="16" width="21.85546875" style="14" bestFit="1" customWidth="1"/>
    <col min="17" max="17" width="22.28515625" style="14" customWidth="1"/>
    <col min="18" max="18" width="20.28515625" style="14" bestFit="1" customWidth="1"/>
    <col min="19" max="19" width="21.7109375" style="14" bestFit="1" customWidth="1"/>
    <col min="20" max="20" width="21.5703125" style="14" customWidth="1"/>
    <col min="21" max="21" width="21.140625" style="14" customWidth="1"/>
    <col min="22" max="22" width="16.7109375" style="14" customWidth="1"/>
    <col min="23" max="23" width="20.85546875" style="14" bestFit="1" customWidth="1"/>
    <col min="24" max="24" width="19.85546875" style="14" customWidth="1"/>
    <col min="25" max="25" width="23.7109375" style="14" bestFit="1" customWidth="1"/>
    <col min="26" max="16384" width="11.42578125" style="14"/>
  </cols>
  <sheetData>
    <row r="1" spans="1:25" ht="50.25" customHeight="1" x14ac:dyDescent="0.2">
      <c r="A1" s="285" t="s">
        <v>163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</row>
    <row r="2" spans="1:25" ht="15" customHeight="1" thickBot="1" x14ac:dyDescent="0.25">
      <c r="A2" s="135"/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3"/>
      <c r="V2" s="3"/>
      <c r="W2" s="3"/>
      <c r="X2" s="3"/>
      <c r="Y2" s="3"/>
    </row>
    <row r="3" spans="1:25" ht="18.75" thickBot="1" x14ac:dyDescent="0.25">
      <c r="A3" s="282" t="s">
        <v>101</v>
      </c>
      <c r="B3" s="286" t="s">
        <v>164</v>
      </c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8"/>
      <c r="N3" s="292" t="s">
        <v>102</v>
      </c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4"/>
    </row>
    <row r="4" spans="1:25" ht="15" customHeight="1" thickBot="1" x14ac:dyDescent="0.25">
      <c r="A4" s="283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295" t="s">
        <v>165</v>
      </c>
      <c r="O4" s="297" t="s">
        <v>166</v>
      </c>
      <c r="P4" s="299" t="s">
        <v>103</v>
      </c>
      <c r="Q4" s="300"/>
      <c r="R4" s="300"/>
      <c r="S4" s="300"/>
      <c r="T4" s="300"/>
      <c r="U4" s="300"/>
      <c r="V4" s="300"/>
      <c r="W4" s="301"/>
      <c r="X4" s="302" t="s">
        <v>104</v>
      </c>
      <c r="Y4" s="302" t="s">
        <v>105</v>
      </c>
    </row>
    <row r="5" spans="1:25" ht="48.75" customHeight="1" thickBot="1" x14ac:dyDescent="0.25">
      <c r="A5" s="284"/>
      <c r="B5" s="138" t="s">
        <v>106</v>
      </c>
      <c r="C5" s="139" t="s">
        <v>107</v>
      </c>
      <c r="D5" s="139" t="s">
        <v>108</v>
      </c>
      <c r="E5" s="139" t="s">
        <v>109</v>
      </c>
      <c r="F5" s="139" t="s">
        <v>110</v>
      </c>
      <c r="G5" s="139" t="s">
        <v>111</v>
      </c>
      <c r="H5" s="139" t="s">
        <v>167</v>
      </c>
      <c r="I5" s="139" t="s">
        <v>112</v>
      </c>
      <c r="J5" s="139" t="s">
        <v>168</v>
      </c>
      <c r="K5" s="139" t="s">
        <v>113</v>
      </c>
      <c r="L5" s="139" t="s">
        <v>114</v>
      </c>
      <c r="M5" s="140" t="s">
        <v>115</v>
      </c>
      <c r="N5" s="296"/>
      <c r="O5" s="298"/>
      <c r="P5" s="141" t="s">
        <v>116</v>
      </c>
      <c r="Q5" s="128" t="s">
        <v>117</v>
      </c>
      <c r="R5" s="128" t="s">
        <v>118</v>
      </c>
      <c r="S5" s="128" t="s">
        <v>169</v>
      </c>
      <c r="T5" s="128" t="s">
        <v>170</v>
      </c>
      <c r="U5" s="142" t="s">
        <v>119</v>
      </c>
      <c r="V5" s="128" t="s">
        <v>120</v>
      </c>
      <c r="W5" s="142" t="s">
        <v>121</v>
      </c>
      <c r="X5" s="303"/>
      <c r="Y5" s="303"/>
    </row>
    <row r="6" spans="1:25" ht="15" customHeight="1" x14ac:dyDescent="0.2">
      <c r="A6" s="67">
        <v>42064</v>
      </c>
      <c r="B6" s="143">
        <v>68969121</v>
      </c>
      <c r="C6" s="143">
        <v>62369205</v>
      </c>
      <c r="D6" s="144">
        <f t="shared" ref="D6:D69" si="0">+C6/B6</f>
        <v>0.90430621843070902</v>
      </c>
      <c r="E6" s="145">
        <f t="shared" ref="E6:E69" si="1">+B6-C6</f>
        <v>6599916</v>
      </c>
      <c r="F6" s="146">
        <v>58459096</v>
      </c>
      <c r="G6" s="143">
        <v>322.98</v>
      </c>
      <c r="H6" s="147">
        <v>171372</v>
      </c>
      <c r="I6" s="146">
        <v>6533797.4400000004</v>
      </c>
      <c r="J6" s="148"/>
      <c r="K6" s="149"/>
      <c r="L6" s="150"/>
      <c r="M6" s="150"/>
      <c r="N6" s="146"/>
      <c r="O6" s="146"/>
      <c r="P6" s="307">
        <v>286253104.66000003</v>
      </c>
      <c r="Q6" s="307">
        <v>286253104.66000003</v>
      </c>
      <c r="R6" s="304">
        <f>+P6-Q6</f>
        <v>0</v>
      </c>
      <c r="S6" s="307">
        <v>449321471.88</v>
      </c>
      <c r="T6" s="307">
        <v>449321471.88</v>
      </c>
      <c r="U6" s="304">
        <f>+S6-T6</f>
        <v>0</v>
      </c>
      <c r="V6" s="150"/>
      <c r="W6" s="150"/>
      <c r="X6" s="150"/>
      <c r="Y6" s="150"/>
    </row>
    <row r="7" spans="1:25" x14ac:dyDescent="0.2">
      <c r="A7" s="67">
        <v>42095</v>
      </c>
      <c r="B7" s="143">
        <v>67484589</v>
      </c>
      <c r="C7" s="143">
        <v>59359345</v>
      </c>
      <c r="D7" s="144">
        <f t="shared" si="0"/>
        <v>0.87959852582046549</v>
      </c>
      <c r="E7" s="145">
        <f t="shared" si="1"/>
        <v>8125244</v>
      </c>
      <c r="F7" s="146">
        <v>61449063</v>
      </c>
      <c r="G7" s="143">
        <v>322.77</v>
      </c>
      <c r="H7" s="147">
        <v>165844</v>
      </c>
      <c r="I7" s="146">
        <v>6558290.8399999999</v>
      </c>
      <c r="J7" s="148"/>
      <c r="K7" s="149"/>
      <c r="L7" s="150"/>
      <c r="M7" s="150"/>
      <c r="N7" s="146"/>
      <c r="O7" s="146"/>
      <c r="P7" s="309"/>
      <c r="Q7" s="309"/>
      <c r="R7" s="305"/>
      <c r="S7" s="309"/>
      <c r="T7" s="309"/>
      <c r="U7" s="305"/>
      <c r="V7" s="150"/>
      <c r="W7" s="150"/>
      <c r="X7" s="150"/>
      <c r="Y7" s="150"/>
    </row>
    <row r="8" spans="1:25" x14ac:dyDescent="0.2">
      <c r="A8" s="67">
        <v>42125</v>
      </c>
      <c r="B8" s="143">
        <v>75426420</v>
      </c>
      <c r="C8" s="143">
        <v>73048731</v>
      </c>
      <c r="D8" s="144">
        <f t="shared" si="0"/>
        <v>0.96847670882430847</v>
      </c>
      <c r="E8" s="145">
        <f t="shared" si="1"/>
        <v>2377689</v>
      </c>
      <c r="F8" s="146">
        <v>62037671</v>
      </c>
      <c r="G8" s="143">
        <v>333.98</v>
      </c>
      <c r="H8" s="147">
        <v>172300</v>
      </c>
      <c r="I8" s="146">
        <v>6992604.1200000001</v>
      </c>
      <c r="J8" s="148"/>
      <c r="K8" s="149">
        <f t="shared" ref="K8:K71" si="2">+C8-F8-I8-J8</f>
        <v>4018455.88</v>
      </c>
      <c r="L8" s="150"/>
      <c r="M8" s="150"/>
      <c r="N8" s="146"/>
      <c r="O8" s="146"/>
      <c r="P8" s="309"/>
      <c r="Q8" s="309"/>
      <c r="R8" s="305"/>
      <c r="S8" s="309"/>
      <c r="T8" s="309"/>
      <c r="U8" s="305"/>
      <c r="V8" s="150"/>
      <c r="W8" s="150"/>
      <c r="X8" s="150"/>
      <c r="Y8" s="150"/>
    </row>
    <row r="9" spans="1:25" x14ac:dyDescent="0.2">
      <c r="A9" s="67">
        <v>42156</v>
      </c>
      <c r="B9" s="143">
        <v>78423847</v>
      </c>
      <c r="C9" s="143">
        <v>69280289</v>
      </c>
      <c r="D9" s="144">
        <f t="shared" si="0"/>
        <v>0.88340844845318545</v>
      </c>
      <c r="E9" s="145">
        <f t="shared" si="1"/>
        <v>9143558</v>
      </c>
      <c r="F9" s="146">
        <v>66843766</v>
      </c>
      <c r="G9" s="143">
        <v>328.08</v>
      </c>
      <c r="H9" s="147">
        <v>166742</v>
      </c>
      <c r="I9" s="146">
        <v>7177819</v>
      </c>
      <c r="J9" s="151"/>
      <c r="K9" s="149"/>
      <c r="L9" s="150"/>
      <c r="M9" s="150"/>
      <c r="N9" s="146"/>
      <c r="O9" s="146"/>
      <c r="P9" s="309"/>
      <c r="Q9" s="309"/>
      <c r="R9" s="305"/>
      <c r="S9" s="309"/>
      <c r="T9" s="309"/>
      <c r="U9" s="305"/>
      <c r="V9" s="150"/>
      <c r="W9" s="150"/>
      <c r="X9" s="150"/>
      <c r="Y9" s="150"/>
    </row>
    <row r="10" spans="1:25" x14ac:dyDescent="0.2">
      <c r="A10" s="67">
        <v>42186</v>
      </c>
      <c r="B10" s="143">
        <v>78685789</v>
      </c>
      <c r="C10" s="143">
        <v>85905729</v>
      </c>
      <c r="D10" s="144">
        <f t="shared" si="0"/>
        <v>1.0917565940655434</v>
      </c>
      <c r="E10" s="145">
        <f t="shared" si="1"/>
        <v>-7219940</v>
      </c>
      <c r="F10" s="146">
        <v>64736207</v>
      </c>
      <c r="G10" s="143">
        <v>332.85</v>
      </c>
      <c r="H10" s="147">
        <v>181389</v>
      </c>
      <c r="I10" s="146">
        <v>7237248.1200000001</v>
      </c>
      <c r="J10" s="151"/>
      <c r="K10" s="149">
        <f t="shared" si="2"/>
        <v>13932273.879999999</v>
      </c>
      <c r="L10" s="150"/>
      <c r="M10" s="150"/>
      <c r="N10" s="146"/>
      <c r="O10" s="146"/>
      <c r="P10" s="308"/>
      <c r="Q10" s="308"/>
      <c r="R10" s="306"/>
      <c r="S10" s="308"/>
      <c r="T10" s="308"/>
      <c r="U10" s="306"/>
      <c r="V10" s="150"/>
      <c r="W10" s="150"/>
      <c r="X10" s="150"/>
      <c r="Y10" s="152">
        <v>73941229.959999993</v>
      </c>
    </row>
    <row r="11" spans="1:25" x14ac:dyDescent="0.2">
      <c r="A11" s="67">
        <v>42217</v>
      </c>
      <c r="B11" s="143">
        <v>78680479</v>
      </c>
      <c r="C11" s="143">
        <v>70674006</v>
      </c>
      <c r="D11" s="144">
        <f t="shared" si="0"/>
        <v>0.89824066780274681</v>
      </c>
      <c r="E11" s="145">
        <f t="shared" si="1"/>
        <v>8006473</v>
      </c>
      <c r="F11" s="146">
        <v>70490204</v>
      </c>
      <c r="G11" s="143">
        <v>330.32</v>
      </c>
      <c r="H11" s="147">
        <v>181389</v>
      </c>
      <c r="I11" s="146">
        <v>7229217.4400000004</v>
      </c>
      <c r="J11" s="151"/>
      <c r="K11" s="149"/>
      <c r="L11" s="150"/>
      <c r="M11" s="150"/>
      <c r="N11" s="146"/>
      <c r="O11" s="146">
        <v>1174800000</v>
      </c>
      <c r="P11" s="146">
        <v>57250620.729999997</v>
      </c>
      <c r="Q11" s="146">
        <v>57250620.729999997</v>
      </c>
      <c r="R11" s="149">
        <f>+P11-Q11</f>
        <v>0</v>
      </c>
      <c r="S11" s="146">
        <v>89864293.379999995</v>
      </c>
      <c r="T11" s="146">
        <v>89864293.379999995</v>
      </c>
      <c r="U11" s="149">
        <f>+S11-T11</f>
        <v>0</v>
      </c>
      <c r="V11" s="150"/>
      <c r="W11" s="150"/>
      <c r="X11" s="146">
        <v>432116</v>
      </c>
      <c r="Y11" s="152">
        <v>8167997.2699999996</v>
      </c>
    </row>
    <row r="12" spans="1:25" x14ac:dyDescent="0.2">
      <c r="A12" s="67">
        <v>42248</v>
      </c>
      <c r="B12" s="143">
        <v>83232556</v>
      </c>
      <c r="C12" s="143">
        <v>75625566</v>
      </c>
      <c r="D12" s="144">
        <f t="shared" si="0"/>
        <v>0.90860559418600573</v>
      </c>
      <c r="E12" s="145">
        <f t="shared" si="1"/>
        <v>7606990</v>
      </c>
      <c r="F12" s="146">
        <v>59739414</v>
      </c>
      <c r="G12" s="143">
        <v>330.63</v>
      </c>
      <c r="H12" s="147">
        <v>175538</v>
      </c>
      <c r="I12" s="146">
        <v>7500309.4400000004</v>
      </c>
      <c r="J12" s="151"/>
      <c r="K12" s="149">
        <f t="shared" si="2"/>
        <v>8385842.5599999996</v>
      </c>
      <c r="L12" s="150"/>
      <c r="M12" s="150"/>
      <c r="N12" s="146"/>
      <c r="O12" s="146"/>
      <c r="P12" s="146">
        <v>57250620.729999997</v>
      </c>
      <c r="Q12" s="146">
        <v>57250620.729999997</v>
      </c>
      <c r="R12" s="149">
        <f t="shared" ref="R12:R14" si="3">+P12-Q12</f>
        <v>0</v>
      </c>
      <c r="S12" s="146">
        <v>89864293.379999995</v>
      </c>
      <c r="T12" s="146">
        <v>89864293.379999995</v>
      </c>
      <c r="U12" s="149">
        <f t="shared" ref="U12:U17" si="4">+S12-T12</f>
        <v>0</v>
      </c>
      <c r="V12" s="150"/>
      <c r="W12" s="150"/>
      <c r="X12" s="146">
        <v>0</v>
      </c>
      <c r="Y12" s="152">
        <v>9611381.8100000005</v>
      </c>
    </row>
    <row r="13" spans="1:25" x14ac:dyDescent="0.2">
      <c r="A13" s="67">
        <v>42278</v>
      </c>
      <c r="B13" s="143">
        <v>83232556</v>
      </c>
      <c r="C13" s="143">
        <v>75625566</v>
      </c>
      <c r="D13" s="144">
        <f t="shared" si="0"/>
        <v>0.90860559418600573</v>
      </c>
      <c r="E13" s="145">
        <f t="shared" si="1"/>
        <v>7606990</v>
      </c>
      <c r="F13" s="146">
        <v>59739414</v>
      </c>
      <c r="G13" s="143">
        <v>330.63</v>
      </c>
      <c r="H13" s="147">
        <v>175538</v>
      </c>
      <c r="I13" s="146">
        <v>7500309.4400000004</v>
      </c>
      <c r="J13" s="151"/>
      <c r="K13" s="149">
        <f t="shared" si="2"/>
        <v>8385842.5599999996</v>
      </c>
      <c r="L13" s="150"/>
      <c r="M13" s="150"/>
      <c r="N13" s="146"/>
      <c r="O13" s="146"/>
      <c r="P13" s="146">
        <v>57250620.729999997</v>
      </c>
      <c r="Q13" s="146">
        <v>57250620.729999997</v>
      </c>
      <c r="R13" s="149">
        <f t="shared" si="3"/>
        <v>0</v>
      </c>
      <c r="S13" s="146">
        <v>89864293.379999995</v>
      </c>
      <c r="T13" s="146">
        <v>89864293.379999995</v>
      </c>
      <c r="U13" s="149">
        <f t="shared" si="4"/>
        <v>0</v>
      </c>
      <c r="V13" s="150"/>
      <c r="W13" s="150"/>
      <c r="X13" s="146">
        <v>1304052</v>
      </c>
      <c r="Y13" s="152">
        <v>10743499.880000001</v>
      </c>
    </row>
    <row r="14" spans="1:25" x14ac:dyDescent="0.2">
      <c r="A14" s="67">
        <v>42309</v>
      </c>
      <c r="B14" s="143">
        <v>98949718</v>
      </c>
      <c r="C14" s="143">
        <v>65594416</v>
      </c>
      <c r="D14" s="144">
        <f t="shared" si="0"/>
        <v>0.6629065481520624</v>
      </c>
      <c r="E14" s="145">
        <f t="shared" si="1"/>
        <v>33355302</v>
      </c>
      <c r="F14" s="146">
        <v>59197591</v>
      </c>
      <c r="G14" s="143">
        <v>350.41</v>
      </c>
      <c r="H14" s="147">
        <v>152448</v>
      </c>
      <c r="I14" s="146">
        <v>8355633.1200000001</v>
      </c>
      <c r="J14" s="151"/>
      <c r="K14" s="149"/>
      <c r="L14" s="150"/>
      <c r="M14" s="150"/>
      <c r="N14" s="146"/>
      <c r="O14" s="146"/>
      <c r="P14" s="307">
        <v>114501242.45999999</v>
      </c>
      <c r="Q14" s="307">
        <v>114501242.45999999</v>
      </c>
      <c r="R14" s="304">
        <f t="shared" si="3"/>
        <v>0</v>
      </c>
      <c r="S14" s="307">
        <v>179728588.75</v>
      </c>
      <c r="T14" s="307">
        <v>179728588.75</v>
      </c>
      <c r="U14" s="304">
        <f>+S14-T14</f>
        <v>0</v>
      </c>
      <c r="V14" s="150"/>
      <c r="W14" s="150"/>
      <c r="X14" s="146">
        <v>0</v>
      </c>
      <c r="Y14" s="152">
        <v>24569170.309999999</v>
      </c>
    </row>
    <row r="15" spans="1:25" x14ac:dyDescent="0.2">
      <c r="A15" s="67">
        <v>42339</v>
      </c>
      <c r="B15" s="153">
        <v>97309576</v>
      </c>
      <c r="C15" s="153">
        <v>117986341</v>
      </c>
      <c r="D15" s="154">
        <f t="shared" si="0"/>
        <v>1.2124843807766668</v>
      </c>
      <c r="E15" s="145">
        <f t="shared" si="1"/>
        <v>-20676765</v>
      </c>
      <c r="F15" s="155">
        <v>63739663</v>
      </c>
      <c r="G15" s="153">
        <v>362.37</v>
      </c>
      <c r="H15" s="156">
        <v>152274</v>
      </c>
      <c r="I15" s="155">
        <v>8290479.4000000004</v>
      </c>
      <c r="J15" s="157"/>
      <c r="K15" s="149">
        <f t="shared" si="2"/>
        <v>45956198.600000001</v>
      </c>
      <c r="L15" s="155">
        <f>+K15-M15</f>
        <v>-0.39999999850988388</v>
      </c>
      <c r="M15" s="155">
        <v>45956199</v>
      </c>
      <c r="N15" s="155"/>
      <c r="O15" s="155"/>
      <c r="P15" s="308"/>
      <c r="Q15" s="308"/>
      <c r="R15" s="306"/>
      <c r="S15" s="308"/>
      <c r="T15" s="308"/>
      <c r="U15" s="306"/>
      <c r="V15" s="150"/>
      <c r="W15" s="150"/>
      <c r="X15" s="155">
        <v>0</v>
      </c>
      <c r="Y15" s="158">
        <v>13916408.689999999</v>
      </c>
    </row>
    <row r="16" spans="1:25" x14ac:dyDescent="0.2">
      <c r="A16" s="67">
        <v>42370</v>
      </c>
      <c r="B16" s="143">
        <v>92246226</v>
      </c>
      <c r="C16" s="143">
        <v>106164349</v>
      </c>
      <c r="D16" s="144">
        <f t="shared" si="0"/>
        <v>1.1508801346517958</v>
      </c>
      <c r="E16" s="145">
        <f t="shared" si="1"/>
        <v>-13918123</v>
      </c>
      <c r="F16" s="146">
        <v>49454521</v>
      </c>
      <c r="G16" s="143">
        <v>362.37</v>
      </c>
      <c r="H16" s="147">
        <v>152274</v>
      </c>
      <c r="I16" s="146">
        <v>8141277.8799999999</v>
      </c>
      <c r="J16" s="151"/>
      <c r="K16" s="149">
        <f t="shared" si="2"/>
        <v>48568550.119999997</v>
      </c>
      <c r="L16" s="146">
        <f t="shared" ref="L16:L79" si="5">+K16-M16</f>
        <v>-9.880000002682209</v>
      </c>
      <c r="M16" s="146">
        <v>48568560</v>
      </c>
      <c r="N16" s="146"/>
      <c r="O16" s="146">
        <v>191795500</v>
      </c>
      <c r="P16" s="146">
        <v>61126488.060000002</v>
      </c>
      <c r="Q16" s="146">
        <v>61126488.060000002</v>
      </c>
      <c r="R16" s="149">
        <f>+P16-Q16</f>
        <v>0</v>
      </c>
      <c r="S16" s="146">
        <v>95948107.140000001</v>
      </c>
      <c r="T16" s="146">
        <v>95948107.140000001</v>
      </c>
      <c r="U16" s="149">
        <f t="shared" si="4"/>
        <v>0</v>
      </c>
      <c r="V16" s="150"/>
      <c r="W16" s="150"/>
      <c r="X16" s="146">
        <v>395079</v>
      </c>
      <c r="Y16" s="152">
        <v>15227193.08</v>
      </c>
    </row>
    <row r="17" spans="1:25" x14ac:dyDescent="0.2">
      <c r="A17" s="67">
        <v>42401</v>
      </c>
      <c r="B17" s="143">
        <v>103245584</v>
      </c>
      <c r="C17" s="143">
        <v>90513627</v>
      </c>
      <c r="D17" s="144">
        <f t="shared" si="0"/>
        <v>0.87668279352267497</v>
      </c>
      <c r="E17" s="145">
        <f t="shared" si="1"/>
        <v>12731957</v>
      </c>
      <c r="F17" s="146">
        <v>51716949</v>
      </c>
      <c r="G17" s="143">
        <v>382.52</v>
      </c>
      <c r="H17" s="147">
        <v>120855</v>
      </c>
      <c r="I17" s="146">
        <v>7312940.4400000004</v>
      </c>
      <c r="J17" s="151"/>
      <c r="K17" s="149">
        <f t="shared" si="2"/>
        <v>31483737.559999999</v>
      </c>
      <c r="L17" s="146">
        <f t="shared" si="5"/>
        <v>-0.44000000134110451</v>
      </c>
      <c r="M17" s="146">
        <v>31483738</v>
      </c>
      <c r="N17" s="146"/>
      <c r="O17" s="146"/>
      <c r="P17" s="146">
        <v>61126488.060000002</v>
      </c>
      <c r="Q17" s="146">
        <v>61126488.060000002</v>
      </c>
      <c r="R17" s="149">
        <f t="shared" ref="R17:R81" si="6">+P17-Q17</f>
        <v>0</v>
      </c>
      <c r="S17" s="146">
        <v>95948107.140000001</v>
      </c>
      <c r="T17" s="146">
        <v>95948107.140000001</v>
      </c>
      <c r="U17" s="149">
        <f t="shared" si="4"/>
        <v>0</v>
      </c>
      <c r="V17" s="150"/>
      <c r="W17" s="150"/>
      <c r="X17" s="146">
        <v>0</v>
      </c>
      <c r="Y17" s="152">
        <v>12277718.68</v>
      </c>
    </row>
    <row r="18" spans="1:25" x14ac:dyDescent="0.2">
      <c r="A18" s="67">
        <v>42430</v>
      </c>
      <c r="B18" s="143">
        <v>109240573</v>
      </c>
      <c r="C18" s="143">
        <v>85708084</v>
      </c>
      <c r="D18" s="144">
        <f t="shared" si="0"/>
        <v>0.78458105487967367</v>
      </c>
      <c r="E18" s="145">
        <f t="shared" si="1"/>
        <v>23532489</v>
      </c>
      <c r="F18" s="146">
        <v>55582615</v>
      </c>
      <c r="G18" s="143">
        <v>397.85</v>
      </c>
      <c r="H18" s="147">
        <v>129163</v>
      </c>
      <c r="I18" s="146">
        <v>7662937.96</v>
      </c>
      <c r="J18" s="151"/>
      <c r="K18" s="149">
        <f t="shared" si="2"/>
        <v>22462531.039999999</v>
      </c>
      <c r="L18" s="146">
        <f t="shared" si="5"/>
        <v>3.9999999105930328E-2</v>
      </c>
      <c r="M18" s="146">
        <v>22462531</v>
      </c>
      <c r="N18" s="146"/>
      <c r="O18" s="146"/>
      <c r="P18" s="307">
        <v>122252974.11</v>
      </c>
      <c r="Q18" s="307">
        <v>122252974.11</v>
      </c>
      <c r="R18" s="304">
        <f t="shared" si="6"/>
        <v>0</v>
      </c>
      <c r="S18" s="307">
        <v>191896214.28</v>
      </c>
      <c r="T18" s="307">
        <v>191896214.28</v>
      </c>
      <c r="U18" s="304">
        <f>+S18-T18</f>
        <v>0</v>
      </c>
      <c r="V18" s="150"/>
      <c r="W18" s="150"/>
      <c r="X18" s="146">
        <v>395079</v>
      </c>
      <c r="Y18" s="152">
        <v>10510174.789999999</v>
      </c>
    </row>
    <row r="19" spans="1:25" x14ac:dyDescent="0.2">
      <c r="A19" s="67">
        <v>42461</v>
      </c>
      <c r="B19" s="143">
        <v>111158187</v>
      </c>
      <c r="C19" s="143">
        <v>106626780</v>
      </c>
      <c r="D19" s="144">
        <f t="shared" si="0"/>
        <v>0.9592346086033231</v>
      </c>
      <c r="E19" s="145">
        <f t="shared" si="1"/>
        <v>4531407</v>
      </c>
      <c r="F19" s="146">
        <v>58126448</v>
      </c>
      <c r="G19" s="143">
        <v>412.72</v>
      </c>
      <c r="H19" s="147">
        <v>124996</v>
      </c>
      <c r="I19" s="146">
        <v>7784436.3600000003</v>
      </c>
      <c r="J19" s="151"/>
      <c r="K19" s="149">
        <f t="shared" si="2"/>
        <v>40715895.640000001</v>
      </c>
      <c r="L19" s="146">
        <f t="shared" si="5"/>
        <v>-0.35999999940395355</v>
      </c>
      <c r="M19" s="146">
        <v>40715896</v>
      </c>
      <c r="N19" s="146">
        <v>718217450</v>
      </c>
      <c r="O19" s="146"/>
      <c r="P19" s="308"/>
      <c r="Q19" s="308"/>
      <c r="R19" s="306"/>
      <c r="S19" s="308"/>
      <c r="T19" s="308"/>
      <c r="U19" s="306"/>
      <c r="V19" s="150"/>
      <c r="W19" s="150"/>
      <c r="X19" s="146">
        <v>406698</v>
      </c>
      <c r="Y19" s="152">
        <v>9378831.7699999996</v>
      </c>
    </row>
    <row r="20" spans="1:25" x14ac:dyDescent="0.2">
      <c r="A20" s="67">
        <v>42491</v>
      </c>
      <c r="B20" s="143">
        <v>99221189</v>
      </c>
      <c r="C20" s="143">
        <v>116293477</v>
      </c>
      <c r="D20" s="144">
        <f t="shared" si="0"/>
        <v>1.1720629249867183</v>
      </c>
      <c r="E20" s="145">
        <f t="shared" si="1"/>
        <v>-17072288</v>
      </c>
      <c r="F20" s="146">
        <v>56673648</v>
      </c>
      <c r="G20" s="143">
        <v>405.99</v>
      </c>
      <c r="H20" s="147">
        <v>129163</v>
      </c>
      <c r="I20" s="146">
        <v>7249722.7599999998</v>
      </c>
      <c r="J20" s="151"/>
      <c r="K20" s="149">
        <f t="shared" si="2"/>
        <v>52370106.240000002</v>
      </c>
      <c r="L20" s="146">
        <f t="shared" si="5"/>
        <v>2.2400000020861626</v>
      </c>
      <c r="M20" s="146">
        <v>52370104</v>
      </c>
      <c r="N20" s="146"/>
      <c r="O20" s="146"/>
      <c r="P20" s="307">
        <v>122252977.11</v>
      </c>
      <c r="Q20" s="307">
        <v>122252977.11</v>
      </c>
      <c r="R20" s="304">
        <f>+P20-Q20</f>
        <v>0</v>
      </c>
      <c r="S20" s="307">
        <v>191896214.28</v>
      </c>
      <c r="T20" s="307">
        <v>191896214.28</v>
      </c>
      <c r="U20" s="304">
        <f>+S20-T20</f>
        <v>0</v>
      </c>
      <c r="V20" s="150"/>
      <c r="W20" s="150"/>
      <c r="X20" s="146">
        <v>0</v>
      </c>
      <c r="Y20" s="152">
        <v>9195288.1199999992</v>
      </c>
    </row>
    <row r="21" spans="1:25" x14ac:dyDescent="0.2">
      <c r="A21" s="67">
        <v>42522</v>
      </c>
      <c r="B21" s="143">
        <v>103478922</v>
      </c>
      <c r="C21" s="143">
        <v>100577595</v>
      </c>
      <c r="D21" s="144">
        <f t="shared" si="0"/>
        <v>0.97196214510236201</v>
      </c>
      <c r="E21" s="145">
        <f t="shared" si="1"/>
        <v>2901327</v>
      </c>
      <c r="F21" s="146">
        <v>50921789</v>
      </c>
      <c r="G21" s="143">
        <v>459.01</v>
      </c>
      <c r="H21" s="147">
        <v>8700</v>
      </c>
      <c r="I21" s="146">
        <v>7504116.5600000005</v>
      </c>
      <c r="J21" s="151"/>
      <c r="K21" s="149">
        <f t="shared" si="2"/>
        <v>42151689.439999998</v>
      </c>
      <c r="L21" s="146">
        <f t="shared" si="5"/>
        <v>0.43999999761581421</v>
      </c>
      <c r="M21" s="146">
        <v>42151689</v>
      </c>
      <c r="N21" s="146"/>
      <c r="O21" s="146"/>
      <c r="P21" s="308"/>
      <c r="Q21" s="308"/>
      <c r="R21" s="306"/>
      <c r="S21" s="308"/>
      <c r="T21" s="308"/>
      <c r="U21" s="306"/>
      <c r="V21" s="150"/>
      <c r="W21" s="150"/>
      <c r="X21" s="146">
        <v>757827</v>
      </c>
      <c r="Y21" s="152">
        <v>11134309.83</v>
      </c>
    </row>
    <row r="22" spans="1:25" x14ac:dyDescent="0.2">
      <c r="A22" s="67">
        <v>42552</v>
      </c>
      <c r="B22" s="143">
        <v>102340886</v>
      </c>
      <c r="C22" s="143">
        <v>73007623</v>
      </c>
      <c r="D22" s="144">
        <f t="shared" si="0"/>
        <v>0.71337689024892748</v>
      </c>
      <c r="E22" s="145">
        <f t="shared" si="1"/>
        <v>29333263</v>
      </c>
      <c r="F22" s="146">
        <v>63290961</v>
      </c>
      <c r="G22" s="143">
        <v>365.48</v>
      </c>
      <c r="H22" s="147">
        <v>130899</v>
      </c>
      <c r="I22" s="146">
        <f>6440936+1030550</f>
        <v>7471486</v>
      </c>
      <c r="J22" s="151">
        <f>8139301+67483+3418+4</f>
        <v>8210206</v>
      </c>
      <c r="K22" s="159"/>
      <c r="L22" s="146"/>
      <c r="M22" s="150"/>
      <c r="N22" s="146"/>
      <c r="O22" s="146"/>
      <c r="P22" s="146">
        <v>61126488.060000002</v>
      </c>
      <c r="Q22" s="146">
        <v>61126488.060000002</v>
      </c>
      <c r="R22" s="149">
        <f t="shared" si="6"/>
        <v>0</v>
      </c>
      <c r="S22" s="146">
        <v>95948107.140000001</v>
      </c>
      <c r="T22" s="146">
        <v>95948107.140000001</v>
      </c>
      <c r="U22" s="149">
        <f t="shared" ref="U22:U24" si="7">+S22-T22</f>
        <v>0</v>
      </c>
      <c r="V22" s="150"/>
      <c r="W22" s="150"/>
      <c r="X22" s="146">
        <v>0</v>
      </c>
      <c r="Y22" s="152">
        <v>6543034.21</v>
      </c>
    </row>
    <row r="23" spans="1:25" x14ac:dyDescent="0.2">
      <c r="A23" s="67">
        <v>42583</v>
      </c>
      <c r="B23" s="143">
        <v>110890182</v>
      </c>
      <c r="C23" s="143">
        <v>120483683</v>
      </c>
      <c r="D23" s="144">
        <f t="shared" si="0"/>
        <v>1.0865135292139749</v>
      </c>
      <c r="E23" s="145">
        <f t="shared" si="1"/>
        <v>-9593501</v>
      </c>
      <c r="F23" s="146">
        <v>56949642</v>
      </c>
      <c r="G23" s="143">
        <v>371.88</v>
      </c>
      <c r="H23" s="147">
        <v>131606</v>
      </c>
      <c r="I23" s="146">
        <v>7850689.7599999998</v>
      </c>
      <c r="J23" s="151"/>
      <c r="K23" s="149">
        <f t="shared" si="2"/>
        <v>55683351.240000002</v>
      </c>
      <c r="L23" s="146">
        <f t="shared" si="5"/>
        <v>0.24000000208616257</v>
      </c>
      <c r="M23" s="146">
        <v>55683351</v>
      </c>
      <c r="N23" s="146">
        <v>432909704</v>
      </c>
      <c r="O23" s="146"/>
      <c r="P23" s="146">
        <v>61126488.060000002</v>
      </c>
      <c r="Q23" s="146">
        <v>61126488.060000002</v>
      </c>
      <c r="R23" s="149">
        <f t="shared" si="6"/>
        <v>0</v>
      </c>
      <c r="S23" s="146">
        <v>95948107.140000001</v>
      </c>
      <c r="T23" s="146">
        <v>95948107.140000001</v>
      </c>
      <c r="U23" s="149">
        <f t="shared" si="7"/>
        <v>0</v>
      </c>
      <c r="V23" s="150"/>
      <c r="W23" s="150"/>
      <c r="X23" s="146">
        <v>1975393</v>
      </c>
      <c r="Y23" s="152">
        <v>9934737.1099999994</v>
      </c>
    </row>
    <row r="24" spans="1:25" x14ac:dyDescent="0.2">
      <c r="A24" s="67">
        <v>42614</v>
      </c>
      <c r="B24" s="143">
        <v>108797346</v>
      </c>
      <c r="C24" s="143">
        <v>116363115</v>
      </c>
      <c r="D24" s="144">
        <f t="shared" si="0"/>
        <v>1.0695400143308642</v>
      </c>
      <c r="E24" s="145">
        <f t="shared" si="1"/>
        <v>-7565769</v>
      </c>
      <c r="F24" s="146">
        <v>59513487</v>
      </c>
      <c r="G24" s="160">
        <v>380.82</v>
      </c>
      <c r="H24" s="147">
        <v>127360</v>
      </c>
      <c r="I24" s="146">
        <v>7735059.7999999998</v>
      </c>
      <c r="J24" s="151"/>
      <c r="K24" s="149">
        <f t="shared" si="2"/>
        <v>49114568.200000003</v>
      </c>
      <c r="L24" s="146">
        <f t="shared" si="5"/>
        <v>0.20000000298023224</v>
      </c>
      <c r="M24" s="146">
        <v>49114568</v>
      </c>
      <c r="N24" s="146">
        <v>488582865.12</v>
      </c>
      <c r="O24" s="146"/>
      <c r="P24" s="146">
        <v>61126487.060000002</v>
      </c>
      <c r="Q24" s="146">
        <v>61126487.060000002</v>
      </c>
      <c r="R24" s="149">
        <f t="shared" si="6"/>
        <v>0</v>
      </c>
      <c r="S24" s="146">
        <v>95948107.140000001</v>
      </c>
      <c r="T24" s="146">
        <v>95948107.140000001</v>
      </c>
      <c r="U24" s="149">
        <f t="shared" si="7"/>
        <v>0</v>
      </c>
      <c r="V24" s="150"/>
      <c r="W24" s="150"/>
      <c r="X24" s="146">
        <v>674101</v>
      </c>
      <c r="Y24" s="152">
        <v>8581388.7799999993</v>
      </c>
    </row>
    <row r="25" spans="1:25" x14ac:dyDescent="0.2">
      <c r="A25" s="67">
        <v>42644</v>
      </c>
      <c r="B25" s="143">
        <v>104921664</v>
      </c>
      <c r="C25" s="143">
        <v>98640885</v>
      </c>
      <c r="D25" s="144">
        <f t="shared" si="0"/>
        <v>0.94013839696633095</v>
      </c>
      <c r="E25" s="145">
        <f t="shared" si="1"/>
        <v>6280779</v>
      </c>
      <c r="F25" s="146">
        <v>53791577</v>
      </c>
      <c r="G25" s="160">
        <v>382</v>
      </c>
      <c r="H25" s="147">
        <v>131606</v>
      </c>
      <c r="I25" s="146">
        <v>7569229.6799999997</v>
      </c>
      <c r="J25" s="151"/>
      <c r="K25" s="149">
        <f t="shared" si="2"/>
        <v>37280078.32</v>
      </c>
      <c r="L25" s="146">
        <f t="shared" si="5"/>
        <v>0.32000000029802322</v>
      </c>
      <c r="M25" s="146">
        <v>37280078</v>
      </c>
      <c r="N25" s="146"/>
      <c r="O25" s="146"/>
      <c r="P25" s="146">
        <v>61126488.060000002</v>
      </c>
      <c r="Q25" s="146">
        <v>61126488.060000002</v>
      </c>
      <c r="R25" s="149">
        <f t="shared" si="6"/>
        <v>0</v>
      </c>
      <c r="S25" s="307">
        <v>287844322.42000002</v>
      </c>
      <c r="T25" s="307">
        <v>287844322.42000002</v>
      </c>
      <c r="U25" s="304">
        <f>+S25-T25</f>
        <v>0</v>
      </c>
      <c r="V25" s="150"/>
      <c r="W25" s="150"/>
      <c r="X25" s="146">
        <v>399883</v>
      </c>
      <c r="Y25" s="152">
        <v>8839666.5899999999</v>
      </c>
    </row>
    <row r="26" spans="1:25" x14ac:dyDescent="0.2">
      <c r="A26" s="67">
        <v>42675</v>
      </c>
      <c r="B26" s="143">
        <v>108727241</v>
      </c>
      <c r="C26" s="143">
        <v>95478842</v>
      </c>
      <c r="D26" s="144">
        <f t="shared" si="0"/>
        <v>0.87815014086488219</v>
      </c>
      <c r="E26" s="145">
        <f t="shared" si="1"/>
        <v>13248399</v>
      </c>
      <c r="F26" s="146">
        <v>51378489</v>
      </c>
      <c r="G26" s="160">
        <v>378</v>
      </c>
      <c r="H26" s="147">
        <v>123893</v>
      </c>
      <c r="I26" s="146">
        <v>7773429.1200000001</v>
      </c>
      <c r="J26" s="151"/>
      <c r="K26" s="149">
        <f t="shared" si="2"/>
        <v>36326923.880000003</v>
      </c>
      <c r="L26" s="146">
        <f t="shared" si="5"/>
        <v>-0.11999999731779099</v>
      </c>
      <c r="M26" s="146">
        <v>36326924</v>
      </c>
      <c r="N26" s="146">
        <v>612593663</v>
      </c>
      <c r="O26" s="146"/>
      <c r="P26" s="155">
        <v>61126928.130000003</v>
      </c>
      <c r="Q26" s="155">
        <v>61126928.130000003</v>
      </c>
      <c r="R26" s="149">
        <f t="shared" si="6"/>
        <v>0</v>
      </c>
      <c r="S26" s="309"/>
      <c r="T26" s="309"/>
      <c r="U26" s="305"/>
      <c r="V26" s="150"/>
      <c r="W26" s="150"/>
      <c r="X26" s="146">
        <v>410991</v>
      </c>
      <c r="Y26" s="152">
        <v>7628955.0999999996</v>
      </c>
    </row>
    <row r="27" spans="1:25" x14ac:dyDescent="0.2">
      <c r="A27" s="67">
        <v>42705</v>
      </c>
      <c r="B27" s="143">
        <v>104528064</v>
      </c>
      <c r="C27" s="143">
        <v>115282118</v>
      </c>
      <c r="D27" s="144">
        <f t="shared" si="0"/>
        <v>1.1028819781833901</v>
      </c>
      <c r="E27" s="145">
        <f t="shared" si="1"/>
        <v>-10754054</v>
      </c>
      <c r="F27" s="146">
        <v>53781646</v>
      </c>
      <c r="G27" s="160">
        <v>382</v>
      </c>
      <c r="H27" s="147">
        <v>129394</v>
      </c>
      <c r="I27" s="146">
        <v>7587365.1200000001</v>
      </c>
      <c r="J27" s="151"/>
      <c r="K27" s="149">
        <f t="shared" si="2"/>
        <v>53913106.880000003</v>
      </c>
      <c r="L27" s="146">
        <f t="shared" si="5"/>
        <v>-0.11999999731779099</v>
      </c>
      <c r="M27" s="146">
        <v>53913107</v>
      </c>
      <c r="N27" s="146">
        <v>240881.69</v>
      </c>
      <c r="O27" s="146"/>
      <c r="P27" s="155">
        <v>61126928.130000003</v>
      </c>
      <c r="Q27" s="155">
        <v>61126928.130000003</v>
      </c>
      <c r="R27" s="149">
        <f t="shared" si="6"/>
        <v>0</v>
      </c>
      <c r="S27" s="308"/>
      <c r="T27" s="308"/>
      <c r="U27" s="306"/>
      <c r="V27" s="150"/>
      <c r="W27" s="150"/>
      <c r="X27" s="146">
        <v>410991</v>
      </c>
      <c r="Y27" s="152">
        <v>7642829.4199999999</v>
      </c>
    </row>
    <row r="28" spans="1:25" x14ac:dyDescent="0.2">
      <c r="A28" s="67">
        <v>42736</v>
      </c>
      <c r="B28" s="143">
        <v>102983820</v>
      </c>
      <c r="C28" s="143">
        <v>106688223</v>
      </c>
      <c r="D28" s="144">
        <f t="shared" si="0"/>
        <v>1.0359707282173063</v>
      </c>
      <c r="E28" s="145">
        <f t="shared" si="1"/>
        <v>-3704403</v>
      </c>
      <c r="F28" s="146">
        <v>54990323</v>
      </c>
      <c r="G28" s="160">
        <v>392</v>
      </c>
      <c r="H28" s="147">
        <v>129042</v>
      </c>
      <c r="I28" s="146">
        <v>0</v>
      </c>
      <c r="J28" s="151"/>
      <c r="K28" s="149">
        <f t="shared" si="2"/>
        <v>51697900</v>
      </c>
      <c r="L28" s="146">
        <f t="shared" si="5"/>
        <v>0</v>
      </c>
      <c r="M28" s="146">
        <v>51697900</v>
      </c>
      <c r="N28" s="146">
        <v>220492350</v>
      </c>
      <c r="O28" s="146"/>
      <c r="P28" s="146">
        <v>61126928.130000003</v>
      </c>
      <c r="Q28" s="146">
        <v>61126928.130000003</v>
      </c>
      <c r="R28" s="149">
        <f t="shared" si="6"/>
        <v>0</v>
      </c>
      <c r="S28" s="146">
        <v>96453525.400000006</v>
      </c>
      <c r="T28" s="146">
        <v>96453525.400000006</v>
      </c>
      <c r="U28" s="149">
        <f>+S28-T28</f>
        <v>0</v>
      </c>
      <c r="V28" s="150"/>
      <c r="W28" s="150"/>
      <c r="X28" s="146">
        <v>862126</v>
      </c>
      <c r="Y28" s="152">
        <v>8694181.9199999999</v>
      </c>
    </row>
    <row r="29" spans="1:25" x14ac:dyDescent="0.2">
      <c r="A29" s="67">
        <v>42767</v>
      </c>
      <c r="B29" s="143">
        <v>101827288</v>
      </c>
      <c r="C29" s="143">
        <v>108704147</v>
      </c>
      <c r="D29" s="144">
        <f t="shared" si="0"/>
        <v>1.0675345394645097</v>
      </c>
      <c r="E29" s="145">
        <f t="shared" si="1"/>
        <v>-6876859</v>
      </c>
      <c r="F29" s="146">
        <v>72219753</v>
      </c>
      <c r="G29" s="160">
        <v>374.4</v>
      </c>
      <c r="H29" s="147">
        <v>110701</v>
      </c>
      <c r="I29" s="146">
        <v>0</v>
      </c>
      <c r="J29" s="151"/>
      <c r="K29" s="149">
        <f t="shared" si="2"/>
        <v>36484394</v>
      </c>
      <c r="L29" s="146">
        <f t="shared" si="5"/>
        <v>0</v>
      </c>
      <c r="M29" s="146">
        <v>36484394</v>
      </c>
      <c r="N29" s="146"/>
      <c r="O29" s="146"/>
      <c r="P29" s="146">
        <v>64641725.219999999</v>
      </c>
      <c r="Q29" s="146">
        <v>64641725.219999999</v>
      </c>
      <c r="R29" s="149">
        <f t="shared" si="6"/>
        <v>0</v>
      </c>
      <c r="S29" s="146">
        <v>101465861.53</v>
      </c>
      <c r="T29" s="146">
        <v>101465861.53</v>
      </c>
      <c r="U29" s="149">
        <f t="shared" ref="U29:U88" si="8">+S29-T29</f>
        <v>0</v>
      </c>
      <c r="V29" s="150"/>
      <c r="W29" s="146">
        <v>616260185.25999999</v>
      </c>
      <c r="X29" s="146">
        <v>451135</v>
      </c>
      <c r="Y29" s="152">
        <v>4348825.72</v>
      </c>
    </row>
    <row r="30" spans="1:25" x14ac:dyDescent="0.2">
      <c r="A30" s="67">
        <v>42795</v>
      </c>
      <c r="B30" s="143">
        <v>104595274</v>
      </c>
      <c r="C30" s="143">
        <v>95982927</v>
      </c>
      <c r="D30" s="144">
        <f t="shared" si="0"/>
        <v>0.91766026637111731</v>
      </c>
      <c r="E30" s="145">
        <f t="shared" si="1"/>
        <v>8612347</v>
      </c>
      <c r="F30" s="146">
        <v>26037400</v>
      </c>
      <c r="G30" s="160">
        <v>387.83</v>
      </c>
      <c r="H30" s="147">
        <v>123287.25</v>
      </c>
      <c r="I30" s="146">
        <v>0</v>
      </c>
      <c r="J30" s="151"/>
      <c r="K30" s="149">
        <f t="shared" si="2"/>
        <v>69945527</v>
      </c>
      <c r="L30" s="146">
        <f t="shared" si="5"/>
        <v>0</v>
      </c>
      <c r="M30" s="146">
        <v>69945527</v>
      </c>
      <c r="N30" s="146">
        <v>170986586</v>
      </c>
      <c r="O30" s="146"/>
      <c r="P30" s="146">
        <v>64641725.220000006</v>
      </c>
      <c r="Q30" s="146">
        <v>64641725.220000006</v>
      </c>
      <c r="R30" s="149">
        <f t="shared" si="6"/>
        <v>0</v>
      </c>
      <c r="S30" s="146">
        <v>101465861.53</v>
      </c>
      <c r="T30" s="146">
        <v>101465861.53</v>
      </c>
      <c r="U30" s="149">
        <f t="shared" si="8"/>
        <v>0</v>
      </c>
      <c r="V30" s="150"/>
      <c r="W30" s="150"/>
      <c r="X30" s="146">
        <v>451135</v>
      </c>
      <c r="Y30" s="152">
        <v>11855543.5</v>
      </c>
    </row>
    <row r="31" spans="1:25" x14ac:dyDescent="0.2">
      <c r="A31" s="67">
        <v>42826</v>
      </c>
      <c r="B31" s="143">
        <v>103063815</v>
      </c>
      <c r="C31" s="143">
        <v>47535720</v>
      </c>
      <c r="D31" s="144">
        <f t="shared" si="0"/>
        <v>0.46122608599342069</v>
      </c>
      <c r="E31" s="145">
        <f t="shared" si="1"/>
        <v>55528095</v>
      </c>
      <c r="F31" s="146">
        <f>49212419+4126212</f>
        <v>53338631</v>
      </c>
      <c r="G31" s="160">
        <v>400.25</v>
      </c>
      <c r="H31" s="147">
        <v>122728.34</v>
      </c>
      <c r="I31" s="146">
        <v>0</v>
      </c>
      <c r="J31" s="151">
        <f>35616+3486-3</f>
        <v>39099</v>
      </c>
      <c r="K31" s="159"/>
      <c r="L31" s="146"/>
      <c r="M31" s="150"/>
      <c r="N31" s="146">
        <v>110633355</v>
      </c>
      <c r="O31" s="146"/>
      <c r="P31" s="146">
        <v>64641624.210000001</v>
      </c>
      <c r="Q31" s="146">
        <v>64641624.210000001</v>
      </c>
      <c r="R31" s="149">
        <f t="shared" si="6"/>
        <v>0</v>
      </c>
      <c r="S31" s="146">
        <v>101465861.53</v>
      </c>
      <c r="T31" s="146">
        <v>101465861.53</v>
      </c>
      <c r="U31" s="149">
        <f t="shared" si="8"/>
        <v>0</v>
      </c>
      <c r="V31" s="150"/>
      <c r="W31" s="150"/>
      <c r="X31" s="146">
        <v>0</v>
      </c>
      <c r="Y31" s="152">
        <v>4377450.07</v>
      </c>
    </row>
    <row r="32" spans="1:25" x14ac:dyDescent="0.2">
      <c r="A32" s="67">
        <v>42856</v>
      </c>
      <c r="B32" s="143">
        <v>111813934</v>
      </c>
      <c r="C32" s="143">
        <v>154894815</v>
      </c>
      <c r="D32" s="144">
        <f t="shared" si="0"/>
        <v>1.3852908082100035</v>
      </c>
      <c r="E32" s="145">
        <f t="shared" si="1"/>
        <v>-43080881</v>
      </c>
      <c r="F32" s="146">
        <v>62049922</v>
      </c>
      <c r="G32" s="160">
        <v>400.15</v>
      </c>
      <c r="H32" s="147">
        <v>127015.25</v>
      </c>
      <c r="I32" s="146">
        <v>0</v>
      </c>
      <c r="J32" s="151"/>
      <c r="K32" s="149">
        <f t="shared" si="2"/>
        <v>92844893</v>
      </c>
      <c r="L32" s="146">
        <f t="shared" si="5"/>
        <v>0</v>
      </c>
      <c r="M32" s="146">
        <v>92844893</v>
      </c>
      <c r="N32" s="146">
        <v>86621820</v>
      </c>
      <c r="O32" s="146"/>
      <c r="P32" s="146">
        <v>64641726.220000006</v>
      </c>
      <c r="Q32" s="146">
        <v>64641726.220000006</v>
      </c>
      <c r="R32" s="149">
        <f t="shared" si="6"/>
        <v>0</v>
      </c>
      <c r="S32" s="146">
        <v>101465860.53</v>
      </c>
      <c r="T32" s="146">
        <v>101465860.53</v>
      </c>
      <c r="U32" s="149">
        <f t="shared" si="8"/>
        <v>0</v>
      </c>
      <c r="V32" s="150"/>
      <c r="W32" s="150"/>
      <c r="X32" s="146">
        <v>451135</v>
      </c>
      <c r="Y32" s="152">
        <v>6196733.0599999996</v>
      </c>
    </row>
    <row r="33" spans="1:25" x14ac:dyDescent="0.2">
      <c r="A33" s="67">
        <v>42887</v>
      </c>
      <c r="B33" s="143">
        <v>124021759</v>
      </c>
      <c r="C33" s="143">
        <v>112070793</v>
      </c>
      <c r="D33" s="144">
        <f t="shared" si="0"/>
        <v>0.90363815110862922</v>
      </c>
      <c r="E33" s="145">
        <f t="shared" si="1"/>
        <v>11950966</v>
      </c>
      <c r="F33" s="146">
        <v>51786694</v>
      </c>
      <c r="G33" s="160">
        <v>394.16</v>
      </c>
      <c r="H33" s="147">
        <v>122918.34</v>
      </c>
      <c r="I33" s="146">
        <v>0</v>
      </c>
      <c r="J33" s="151"/>
      <c r="K33" s="149">
        <f t="shared" si="2"/>
        <v>60284099</v>
      </c>
      <c r="L33" s="146">
        <f t="shared" si="5"/>
        <v>0</v>
      </c>
      <c r="M33" s="146">
        <v>60284099</v>
      </c>
      <c r="N33" s="146"/>
      <c r="O33" s="146"/>
      <c r="P33" s="146">
        <v>64641725.219999999</v>
      </c>
      <c r="Q33" s="146">
        <v>64641725.219999999</v>
      </c>
      <c r="R33" s="149">
        <f t="shared" si="6"/>
        <v>0</v>
      </c>
      <c r="S33" s="146">
        <v>101465862.53</v>
      </c>
      <c r="T33" s="146">
        <v>101465862.53</v>
      </c>
      <c r="U33" s="149">
        <f t="shared" si="8"/>
        <v>0</v>
      </c>
      <c r="V33" s="150"/>
      <c r="W33" s="150"/>
      <c r="X33" s="146">
        <v>890076</v>
      </c>
      <c r="Y33" s="152">
        <v>7191822.0099999998</v>
      </c>
    </row>
    <row r="34" spans="1:25" x14ac:dyDescent="0.2">
      <c r="A34" s="67">
        <v>42917</v>
      </c>
      <c r="B34" s="143">
        <v>124104170</v>
      </c>
      <c r="C34" s="143">
        <v>127037131</v>
      </c>
      <c r="D34" s="144">
        <f t="shared" si="0"/>
        <v>1.0236330576160333</v>
      </c>
      <c r="E34" s="145">
        <f t="shared" si="1"/>
        <v>-2932961</v>
      </c>
      <c r="F34" s="146">
        <v>53355472</v>
      </c>
      <c r="G34" s="160">
        <v>391.6</v>
      </c>
      <c r="H34" s="147">
        <v>127003</v>
      </c>
      <c r="I34" s="146">
        <v>0</v>
      </c>
      <c r="J34" s="151"/>
      <c r="K34" s="149">
        <f t="shared" si="2"/>
        <v>73681659</v>
      </c>
      <c r="L34" s="146">
        <f t="shared" si="5"/>
        <v>0</v>
      </c>
      <c r="M34" s="146">
        <v>73681659</v>
      </c>
      <c r="N34" s="146">
        <v>243320252</v>
      </c>
      <c r="O34" s="146"/>
      <c r="P34" s="146">
        <v>64641725.220000006</v>
      </c>
      <c r="Q34" s="146">
        <v>64641725.220000006</v>
      </c>
      <c r="R34" s="149">
        <f t="shared" si="6"/>
        <v>0</v>
      </c>
      <c r="S34" s="146">
        <v>101465861.53</v>
      </c>
      <c r="T34" s="146">
        <v>101465861.53</v>
      </c>
      <c r="U34" s="149">
        <f t="shared" si="8"/>
        <v>0</v>
      </c>
      <c r="V34" s="150"/>
      <c r="W34" s="150"/>
      <c r="X34" s="146">
        <v>465871</v>
      </c>
      <c r="Y34" s="152">
        <v>7703696.6600000001</v>
      </c>
    </row>
    <row r="35" spans="1:25" x14ac:dyDescent="0.2">
      <c r="A35" s="67">
        <v>42948</v>
      </c>
      <c r="B35" s="143">
        <v>119623504</v>
      </c>
      <c r="C35" s="143">
        <v>132807008</v>
      </c>
      <c r="D35" s="144">
        <f t="shared" si="0"/>
        <v>1.1102083082267846</v>
      </c>
      <c r="E35" s="145">
        <f t="shared" si="1"/>
        <v>-13183504</v>
      </c>
      <c r="F35" s="146">
        <v>68617541</v>
      </c>
      <c r="G35" s="160">
        <v>396.97</v>
      </c>
      <c r="H35" s="147">
        <v>127003.25</v>
      </c>
      <c r="I35" s="146">
        <v>0</v>
      </c>
      <c r="J35" s="151"/>
      <c r="K35" s="149">
        <f t="shared" si="2"/>
        <v>64189467</v>
      </c>
      <c r="L35" s="146">
        <f t="shared" si="5"/>
        <v>0</v>
      </c>
      <c r="M35" s="146">
        <v>64189467</v>
      </c>
      <c r="N35" s="146">
        <v>65526068</v>
      </c>
      <c r="O35" s="146"/>
      <c r="P35" s="146">
        <v>64641725.220000006</v>
      </c>
      <c r="Q35" s="146">
        <v>64641725.220000006</v>
      </c>
      <c r="R35" s="149">
        <f t="shared" si="6"/>
        <v>0</v>
      </c>
      <c r="S35" s="146">
        <v>101465861.53</v>
      </c>
      <c r="T35" s="146">
        <v>101465861.53</v>
      </c>
      <c r="U35" s="149">
        <f t="shared" si="8"/>
        <v>0</v>
      </c>
      <c r="V35" s="150"/>
      <c r="W35" s="150"/>
      <c r="X35" s="146">
        <v>438941</v>
      </c>
      <c r="Y35" s="152">
        <v>5313086</v>
      </c>
    </row>
    <row r="36" spans="1:25" x14ac:dyDescent="0.2">
      <c r="A36" s="67">
        <v>42979</v>
      </c>
      <c r="B36" s="143">
        <v>128202750</v>
      </c>
      <c r="C36" s="143">
        <v>107357264</v>
      </c>
      <c r="D36" s="144">
        <f t="shared" si="0"/>
        <v>0.83740219301068031</v>
      </c>
      <c r="E36" s="145">
        <f t="shared" si="1"/>
        <v>20845486</v>
      </c>
      <c r="F36" s="146">
        <v>55928369</v>
      </c>
      <c r="G36" s="160">
        <v>405</v>
      </c>
      <c r="H36" s="147">
        <v>122906.34</v>
      </c>
      <c r="I36" s="146">
        <v>0</v>
      </c>
      <c r="J36" s="151"/>
      <c r="K36" s="149">
        <f t="shared" si="2"/>
        <v>51428895</v>
      </c>
      <c r="L36" s="146">
        <f t="shared" si="5"/>
        <v>0</v>
      </c>
      <c r="M36" s="146">
        <v>51428895</v>
      </c>
      <c r="N36" s="146">
        <v>85326309</v>
      </c>
      <c r="O36" s="146"/>
      <c r="P36" s="146">
        <v>64641728.230000004</v>
      </c>
      <c r="Q36" s="146">
        <v>64641728.230000004</v>
      </c>
      <c r="R36" s="149">
        <f t="shared" si="6"/>
        <v>0</v>
      </c>
      <c r="S36" s="146">
        <v>101465861.53</v>
      </c>
      <c r="T36" s="146">
        <v>101465861.53</v>
      </c>
      <c r="U36" s="149">
        <f t="shared" si="8"/>
        <v>0</v>
      </c>
      <c r="V36" s="150"/>
      <c r="W36" s="150"/>
      <c r="X36" s="146">
        <v>438941</v>
      </c>
      <c r="Y36" s="152">
        <v>11122095.23</v>
      </c>
    </row>
    <row r="37" spans="1:25" x14ac:dyDescent="0.2">
      <c r="A37" s="67">
        <v>43009</v>
      </c>
      <c r="B37" s="143">
        <v>128067660</v>
      </c>
      <c r="C37" s="143">
        <v>124996037</v>
      </c>
      <c r="D37" s="144">
        <f t="shared" si="0"/>
        <v>0.97601562330411906</v>
      </c>
      <c r="E37" s="145">
        <f t="shared" si="1"/>
        <v>3071623</v>
      </c>
      <c r="F37" s="146">
        <v>54913445</v>
      </c>
      <c r="G37" s="160">
        <v>397.5</v>
      </c>
      <c r="H37" s="147">
        <v>127150.5</v>
      </c>
      <c r="I37" s="146">
        <v>0</v>
      </c>
      <c r="J37" s="151"/>
      <c r="K37" s="149">
        <f t="shared" si="2"/>
        <v>70082592</v>
      </c>
      <c r="L37" s="146">
        <f t="shared" si="5"/>
        <v>0</v>
      </c>
      <c r="M37" s="146">
        <v>70082592</v>
      </c>
      <c r="N37" s="146">
        <v>85326644</v>
      </c>
      <c r="O37" s="146"/>
      <c r="P37" s="146">
        <v>64641725.219999999</v>
      </c>
      <c r="Q37" s="146">
        <v>64641725.219999999</v>
      </c>
      <c r="R37" s="149">
        <f t="shared" si="6"/>
        <v>0</v>
      </c>
      <c r="S37" s="146">
        <v>101465861.53</v>
      </c>
      <c r="T37" s="146">
        <v>101465861.53</v>
      </c>
      <c r="U37" s="149">
        <f t="shared" si="8"/>
        <v>0</v>
      </c>
      <c r="V37" s="150"/>
      <c r="W37" s="150"/>
      <c r="X37" s="146">
        <v>438941</v>
      </c>
      <c r="Y37" s="152">
        <v>8557109.1300000008</v>
      </c>
    </row>
    <row r="38" spans="1:25" x14ac:dyDescent="0.2">
      <c r="A38" s="67">
        <v>43040</v>
      </c>
      <c r="B38" s="143">
        <v>125866419</v>
      </c>
      <c r="C38" s="143">
        <v>136739218</v>
      </c>
      <c r="D38" s="144">
        <f t="shared" si="0"/>
        <v>1.0863836366076325</v>
      </c>
      <c r="E38" s="145">
        <f t="shared" si="1"/>
        <v>-10872799</v>
      </c>
      <c r="F38" s="146">
        <v>55147888</v>
      </c>
      <c r="G38" s="160">
        <v>396</v>
      </c>
      <c r="H38" s="147">
        <v>123082</v>
      </c>
      <c r="I38" s="146">
        <v>0</v>
      </c>
      <c r="J38" s="151"/>
      <c r="K38" s="149">
        <f t="shared" si="2"/>
        <v>81591330</v>
      </c>
      <c r="L38" s="146">
        <f t="shared" si="5"/>
        <v>0</v>
      </c>
      <c r="M38" s="146">
        <v>81591330</v>
      </c>
      <c r="N38" s="146"/>
      <c r="O38" s="146"/>
      <c r="P38" s="146">
        <v>64641725.220000006</v>
      </c>
      <c r="Q38" s="146">
        <v>64641725.220000006</v>
      </c>
      <c r="R38" s="149">
        <f t="shared" si="6"/>
        <v>0</v>
      </c>
      <c r="S38" s="146">
        <v>101465861.53</v>
      </c>
      <c r="T38" s="146">
        <v>101465861.53</v>
      </c>
      <c r="U38" s="149">
        <f>+S38-T38</f>
        <v>0</v>
      </c>
      <c r="V38" s="150"/>
      <c r="W38" s="150"/>
      <c r="X38" s="146">
        <v>438941</v>
      </c>
      <c r="Y38" s="152">
        <v>9272835.6999999993</v>
      </c>
    </row>
    <row r="39" spans="1:25" x14ac:dyDescent="0.2">
      <c r="A39" s="67">
        <v>43070</v>
      </c>
      <c r="B39" s="143">
        <v>128403778</v>
      </c>
      <c r="C39" s="143">
        <v>120923253</v>
      </c>
      <c r="D39" s="144">
        <f t="shared" si="0"/>
        <v>0.94174217366096502</v>
      </c>
      <c r="E39" s="145">
        <f t="shared" si="1"/>
        <v>7480525</v>
      </c>
      <c r="F39" s="146">
        <v>58438444</v>
      </c>
      <c r="G39" s="160">
        <v>487.17</v>
      </c>
      <c r="H39" s="147">
        <v>128017.25</v>
      </c>
      <c r="I39" s="146">
        <v>0</v>
      </c>
      <c r="J39" s="151"/>
      <c r="K39" s="149">
        <f t="shared" si="2"/>
        <v>62484809</v>
      </c>
      <c r="L39" s="146">
        <f t="shared" si="5"/>
        <v>0</v>
      </c>
      <c r="M39" s="146">
        <v>62484809</v>
      </c>
      <c r="N39" s="146">
        <v>183945731</v>
      </c>
      <c r="O39" s="146"/>
      <c r="P39" s="146">
        <v>64641725.220000006</v>
      </c>
      <c r="Q39" s="146">
        <v>64641725.220000006</v>
      </c>
      <c r="R39" s="149">
        <f t="shared" si="6"/>
        <v>0</v>
      </c>
      <c r="S39" s="146">
        <v>101465861.53</v>
      </c>
      <c r="T39" s="146">
        <v>101465861.53</v>
      </c>
      <c r="U39" s="149">
        <f t="shared" si="8"/>
        <v>0</v>
      </c>
      <c r="V39" s="150"/>
      <c r="W39" s="150"/>
      <c r="X39" s="146">
        <v>0</v>
      </c>
      <c r="Y39" s="152">
        <v>8699904.7799999993</v>
      </c>
    </row>
    <row r="40" spans="1:25" x14ac:dyDescent="0.2">
      <c r="A40" s="67">
        <v>43101</v>
      </c>
      <c r="B40" s="143">
        <v>134309806</v>
      </c>
      <c r="C40" s="143">
        <v>136760871</v>
      </c>
      <c r="D40" s="144">
        <f t="shared" si="0"/>
        <v>1.0182493376544672</v>
      </c>
      <c r="E40" s="145">
        <f t="shared" si="1"/>
        <v>-2451065</v>
      </c>
      <c r="F40" s="146">
        <v>55731636</v>
      </c>
      <c r="G40" s="160">
        <v>394.13</v>
      </c>
      <c r="H40" s="147">
        <v>128134.25</v>
      </c>
      <c r="I40" s="146">
        <v>0</v>
      </c>
      <c r="J40" s="151"/>
      <c r="K40" s="149">
        <f t="shared" si="2"/>
        <v>81029235</v>
      </c>
      <c r="L40" s="146">
        <f t="shared" si="5"/>
        <v>0</v>
      </c>
      <c r="M40" s="146">
        <v>81029235</v>
      </c>
      <c r="N40" s="146">
        <v>96541368</v>
      </c>
      <c r="O40" s="146"/>
      <c r="P40" s="155">
        <v>49860332.579999998</v>
      </c>
      <c r="Q40" s="155">
        <v>49860332.579999998</v>
      </c>
      <c r="R40" s="149">
        <f t="shared" si="6"/>
        <v>0</v>
      </c>
      <c r="S40" s="146">
        <v>101225291.08</v>
      </c>
      <c r="T40" s="146">
        <v>101225291.08</v>
      </c>
      <c r="U40" s="149">
        <f t="shared" si="8"/>
        <v>0</v>
      </c>
      <c r="V40" s="150"/>
      <c r="W40" s="146">
        <v>496539058.81999999</v>
      </c>
      <c r="X40" s="146">
        <v>903780</v>
      </c>
      <c r="Y40" s="152">
        <v>9847262.8399999999</v>
      </c>
    </row>
    <row r="41" spans="1:25" x14ac:dyDescent="0.2">
      <c r="A41" s="67">
        <v>43132</v>
      </c>
      <c r="B41" s="143">
        <v>129026564</v>
      </c>
      <c r="C41" s="143">
        <v>123264870</v>
      </c>
      <c r="D41" s="144">
        <f t="shared" si="0"/>
        <v>0.95534490091513247</v>
      </c>
      <c r="E41" s="145">
        <f t="shared" si="1"/>
        <v>5761694</v>
      </c>
      <c r="F41" s="146">
        <v>16789888</v>
      </c>
      <c r="G41" s="160">
        <v>404</v>
      </c>
      <c r="H41" s="147">
        <v>115733</v>
      </c>
      <c r="I41" s="146">
        <v>0</v>
      </c>
      <c r="J41" s="151"/>
      <c r="K41" s="149">
        <f t="shared" si="2"/>
        <v>106474982</v>
      </c>
      <c r="L41" s="146">
        <f t="shared" si="5"/>
        <v>0</v>
      </c>
      <c r="M41" s="146">
        <v>106474982</v>
      </c>
      <c r="N41" s="146"/>
      <c r="O41" s="146"/>
      <c r="P41" s="146">
        <v>64641725.219999999</v>
      </c>
      <c r="Q41" s="146">
        <v>64641725.219999999</v>
      </c>
      <c r="R41" s="149">
        <f t="shared" si="6"/>
        <v>0</v>
      </c>
      <c r="S41" s="146">
        <v>101465861.53</v>
      </c>
      <c r="T41" s="146">
        <v>101465861.53</v>
      </c>
      <c r="U41" s="149">
        <f t="shared" si="8"/>
        <v>0</v>
      </c>
      <c r="V41" s="150"/>
      <c r="W41" s="150"/>
      <c r="X41" s="146">
        <v>0</v>
      </c>
      <c r="Y41" s="152">
        <v>10177256.9</v>
      </c>
    </row>
    <row r="42" spans="1:25" x14ac:dyDescent="0.2">
      <c r="A42" s="67">
        <v>43160</v>
      </c>
      <c r="B42" s="143">
        <v>127557099</v>
      </c>
      <c r="C42" s="143">
        <v>102521696</v>
      </c>
      <c r="D42" s="144">
        <f t="shared" si="0"/>
        <v>0.80373179386903426</v>
      </c>
      <c r="E42" s="145">
        <f t="shared" si="1"/>
        <v>25035403</v>
      </c>
      <c r="F42" s="146">
        <v>53480996</v>
      </c>
      <c r="G42" s="160">
        <v>403</v>
      </c>
      <c r="H42" s="147">
        <v>128134</v>
      </c>
      <c r="I42" s="146">
        <v>0</v>
      </c>
      <c r="J42" s="151"/>
      <c r="K42" s="149">
        <f t="shared" si="2"/>
        <v>49040700</v>
      </c>
      <c r="L42" s="146">
        <f>+K42-M42</f>
        <v>0</v>
      </c>
      <c r="M42" s="146">
        <v>49040700</v>
      </c>
      <c r="N42" s="146">
        <v>109383363</v>
      </c>
      <c r="O42" s="146"/>
      <c r="P42" s="146">
        <v>67285571.200000003</v>
      </c>
      <c r="Q42" s="146">
        <v>67285571.200000003</v>
      </c>
      <c r="R42" s="149">
        <f t="shared" si="6"/>
        <v>0</v>
      </c>
      <c r="S42" s="146">
        <v>105615815.67</v>
      </c>
      <c r="T42" s="146">
        <v>105615815.67</v>
      </c>
      <c r="U42" s="149">
        <f t="shared" si="8"/>
        <v>0</v>
      </c>
      <c r="V42" s="150"/>
      <c r="W42" s="150"/>
      <c r="X42" s="146">
        <v>464839</v>
      </c>
      <c r="Y42" s="152">
        <v>8817072.370000001</v>
      </c>
    </row>
    <row r="43" spans="1:25" x14ac:dyDescent="0.2">
      <c r="A43" s="67">
        <v>43191</v>
      </c>
      <c r="B43" s="143">
        <v>133220961</v>
      </c>
      <c r="C43" s="143">
        <v>115831647</v>
      </c>
      <c r="D43" s="144">
        <f t="shared" si="0"/>
        <v>0.86947013540909679</v>
      </c>
      <c r="E43" s="145">
        <f t="shared" si="1"/>
        <v>17389314</v>
      </c>
      <c r="F43" s="146">
        <v>61288793</v>
      </c>
      <c r="G43" s="160">
        <v>420</v>
      </c>
      <c r="H43" s="147">
        <v>123988</v>
      </c>
      <c r="I43" s="146">
        <v>0</v>
      </c>
      <c r="J43" s="151"/>
      <c r="K43" s="149">
        <f t="shared" si="2"/>
        <v>54542854</v>
      </c>
      <c r="L43" s="146">
        <f t="shared" si="5"/>
        <v>0</v>
      </c>
      <c r="M43" s="146">
        <v>54542854</v>
      </c>
      <c r="N43" s="146">
        <v>250024857</v>
      </c>
      <c r="O43" s="146"/>
      <c r="P43" s="146">
        <v>67285571.200000003</v>
      </c>
      <c r="Q43" s="146">
        <v>67285571.200000003</v>
      </c>
      <c r="R43" s="149">
        <f t="shared" si="6"/>
        <v>0</v>
      </c>
      <c r="S43" s="146">
        <v>105615815.66999999</v>
      </c>
      <c r="T43" s="146">
        <v>105615815.66999999</v>
      </c>
      <c r="U43" s="149">
        <f t="shared" si="8"/>
        <v>0</v>
      </c>
      <c r="V43" s="150"/>
      <c r="W43" s="150"/>
      <c r="X43" s="146">
        <v>464839</v>
      </c>
      <c r="Y43" s="152">
        <v>10218665.189999999</v>
      </c>
    </row>
    <row r="44" spans="1:25" x14ac:dyDescent="0.2">
      <c r="A44" s="67">
        <v>43221</v>
      </c>
      <c r="B44" s="143">
        <v>128341524</v>
      </c>
      <c r="C44" s="143">
        <v>150356613</v>
      </c>
      <c r="D44" s="144">
        <f t="shared" si="0"/>
        <v>1.1715352000962682</v>
      </c>
      <c r="E44" s="145">
        <f t="shared" si="1"/>
        <v>-22015089</v>
      </c>
      <c r="F44" s="146">
        <v>60936368</v>
      </c>
      <c r="G44" s="160">
        <v>417</v>
      </c>
      <c r="H44" s="147">
        <v>128149</v>
      </c>
      <c r="I44" s="146">
        <v>0</v>
      </c>
      <c r="J44" s="151"/>
      <c r="K44" s="149">
        <f t="shared" si="2"/>
        <v>89420245</v>
      </c>
      <c r="L44" s="146">
        <f t="shared" si="5"/>
        <v>0</v>
      </c>
      <c r="M44" s="146">
        <v>89420245</v>
      </c>
      <c r="N44" s="146">
        <v>139596232</v>
      </c>
      <c r="O44" s="146"/>
      <c r="P44" s="146">
        <v>67285571.200000003</v>
      </c>
      <c r="Q44" s="146">
        <v>67285571.200000003</v>
      </c>
      <c r="R44" s="149">
        <f t="shared" si="6"/>
        <v>0</v>
      </c>
      <c r="S44" s="146">
        <v>105615815.67</v>
      </c>
      <c r="T44" s="146">
        <v>105615815.67</v>
      </c>
      <c r="U44" s="149">
        <f t="shared" si="8"/>
        <v>0</v>
      </c>
      <c r="V44" s="150"/>
      <c r="W44" s="150"/>
      <c r="X44" s="146">
        <v>929678</v>
      </c>
      <c r="Y44" s="152">
        <v>10359713.58</v>
      </c>
    </row>
    <row r="45" spans="1:25" x14ac:dyDescent="0.2">
      <c r="A45" s="67">
        <v>43252</v>
      </c>
      <c r="B45" s="143">
        <v>132224783</v>
      </c>
      <c r="C45" s="143">
        <v>130878023</v>
      </c>
      <c r="D45" s="144">
        <f t="shared" si="0"/>
        <v>0.98981461743068244</v>
      </c>
      <c r="E45" s="145">
        <f t="shared" si="1"/>
        <v>1346760</v>
      </c>
      <c r="F45" s="146">
        <v>59827483</v>
      </c>
      <c r="G45" s="160">
        <v>415.34</v>
      </c>
      <c r="H45" s="147">
        <v>124010</v>
      </c>
      <c r="I45" s="146">
        <v>0</v>
      </c>
      <c r="J45" s="151"/>
      <c r="K45" s="149">
        <f t="shared" si="2"/>
        <v>71050540</v>
      </c>
      <c r="L45" s="146">
        <f t="shared" si="5"/>
        <v>0</v>
      </c>
      <c r="M45" s="146">
        <v>71050540</v>
      </c>
      <c r="N45" s="146">
        <v>108596948</v>
      </c>
      <c r="O45" s="146"/>
      <c r="P45" s="146">
        <v>67285571.200000003</v>
      </c>
      <c r="Q45" s="146">
        <v>67285571.200000003</v>
      </c>
      <c r="R45" s="149">
        <f t="shared" si="6"/>
        <v>0</v>
      </c>
      <c r="S45" s="155">
        <v>82695612.200000003</v>
      </c>
      <c r="T45" s="155">
        <v>82695612.200000003</v>
      </c>
      <c r="U45" s="149">
        <f t="shared" si="8"/>
        <v>0</v>
      </c>
      <c r="V45" s="150"/>
      <c r="W45" s="150"/>
      <c r="X45" s="146">
        <v>0</v>
      </c>
      <c r="Y45" s="152">
        <v>8885384.9199999999</v>
      </c>
    </row>
    <row r="46" spans="1:25" x14ac:dyDescent="0.2">
      <c r="A46" s="67">
        <v>43282</v>
      </c>
      <c r="B46" s="143">
        <v>153157217</v>
      </c>
      <c r="C46" s="143">
        <v>129735871</v>
      </c>
      <c r="D46" s="144">
        <f t="shared" si="0"/>
        <v>0.84707644563690399</v>
      </c>
      <c r="E46" s="145">
        <f t="shared" si="1"/>
        <v>23421346</v>
      </c>
      <c r="F46" s="146">
        <v>63089587</v>
      </c>
      <c r="G46" s="160">
        <v>425.27</v>
      </c>
      <c r="H46" s="147">
        <v>128175</v>
      </c>
      <c r="I46" s="146">
        <v>0</v>
      </c>
      <c r="J46" s="151"/>
      <c r="K46" s="149">
        <f t="shared" si="2"/>
        <v>66646284</v>
      </c>
      <c r="L46" s="146">
        <f t="shared" si="5"/>
        <v>0</v>
      </c>
      <c r="M46" s="146">
        <v>66646284</v>
      </c>
      <c r="N46" s="146">
        <v>91222910</v>
      </c>
      <c r="O46" s="146"/>
      <c r="P46" s="146">
        <v>67285571.200000003</v>
      </c>
      <c r="Q46" s="146">
        <v>67285571.200000003</v>
      </c>
      <c r="R46" s="149">
        <f t="shared" si="6"/>
        <v>0</v>
      </c>
      <c r="S46" s="146">
        <v>105615815.66999999</v>
      </c>
      <c r="T46" s="146">
        <v>105615815.66999999</v>
      </c>
      <c r="U46" s="149">
        <f t="shared" si="8"/>
        <v>0</v>
      </c>
      <c r="V46" s="150"/>
      <c r="W46" s="150"/>
      <c r="X46" s="146">
        <v>464839</v>
      </c>
      <c r="Y46" s="152">
        <v>8891643.8699999992</v>
      </c>
    </row>
    <row r="47" spans="1:25" x14ac:dyDescent="0.2">
      <c r="A47" s="67">
        <v>43313</v>
      </c>
      <c r="B47" s="143">
        <v>150379941</v>
      </c>
      <c r="C47" s="143">
        <v>152342598</v>
      </c>
      <c r="D47" s="144">
        <f t="shared" si="0"/>
        <v>1.0130513217849979</v>
      </c>
      <c r="E47" s="145">
        <f t="shared" si="1"/>
        <v>-1962657</v>
      </c>
      <c r="F47" s="146">
        <v>61718355</v>
      </c>
      <c r="G47" s="160">
        <v>424</v>
      </c>
      <c r="H47" s="147">
        <v>128175</v>
      </c>
      <c r="I47" s="146">
        <v>0</v>
      </c>
      <c r="J47" s="151"/>
      <c r="K47" s="149">
        <f t="shared" si="2"/>
        <v>90624243</v>
      </c>
      <c r="L47" s="146">
        <f t="shared" si="5"/>
        <v>0</v>
      </c>
      <c r="M47" s="146">
        <v>90624243</v>
      </c>
      <c r="N47" s="146"/>
      <c r="O47" s="146"/>
      <c r="P47" s="146">
        <v>67285571.200000003</v>
      </c>
      <c r="Q47" s="146">
        <v>67285571.200000003</v>
      </c>
      <c r="R47" s="149">
        <f t="shared" si="6"/>
        <v>0</v>
      </c>
      <c r="S47" s="146">
        <v>105615815.66999999</v>
      </c>
      <c r="T47" s="146">
        <v>105615815.66999999</v>
      </c>
      <c r="U47" s="149">
        <f t="shared" si="8"/>
        <v>0</v>
      </c>
      <c r="V47" s="150"/>
      <c r="W47" s="150"/>
      <c r="X47" s="146">
        <v>929678</v>
      </c>
      <c r="Y47" s="152">
        <v>6094628.5700000003</v>
      </c>
    </row>
    <row r="48" spans="1:25" x14ac:dyDescent="0.2">
      <c r="A48" s="67">
        <v>43344</v>
      </c>
      <c r="B48" s="143">
        <v>156829015</v>
      </c>
      <c r="C48" s="143">
        <v>148299037</v>
      </c>
      <c r="D48" s="144">
        <f t="shared" si="0"/>
        <v>0.94560969473665313</v>
      </c>
      <c r="E48" s="145">
        <f t="shared" si="1"/>
        <v>8529978</v>
      </c>
      <c r="F48" s="146">
        <v>64344494</v>
      </c>
      <c r="G48" s="160">
        <v>424</v>
      </c>
      <c r="H48" s="147">
        <v>124040</v>
      </c>
      <c r="I48" s="146">
        <v>0</v>
      </c>
      <c r="J48" s="151"/>
      <c r="K48" s="149">
        <f t="shared" si="2"/>
        <v>83954543</v>
      </c>
      <c r="L48" s="146">
        <f t="shared" si="5"/>
        <v>0</v>
      </c>
      <c r="M48" s="146">
        <v>83954543</v>
      </c>
      <c r="N48" s="146">
        <v>92521515</v>
      </c>
      <c r="O48" s="146"/>
      <c r="P48" s="146">
        <v>67285571.199999988</v>
      </c>
      <c r="Q48" s="146">
        <v>67285571.199999988</v>
      </c>
      <c r="R48" s="149">
        <f t="shared" si="6"/>
        <v>0</v>
      </c>
      <c r="S48" s="146">
        <v>105615815.67</v>
      </c>
      <c r="T48" s="146">
        <v>105615815.67</v>
      </c>
      <c r="U48" s="149">
        <f t="shared" si="8"/>
        <v>0</v>
      </c>
      <c r="V48" s="150"/>
      <c r="W48" s="150"/>
      <c r="X48" s="146">
        <v>464839</v>
      </c>
      <c r="Y48" s="152">
        <v>9756227.0299999993</v>
      </c>
    </row>
    <row r="49" spans="1:25" x14ac:dyDescent="0.2">
      <c r="A49" s="67">
        <v>43374</v>
      </c>
      <c r="B49" s="143">
        <v>154554363</v>
      </c>
      <c r="C49" s="143">
        <v>138433933</v>
      </c>
      <c r="D49" s="144">
        <f t="shared" si="0"/>
        <v>0.89569734760577413</v>
      </c>
      <c r="E49" s="145">
        <f t="shared" si="1"/>
        <v>16120430</v>
      </c>
      <c r="F49" s="146">
        <v>63778083</v>
      </c>
      <c r="G49" s="160">
        <v>435</v>
      </c>
      <c r="H49" s="147">
        <v>128980</v>
      </c>
      <c r="I49" s="146">
        <v>0</v>
      </c>
      <c r="J49" s="151"/>
      <c r="K49" s="149">
        <f t="shared" si="2"/>
        <v>74655850</v>
      </c>
      <c r="L49" s="146">
        <f t="shared" si="5"/>
        <v>0</v>
      </c>
      <c r="M49" s="146">
        <v>74655850</v>
      </c>
      <c r="N49" s="146">
        <v>189623636</v>
      </c>
      <c r="O49" s="146"/>
      <c r="P49" s="146">
        <v>67285571.199999988</v>
      </c>
      <c r="Q49" s="146">
        <v>67285571.199999988</v>
      </c>
      <c r="R49" s="149">
        <f t="shared" si="6"/>
        <v>0</v>
      </c>
      <c r="S49" s="146">
        <v>105615815.67</v>
      </c>
      <c r="T49" s="146">
        <v>105615815.67</v>
      </c>
      <c r="U49" s="149">
        <f t="shared" si="8"/>
        <v>0</v>
      </c>
      <c r="V49" s="150"/>
      <c r="W49" s="150"/>
      <c r="X49" s="146">
        <v>464839</v>
      </c>
      <c r="Y49" s="152">
        <v>13011292.83</v>
      </c>
    </row>
    <row r="50" spans="1:25" x14ac:dyDescent="0.2">
      <c r="A50" s="67">
        <v>43405</v>
      </c>
      <c r="B50" s="143">
        <v>146228422</v>
      </c>
      <c r="C50" s="143">
        <v>154272468</v>
      </c>
      <c r="D50" s="144">
        <f t="shared" si="0"/>
        <v>1.0550101402311516</v>
      </c>
      <c r="E50" s="145">
        <f t="shared" si="1"/>
        <v>-8044046</v>
      </c>
      <c r="F50" s="146">
        <v>62935604</v>
      </c>
      <c r="G50" s="160">
        <v>428.5</v>
      </c>
      <c r="H50" s="147">
        <v>124819</v>
      </c>
      <c r="I50" s="146">
        <v>0</v>
      </c>
      <c r="J50" s="151"/>
      <c r="K50" s="149">
        <f t="shared" si="2"/>
        <v>91336864</v>
      </c>
      <c r="L50" s="146">
        <f t="shared" si="5"/>
        <v>0</v>
      </c>
      <c r="M50" s="146">
        <v>91336864</v>
      </c>
      <c r="N50" s="146">
        <v>92745042</v>
      </c>
      <c r="O50" s="146"/>
      <c r="P50" s="146">
        <v>67285571.200000003</v>
      </c>
      <c r="Q50" s="146">
        <v>67285571.200000003</v>
      </c>
      <c r="R50" s="149">
        <f t="shared" si="6"/>
        <v>0</v>
      </c>
      <c r="S50" s="146">
        <v>105615815.67</v>
      </c>
      <c r="T50" s="146">
        <v>105615815.67</v>
      </c>
      <c r="U50" s="149">
        <f t="shared" si="8"/>
        <v>0</v>
      </c>
      <c r="V50" s="150"/>
      <c r="W50" s="150"/>
      <c r="X50" s="146">
        <v>464839</v>
      </c>
      <c r="Y50" s="152">
        <v>10604616.73</v>
      </c>
    </row>
    <row r="51" spans="1:25" x14ac:dyDescent="0.2">
      <c r="A51" s="67">
        <v>43435</v>
      </c>
      <c r="B51" s="143">
        <v>142315224</v>
      </c>
      <c r="C51" s="143">
        <v>137556589</v>
      </c>
      <c r="D51" s="144">
        <f t="shared" si="0"/>
        <v>0.96656271292521734</v>
      </c>
      <c r="E51" s="145">
        <f t="shared" si="1"/>
        <v>4758635</v>
      </c>
      <c r="F51" s="146">
        <v>62568335</v>
      </c>
      <c r="G51" s="160">
        <v>424.45</v>
      </c>
      <c r="H51" s="147">
        <v>128943.65</v>
      </c>
      <c r="I51" s="146">
        <v>0</v>
      </c>
      <c r="J51" s="151"/>
      <c r="K51" s="149">
        <f t="shared" si="2"/>
        <v>74988254</v>
      </c>
      <c r="L51" s="146">
        <f t="shared" si="5"/>
        <v>0</v>
      </c>
      <c r="M51" s="146">
        <v>74988254</v>
      </c>
      <c r="N51" s="146">
        <v>110802720</v>
      </c>
      <c r="O51" s="146"/>
      <c r="P51" s="146">
        <v>67285571.200000003</v>
      </c>
      <c r="Q51" s="146">
        <v>67285571.200000003</v>
      </c>
      <c r="R51" s="149">
        <f t="shared" si="6"/>
        <v>0</v>
      </c>
      <c r="S51" s="146">
        <v>105615815.67</v>
      </c>
      <c r="T51" s="146">
        <v>105615815.67</v>
      </c>
      <c r="U51" s="149">
        <f t="shared" si="8"/>
        <v>0</v>
      </c>
      <c r="V51" s="150"/>
      <c r="W51" s="150"/>
      <c r="X51" s="146">
        <v>464839</v>
      </c>
      <c r="Y51" s="152">
        <v>5503098.8300000001</v>
      </c>
    </row>
    <row r="52" spans="1:25" x14ac:dyDescent="0.2">
      <c r="A52" s="67">
        <v>43466</v>
      </c>
      <c r="B52" s="143">
        <v>147512256</v>
      </c>
      <c r="C52" s="143">
        <v>142075167</v>
      </c>
      <c r="D52" s="144">
        <f t="shared" si="0"/>
        <v>0.96314144229480159</v>
      </c>
      <c r="E52" s="145">
        <f t="shared" si="1"/>
        <v>5437089</v>
      </c>
      <c r="F52" s="146">
        <v>64217751</v>
      </c>
      <c r="G52" s="160">
        <v>432.67</v>
      </c>
      <c r="H52" s="147">
        <v>128943</v>
      </c>
      <c r="I52" s="146">
        <v>0</v>
      </c>
      <c r="J52" s="151">
        <v>18636</v>
      </c>
      <c r="K52" s="149">
        <f t="shared" si="2"/>
        <v>77838780</v>
      </c>
      <c r="L52" s="146">
        <f t="shared" si="5"/>
        <v>0</v>
      </c>
      <c r="M52" s="146">
        <v>77838780</v>
      </c>
      <c r="N52" s="146"/>
      <c r="O52" s="146"/>
      <c r="P52" s="146">
        <v>67285086.790000007</v>
      </c>
      <c r="Q52" s="146">
        <v>67285086.790000007</v>
      </c>
      <c r="R52" s="149">
        <f t="shared" si="6"/>
        <v>0</v>
      </c>
      <c r="S52" s="146">
        <v>105615047.05</v>
      </c>
      <c r="T52" s="146">
        <v>105615047.05</v>
      </c>
      <c r="U52" s="149">
        <f t="shared" si="8"/>
        <v>0</v>
      </c>
      <c r="V52" s="150"/>
      <c r="W52" s="150"/>
      <c r="X52" s="146">
        <v>492729</v>
      </c>
      <c r="Y52" s="152">
        <v>10117662.859999999</v>
      </c>
    </row>
    <row r="53" spans="1:25" x14ac:dyDescent="0.2">
      <c r="A53" s="67">
        <v>43497</v>
      </c>
      <c r="B53" s="143">
        <v>146057766</v>
      </c>
      <c r="C53" s="143">
        <v>150431608</v>
      </c>
      <c r="D53" s="144">
        <f t="shared" si="0"/>
        <v>1.0299459735677459</v>
      </c>
      <c r="E53" s="145">
        <f t="shared" si="1"/>
        <v>-4373842</v>
      </c>
      <c r="F53" s="146">
        <v>58664142</v>
      </c>
      <c r="G53" s="160">
        <v>432</v>
      </c>
      <c r="H53" s="147">
        <v>116465.29</v>
      </c>
      <c r="I53" s="146">
        <v>0</v>
      </c>
      <c r="J53" s="151"/>
      <c r="K53" s="149">
        <f t="shared" si="2"/>
        <v>91767466</v>
      </c>
      <c r="L53" s="146">
        <f t="shared" si="5"/>
        <v>0</v>
      </c>
      <c r="M53" s="146">
        <v>91767466</v>
      </c>
      <c r="N53" s="146">
        <v>110828040</v>
      </c>
      <c r="O53" s="146"/>
      <c r="P53" s="146">
        <v>67285086.790000007</v>
      </c>
      <c r="Q53" s="146">
        <v>67285086.790000007</v>
      </c>
      <c r="R53" s="149">
        <f t="shared" si="6"/>
        <v>0</v>
      </c>
      <c r="S53" s="146">
        <v>105615047.05</v>
      </c>
      <c r="T53" s="146">
        <v>105615047.05</v>
      </c>
      <c r="U53" s="149">
        <f t="shared" si="8"/>
        <v>0</v>
      </c>
      <c r="V53" s="150"/>
      <c r="W53" s="150"/>
      <c r="X53" s="146">
        <v>492729</v>
      </c>
      <c r="Y53" s="152">
        <v>12115044.860000001</v>
      </c>
    </row>
    <row r="54" spans="1:25" x14ac:dyDescent="0.2">
      <c r="A54" s="67">
        <v>43525</v>
      </c>
      <c r="B54" s="143">
        <v>144474904</v>
      </c>
      <c r="C54" s="143">
        <v>133182880</v>
      </c>
      <c r="D54" s="144">
        <f t="shared" si="0"/>
        <v>0.92184093093427488</v>
      </c>
      <c r="E54" s="145">
        <f t="shared" si="1"/>
        <v>11292024</v>
      </c>
      <c r="F54" s="146">
        <v>58784400</v>
      </c>
      <c r="G54" s="160">
        <v>437</v>
      </c>
      <c r="H54" s="147">
        <v>116448</v>
      </c>
      <c r="I54" s="146">
        <v>0</v>
      </c>
      <c r="J54" s="151"/>
      <c r="K54" s="149">
        <f t="shared" si="2"/>
        <v>74398480</v>
      </c>
      <c r="L54" s="146">
        <f t="shared" si="5"/>
        <v>0</v>
      </c>
      <c r="M54" s="146">
        <v>74398480</v>
      </c>
      <c r="N54" s="146">
        <v>152398555</v>
      </c>
      <c r="O54" s="146"/>
      <c r="P54" s="146">
        <v>69424753.900000006</v>
      </c>
      <c r="Q54" s="146">
        <v>69424753.900000006</v>
      </c>
      <c r="R54" s="149">
        <f t="shared" si="6"/>
        <v>0</v>
      </c>
      <c r="S54" s="146">
        <v>108973605.45999999</v>
      </c>
      <c r="T54" s="146">
        <v>108973605.45999999</v>
      </c>
      <c r="U54" s="149">
        <f t="shared" si="8"/>
        <v>0</v>
      </c>
      <c r="V54" s="150"/>
      <c r="W54" s="150"/>
      <c r="X54" s="146">
        <v>0</v>
      </c>
      <c r="Y54" s="152">
        <v>17249909.829999998</v>
      </c>
    </row>
    <row r="55" spans="1:25" x14ac:dyDescent="0.2">
      <c r="A55" s="67">
        <v>43556</v>
      </c>
      <c r="B55" s="143">
        <v>154096077</v>
      </c>
      <c r="C55" s="143">
        <v>128367850</v>
      </c>
      <c r="D55" s="144">
        <f t="shared" si="0"/>
        <v>0.83303775475088826</v>
      </c>
      <c r="E55" s="145">
        <f t="shared" si="1"/>
        <v>25728227</v>
      </c>
      <c r="F55" s="146">
        <v>68177880</v>
      </c>
      <c r="G55" s="160">
        <v>437</v>
      </c>
      <c r="H55" s="147">
        <v>125148</v>
      </c>
      <c r="I55" s="146">
        <v>0</v>
      </c>
      <c r="J55" s="151"/>
      <c r="K55" s="149">
        <f t="shared" si="2"/>
        <v>60189970</v>
      </c>
      <c r="L55" s="146">
        <f t="shared" si="5"/>
        <v>10</v>
      </c>
      <c r="M55" s="146">
        <v>60189960</v>
      </c>
      <c r="N55" s="146">
        <v>297999439</v>
      </c>
      <c r="O55" s="146"/>
      <c r="P55" s="146">
        <v>69424753.900000006</v>
      </c>
      <c r="Q55" s="146">
        <v>69424753.900000006</v>
      </c>
      <c r="R55" s="149">
        <f t="shared" si="6"/>
        <v>0</v>
      </c>
      <c r="S55" s="146">
        <v>108973605.46000001</v>
      </c>
      <c r="T55" s="146">
        <v>108973605.46000001</v>
      </c>
      <c r="U55" s="149">
        <f t="shared" si="8"/>
        <v>0</v>
      </c>
      <c r="V55" s="150"/>
      <c r="W55" s="150"/>
      <c r="X55" s="146">
        <v>985458</v>
      </c>
      <c r="Y55" s="152">
        <v>11088844.190000001</v>
      </c>
    </row>
    <row r="56" spans="1:25" x14ac:dyDescent="0.2">
      <c r="A56" s="67">
        <v>43586</v>
      </c>
      <c r="B56" s="143">
        <v>149173164</v>
      </c>
      <c r="C56" s="143">
        <v>143763772</v>
      </c>
      <c r="D56" s="144">
        <f t="shared" si="0"/>
        <v>0.96373749905847672</v>
      </c>
      <c r="E56" s="145">
        <f t="shared" si="1"/>
        <v>5409392</v>
      </c>
      <c r="F56" s="146">
        <v>59274215</v>
      </c>
      <c r="G56" s="160">
        <v>424.98</v>
      </c>
      <c r="H56" s="147">
        <v>137406</v>
      </c>
      <c r="I56" s="146">
        <v>0</v>
      </c>
      <c r="J56" s="151"/>
      <c r="K56" s="149">
        <f t="shared" si="2"/>
        <v>84489557</v>
      </c>
      <c r="L56" s="146">
        <f t="shared" si="5"/>
        <v>-5</v>
      </c>
      <c r="M56" s="146">
        <v>84489562</v>
      </c>
      <c r="N56" s="146">
        <v>148811201</v>
      </c>
      <c r="O56" s="146"/>
      <c r="P56" s="146">
        <v>69424753.900000006</v>
      </c>
      <c r="Q56" s="146">
        <v>69424753.900000006</v>
      </c>
      <c r="R56" s="149">
        <f t="shared" si="6"/>
        <v>0</v>
      </c>
      <c r="S56" s="146">
        <v>108973605.45999999</v>
      </c>
      <c r="T56" s="146">
        <v>108973605.45999999</v>
      </c>
      <c r="U56" s="149">
        <f t="shared" si="8"/>
        <v>0</v>
      </c>
      <c r="V56" s="150"/>
      <c r="W56" s="150"/>
      <c r="X56" s="146">
        <v>492729</v>
      </c>
      <c r="Y56" s="152">
        <v>5751424.5</v>
      </c>
    </row>
    <row r="57" spans="1:25" x14ac:dyDescent="0.2">
      <c r="A57" s="67">
        <v>43617</v>
      </c>
      <c r="B57" s="143">
        <v>143182316</v>
      </c>
      <c r="C57" s="143">
        <v>128012822</v>
      </c>
      <c r="D57" s="144">
        <f t="shared" si="0"/>
        <v>0.8940546959723713</v>
      </c>
      <c r="E57" s="145">
        <f t="shared" si="1"/>
        <v>15169494</v>
      </c>
      <c r="F57" s="146">
        <v>75177017</v>
      </c>
      <c r="G57" s="160">
        <v>429</v>
      </c>
      <c r="H57" s="147">
        <v>171420</v>
      </c>
      <c r="I57" s="146">
        <v>0</v>
      </c>
      <c r="J57" s="151">
        <v>18683</v>
      </c>
      <c r="K57" s="149">
        <f t="shared" si="2"/>
        <v>52817122</v>
      </c>
      <c r="L57" s="146">
        <f t="shared" si="5"/>
        <v>0</v>
      </c>
      <c r="M57" s="146">
        <v>52817122</v>
      </c>
      <c r="N57" s="146"/>
      <c r="O57" s="146"/>
      <c r="P57" s="146">
        <v>69424753.900000006</v>
      </c>
      <c r="Q57" s="146">
        <v>69424753.900000006</v>
      </c>
      <c r="R57" s="149">
        <f t="shared" si="6"/>
        <v>0</v>
      </c>
      <c r="S57" s="146">
        <v>108973605.46000001</v>
      </c>
      <c r="T57" s="146">
        <v>108973605.46000001</v>
      </c>
      <c r="U57" s="149">
        <f t="shared" si="8"/>
        <v>0</v>
      </c>
      <c r="V57" s="150"/>
      <c r="W57" s="150"/>
      <c r="X57" s="146">
        <v>492729</v>
      </c>
      <c r="Y57" s="152">
        <v>15585282.300000001</v>
      </c>
    </row>
    <row r="58" spans="1:25" x14ac:dyDescent="0.2">
      <c r="A58" s="67">
        <v>43647</v>
      </c>
      <c r="B58" s="143">
        <v>143808344</v>
      </c>
      <c r="C58" s="143">
        <v>147869093</v>
      </c>
      <c r="D58" s="144">
        <f t="shared" si="0"/>
        <v>1.0282372280150864</v>
      </c>
      <c r="E58" s="145">
        <f t="shared" si="1"/>
        <v>-4060749</v>
      </c>
      <c r="F58" s="146">
        <v>72018192</v>
      </c>
      <c r="G58" s="160">
        <v>429</v>
      </c>
      <c r="H58" s="147">
        <v>155074</v>
      </c>
      <c r="I58" s="146">
        <v>0</v>
      </c>
      <c r="J58" s="151">
        <v>18688</v>
      </c>
      <c r="K58" s="149">
        <f t="shared" si="2"/>
        <v>75832213</v>
      </c>
      <c r="L58" s="146">
        <f t="shared" si="5"/>
        <v>0</v>
      </c>
      <c r="M58" s="146">
        <v>75832213</v>
      </c>
      <c r="N58" s="146">
        <v>261560123</v>
      </c>
      <c r="O58" s="146"/>
      <c r="P58" s="146">
        <v>69424753.900000006</v>
      </c>
      <c r="Q58" s="146">
        <v>69424753.900000006</v>
      </c>
      <c r="R58" s="149">
        <f t="shared" si="6"/>
        <v>0</v>
      </c>
      <c r="S58" s="146">
        <v>108973605.45999999</v>
      </c>
      <c r="T58" s="146">
        <v>108973605.45999999</v>
      </c>
      <c r="U58" s="149">
        <f t="shared" si="8"/>
        <v>0</v>
      </c>
      <c r="V58" s="150"/>
      <c r="W58" s="150"/>
      <c r="X58" s="146">
        <v>492729</v>
      </c>
      <c r="Y58" s="152">
        <v>11453402.49</v>
      </c>
    </row>
    <row r="59" spans="1:25" x14ac:dyDescent="0.2">
      <c r="A59" s="67">
        <v>43678</v>
      </c>
      <c r="B59" s="143">
        <v>156146952</v>
      </c>
      <c r="C59" s="143">
        <v>132765881</v>
      </c>
      <c r="D59" s="144">
        <f t="shared" si="0"/>
        <v>0.85026239256978897</v>
      </c>
      <c r="E59" s="145">
        <f t="shared" si="1"/>
        <v>23381071</v>
      </c>
      <c r="F59" s="146">
        <v>83950619</v>
      </c>
      <c r="G59" s="160">
        <v>428.42779999999999</v>
      </c>
      <c r="H59" s="147">
        <v>0</v>
      </c>
      <c r="I59" s="146">
        <v>0</v>
      </c>
      <c r="J59" s="151">
        <v>-98799</v>
      </c>
      <c r="K59" s="149">
        <f t="shared" si="2"/>
        <v>48914061</v>
      </c>
      <c r="L59" s="146">
        <f>+K59-M59</f>
        <v>0</v>
      </c>
      <c r="M59" s="146">
        <v>48914061</v>
      </c>
      <c r="N59" s="146">
        <v>138422520</v>
      </c>
      <c r="O59" s="146"/>
      <c r="P59" s="146">
        <v>69424753.900000006</v>
      </c>
      <c r="Q59" s="146">
        <v>69424753.900000006</v>
      </c>
      <c r="R59" s="149">
        <f t="shared" si="6"/>
        <v>0</v>
      </c>
      <c r="S59" s="146">
        <v>108973605.45999999</v>
      </c>
      <c r="T59" s="146">
        <v>108973605.45999999</v>
      </c>
      <c r="U59" s="149">
        <f t="shared" si="8"/>
        <v>0</v>
      </c>
      <c r="V59" s="150"/>
      <c r="W59" s="150"/>
      <c r="X59" s="146">
        <v>492729</v>
      </c>
      <c r="Y59" s="152">
        <v>9643318.9100000001</v>
      </c>
    </row>
    <row r="60" spans="1:25" x14ac:dyDescent="0.2">
      <c r="A60" s="67">
        <v>43709</v>
      </c>
      <c r="B60" s="143">
        <v>156233716</v>
      </c>
      <c r="C60" s="143">
        <v>151613423</v>
      </c>
      <c r="D60" s="144">
        <f t="shared" si="0"/>
        <v>0.97042704277737335</v>
      </c>
      <c r="E60" s="145">
        <f t="shared" si="1"/>
        <v>4620293</v>
      </c>
      <c r="F60" s="146">
        <v>64802873</v>
      </c>
      <c r="G60" s="160">
        <v>428.42779999999999</v>
      </c>
      <c r="H60" s="147">
        <v>0</v>
      </c>
      <c r="I60" s="146">
        <v>0</v>
      </c>
      <c r="J60" s="151"/>
      <c r="K60" s="149">
        <f t="shared" si="2"/>
        <v>86810550</v>
      </c>
      <c r="L60" s="146">
        <f t="shared" si="5"/>
        <v>27</v>
      </c>
      <c r="M60" s="146">
        <v>86810523</v>
      </c>
      <c r="N60" s="146">
        <v>108280512</v>
      </c>
      <c r="O60" s="146"/>
      <c r="P60" s="146">
        <v>69424753.900000006</v>
      </c>
      <c r="Q60" s="146">
        <v>69424753.900000006</v>
      </c>
      <c r="R60" s="149">
        <f t="shared" si="6"/>
        <v>0</v>
      </c>
      <c r="S60" s="146">
        <v>108973605.46000001</v>
      </c>
      <c r="T60" s="146">
        <v>108973605.46000001</v>
      </c>
      <c r="U60" s="149">
        <f t="shared" si="8"/>
        <v>0</v>
      </c>
      <c r="V60" s="150"/>
      <c r="W60" s="150"/>
      <c r="X60" s="146">
        <v>492729</v>
      </c>
      <c r="Y60" s="152">
        <v>6065457.1299999999</v>
      </c>
    </row>
    <row r="61" spans="1:25" x14ac:dyDescent="0.2">
      <c r="A61" s="67">
        <v>43739</v>
      </c>
      <c r="B61" s="143">
        <v>155193168</v>
      </c>
      <c r="C61" s="143">
        <v>172556100</v>
      </c>
      <c r="D61" s="144">
        <f t="shared" si="0"/>
        <v>1.1118794868598856</v>
      </c>
      <c r="E61" s="145">
        <f t="shared" si="1"/>
        <v>-17362932</v>
      </c>
      <c r="F61" s="146">
        <v>67878469</v>
      </c>
      <c r="G61" s="160">
        <v>439.80880000000002</v>
      </c>
      <c r="H61" s="147">
        <v>0</v>
      </c>
      <c r="I61" s="146">
        <v>0</v>
      </c>
      <c r="J61" s="151">
        <v>107318</v>
      </c>
      <c r="K61" s="149">
        <f t="shared" si="2"/>
        <v>104570313</v>
      </c>
      <c r="L61" s="146">
        <f t="shared" si="5"/>
        <v>3</v>
      </c>
      <c r="M61" s="146">
        <v>104570310</v>
      </c>
      <c r="N61" s="146">
        <v>11359238</v>
      </c>
      <c r="O61" s="146"/>
      <c r="P61" s="146">
        <v>69424753.900000006</v>
      </c>
      <c r="Q61" s="146">
        <v>69424753.900000006</v>
      </c>
      <c r="R61" s="149">
        <f t="shared" si="6"/>
        <v>0</v>
      </c>
      <c r="S61" s="146">
        <v>108973605.45999999</v>
      </c>
      <c r="T61" s="146">
        <v>108973605.45999999</v>
      </c>
      <c r="U61" s="149">
        <f t="shared" si="8"/>
        <v>0</v>
      </c>
      <c r="V61" s="150"/>
      <c r="W61" s="150"/>
      <c r="X61" s="146">
        <v>492729</v>
      </c>
      <c r="Y61" s="152">
        <v>6903291.2399999993</v>
      </c>
    </row>
    <row r="62" spans="1:25" x14ac:dyDescent="0.2">
      <c r="A62" s="67">
        <v>43770</v>
      </c>
      <c r="B62" s="143">
        <v>155101756</v>
      </c>
      <c r="C62" s="143">
        <v>131964497</v>
      </c>
      <c r="D62" s="144">
        <f t="shared" si="0"/>
        <v>0.85082529304181442</v>
      </c>
      <c r="E62" s="145">
        <f t="shared" si="1"/>
        <v>23137259</v>
      </c>
      <c r="F62" s="146">
        <v>74182156</v>
      </c>
      <c r="G62" s="160">
        <v>445.39749999999998</v>
      </c>
      <c r="H62" s="147">
        <v>0</v>
      </c>
      <c r="I62" s="146">
        <v>0</v>
      </c>
      <c r="J62" s="151">
        <v>100684</v>
      </c>
      <c r="K62" s="149">
        <f t="shared" si="2"/>
        <v>57681657</v>
      </c>
      <c r="L62" s="146">
        <f>+K62-M62</f>
        <v>0</v>
      </c>
      <c r="M62" s="146">
        <v>57681657</v>
      </c>
      <c r="N62" s="146"/>
      <c r="O62" s="146"/>
      <c r="P62" s="146">
        <v>69424753.900000006</v>
      </c>
      <c r="Q62" s="146">
        <v>69424753.900000006</v>
      </c>
      <c r="R62" s="149">
        <f t="shared" si="6"/>
        <v>0</v>
      </c>
      <c r="S62" s="146">
        <v>108973605.45999999</v>
      </c>
      <c r="T62" s="146">
        <v>108973605.45999999</v>
      </c>
      <c r="U62" s="149">
        <f t="shared" si="8"/>
        <v>0</v>
      </c>
      <c r="V62" s="150"/>
      <c r="W62" s="150"/>
      <c r="X62" s="146">
        <v>492729</v>
      </c>
      <c r="Y62" s="152">
        <v>6978243.5999999996</v>
      </c>
    </row>
    <row r="63" spans="1:25" x14ac:dyDescent="0.2">
      <c r="A63" s="67">
        <v>43800</v>
      </c>
      <c r="B63" s="143">
        <v>171819434</v>
      </c>
      <c r="C63" s="143">
        <v>159913086</v>
      </c>
      <c r="D63" s="144">
        <f t="shared" si="0"/>
        <v>0.93070429972432567</v>
      </c>
      <c r="E63" s="145">
        <f t="shared" si="1"/>
        <v>11906348</v>
      </c>
      <c r="F63" s="146">
        <v>68933383</v>
      </c>
      <c r="G63" s="160">
        <v>445.39749999999998</v>
      </c>
      <c r="H63" s="147">
        <v>0</v>
      </c>
      <c r="I63" s="146">
        <v>0</v>
      </c>
      <c r="J63" s="151"/>
      <c r="K63" s="149">
        <f t="shared" si="2"/>
        <v>90979703</v>
      </c>
      <c r="L63" s="146">
        <f t="shared" si="5"/>
        <v>7</v>
      </c>
      <c r="M63" s="146">
        <v>90979696</v>
      </c>
      <c r="N63" s="146">
        <v>42465128</v>
      </c>
      <c r="O63" s="146"/>
      <c r="P63" s="146">
        <v>69424753.900000006</v>
      </c>
      <c r="Q63" s="146">
        <v>69424753.900000006</v>
      </c>
      <c r="R63" s="149">
        <f t="shared" si="6"/>
        <v>0</v>
      </c>
      <c r="S63" s="146">
        <v>108973605.45999999</v>
      </c>
      <c r="T63" s="146">
        <v>108973605.45999999</v>
      </c>
      <c r="U63" s="149">
        <f t="shared" si="8"/>
        <v>0</v>
      </c>
      <c r="V63" s="150"/>
      <c r="W63" s="150"/>
      <c r="X63" s="146">
        <v>492729</v>
      </c>
      <c r="Y63" s="152">
        <v>10371250.33</v>
      </c>
    </row>
    <row r="64" spans="1:25" x14ac:dyDescent="0.2">
      <c r="A64" s="67">
        <v>43831</v>
      </c>
      <c r="B64" s="143">
        <v>139590505</v>
      </c>
      <c r="C64" s="143">
        <v>140508495</v>
      </c>
      <c r="D64" s="144">
        <f t="shared" si="0"/>
        <v>1.0065763068913605</v>
      </c>
      <c r="E64" s="145">
        <f t="shared" si="1"/>
        <v>-917990</v>
      </c>
      <c r="F64" s="146">
        <v>65550650</v>
      </c>
      <c r="G64" s="160">
        <v>423</v>
      </c>
      <c r="H64" s="147">
        <v>0</v>
      </c>
      <c r="I64" s="146">
        <v>0</v>
      </c>
      <c r="J64" s="151">
        <v>4080</v>
      </c>
      <c r="K64" s="149">
        <f t="shared" si="2"/>
        <v>74953765</v>
      </c>
      <c r="L64" s="146">
        <f t="shared" si="5"/>
        <v>0</v>
      </c>
      <c r="M64" s="146">
        <v>74953765</v>
      </c>
      <c r="N64" s="146"/>
      <c r="O64" s="146"/>
      <c r="P64" s="146">
        <v>69424753.900000006</v>
      </c>
      <c r="Q64" s="146">
        <v>69424753.900000006</v>
      </c>
      <c r="R64" s="149">
        <f t="shared" si="6"/>
        <v>0</v>
      </c>
      <c r="S64" s="146">
        <v>108973605.45999999</v>
      </c>
      <c r="T64" s="146">
        <v>108973605.45999999</v>
      </c>
      <c r="U64" s="149">
        <f t="shared" si="8"/>
        <v>0</v>
      </c>
      <c r="V64" s="150"/>
      <c r="W64" s="150"/>
      <c r="X64" s="146">
        <v>522293</v>
      </c>
      <c r="Y64" s="152">
        <v>10289026.860000001</v>
      </c>
    </row>
    <row r="65" spans="1:25" x14ac:dyDescent="0.2">
      <c r="A65" s="67">
        <v>43862</v>
      </c>
      <c r="B65" s="143">
        <v>154749431</v>
      </c>
      <c r="C65" s="143">
        <v>124339440</v>
      </c>
      <c r="D65" s="144">
        <f t="shared" si="0"/>
        <v>0.80348883479901134</v>
      </c>
      <c r="E65" s="145">
        <f t="shared" si="1"/>
        <v>30409991</v>
      </c>
      <c r="F65" s="146">
        <v>65462438</v>
      </c>
      <c r="G65" s="160">
        <v>443</v>
      </c>
      <c r="H65" s="147">
        <v>122227</v>
      </c>
      <c r="I65" s="146">
        <v>0</v>
      </c>
      <c r="J65" s="151">
        <v>-981648</v>
      </c>
      <c r="K65" s="149">
        <f t="shared" si="2"/>
        <v>59858650</v>
      </c>
      <c r="L65" s="146">
        <f t="shared" si="5"/>
        <v>0</v>
      </c>
      <c r="M65" s="146">
        <v>59858650</v>
      </c>
      <c r="N65" s="146">
        <v>216006995</v>
      </c>
      <c r="O65" s="146"/>
      <c r="P65" s="146">
        <v>69424753.900000006</v>
      </c>
      <c r="Q65" s="146">
        <v>69424753.900000006</v>
      </c>
      <c r="R65" s="149">
        <f t="shared" si="6"/>
        <v>0</v>
      </c>
      <c r="S65" s="146">
        <v>108973605.45999999</v>
      </c>
      <c r="T65" s="146">
        <v>108973605.45999999</v>
      </c>
      <c r="U65" s="149">
        <f t="shared" si="8"/>
        <v>0</v>
      </c>
      <c r="V65" s="150"/>
      <c r="W65" s="150"/>
      <c r="X65" s="146">
        <v>522293</v>
      </c>
      <c r="Y65" s="152">
        <v>9442382.4199999999</v>
      </c>
    </row>
    <row r="66" spans="1:25" x14ac:dyDescent="0.2">
      <c r="A66" s="67">
        <v>43891</v>
      </c>
      <c r="B66" s="143">
        <v>160909102</v>
      </c>
      <c r="C66" s="143">
        <v>160823510</v>
      </c>
      <c r="D66" s="144">
        <f t="shared" si="0"/>
        <v>0.99946807235304813</v>
      </c>
      <c r="E66" s="145">
        <f t="shared" si="1"/>
        <v>85592</v>
      </c>
      <c r="F66" s="146">
        <v>73869622</v>
      </c>
      <c r="G66" s="160">
        <v>481</v>
      </c>
      <c r="H66" s="147">
        <v>130657</v>
      </c>
      <c r="I66" s="146">
        <v>0</v>
      </c>
      <c r="J66" s="151">
        <v>38268</v>
      </c>
      <c r="K66" s="149">
        <f t="shared" si="2"/>
        <v>86915620</v>
      </c>
      <c r="L66" s="146">
        <f>+K66-M66</f>
        <v>0</v>
      </c>
      <c r="M66" s="146">
        <v>86915620</v>
      </c>
      <c r="N66" s="146">
        <v>111684303</v>
      </c>
      <c r="O66" s="146"/>
      <c r="P66" s="146">
        <v>72062894.400000006</v>
      </c>
      <c r="Q66" s="146">
        <v>72062894.400000006</v>
      </c>
      <c r="R66" s="149">
        <f t="shared" si="6"/>
        <v>0</v>
      </c>
      <c r="S66" s="146">
        <v>113114602.69</v>
      </c>
      <c r="T66" s="146">
        <v>113114602.69</v>
      </c>
      <c r="U66" s="149">
        <f t="shared" si="8"/>
        <v>0</v>
      </c>
      <c r="V66" s="150"/>
      <c r="W66" s="150"/>
      <c r="X66" s="146">
        <v>722894</v>
      </c>
      <c r="Y66" s="152">
        <v>6433916.0300000003</v>
      </c>
    </row>
    <row r="67" spans="1:25" x14ac:dyDescent="0.2">
      <c r="A67" s="67">
        <v>43922</v>
      </c>
      <c r="B67" s="143">
        <v>171727093</v>
      </c>
      <c r="C67" s="143">
        <v>133836048</v>
      </c>
      <c r="D67" s="144">
        <f t="shared" si="0"/>
        <v>0.77935313328805955</v>
      </c>
      <c r="E67" s="145">
        <f t="shared" si="1"/>
        <v>37891045</v>
      </c>
      <c r="F67" s="146">
        <v>72305260</v>
      </c>
      <c r="G67" s="160">
        <v>481</v>
      </c>
      <c r="H67" s="147">
        <v>126042</v>
      </c>
      <c r="I67" s="146">
        <v>0</v>
      </c>
      <c r="J67" s="151"/>
      <c r="K67" s="149">
        <f t="shared" si="2"/>
        <v>61530788</v>
      </c>
      <c r="L67" s="146">
        <f t="shared" si="5"/>
        <v>0</v>
      </c>
      <c r="M67" s="146">
        <v>61530788</v>
      </c>
      <c r="N67" s="146"/>
      <c r="O67" s="146"/>
      <c r="P67" s="146">
        <v>72062894.400000006</v>
      </c>
      <c r="Q67" s="146">
        <v>72062894.400000006</v>
      </c>
      <c r="R67" s="149">
        <f t="shared" si="6"/>
        <v>0</v>
      </c>
      <c r="S67" s="146">
        <v>113114602.69</v>
      </c>
      <c r="T67" s="146">
        <v>113114602.69</v>
      </c>
      <c r="U67" s="149">
        <f t="shared" si="8"/>
        <v>0</v>
      </c>
      <c r="V67" s="150"/>
      <c r="W67" s="150"/>
      <c r="X67" s="146">
        <v>522293</v>
      </c>
      <c r="Y67" s="152">
        <v>12782966.189999999</v>
      </c>
    </row>
    <row r="68" spans="1:25" x14ac:dyDescent="0.2">
      <c r="A68" s="67">
        <v>43952</v>
      </c>
      <c r="B68" s="143">
        <v>156579305</v>
      </c>
      <c r="C68" s="143">
        <v>135129793</v>
      </c>
      <c r="D68" s="144">
        <f t="shared" si="0"/>
        <v>0.86301183288557837</v>
      </c>
      <c r="E68" s="145">
        <f t="shared" si="1"/>
        <v>21449512</v>
      </c>
      <c r="F68" s="146">
        <v>75618057</v>
      </c>
      <c r="G68" s="160">
        <v>481</v>
      </c>
      <c r="H68" s="147">
        <v>131541</v>
      </c>
      <c r="I68" s="146">
        <v>0</v>
      </c>
      <c r="J68" s="151">
        <v>-1089687</v>
      </c>
      <c r="K68" s="149">
        <f t="shared" si="2"/>
        <v>60601423</v>
      </c>
      <c r="L68" s="146">
        <f t="shared" si="5"/>
        <v>0</v>
      </c>
      <c r="M68" s="146">
        <v>60601423</v>
      </c>
      <c r="N68" s="146">
        <v>84305698</v>
      </c>
      <c r="O68" s="146"/>
      <c r="P68" s="146">
        <v>72062894.400000006</v>
      </c>
      <c r="Q68" s="146">
        <v>72062894.400000006</v>
      </c>
      <c r="R68" s="149">
        <f t="shared" si="6"/>
        <v>0</v>
      </c>
      <c r="S68" s="146">
        <v>113114602.69</v>
      </c>
      <c r="T68" s="146">
        <v>113114602.69</v>
      </c>
      <c r="U68" s="149">
        <f t="shared" si="8"/>
        <v>0</v>
      </c>
      <c r="V68" s="150"/>
      <c r="W68" s="150"/>
      <c r="X68" s="146">
        <v>0</v>
      </c>
      <c r="Y68" s="152">
        <v>9558936.1000000015</v>
      </c>
    </row>
    <row r="69" spans="1:25" x14ac:dyDescent="0.2">
      <c r="A69" s="67">
        <v>43983</v>
      </c>
      <c r="B69" s="143">
        <v>173211797</v>
      </c>
      <c r="C69" s="143">
        <v>179044462</v>
      </c>
      <c r="D69" s="144">
        <f t="shared" si="0"/>
        <v>1.033673601342523</v>
      </c>
      <c r="E69" s="145">
        <f t="shared" si="1"/>
        <v>-5832665</v>
      </c>
      <c r="F69" s="146">
        <v>73757400</v>
      </c>
      <c r="G69" s="160">
        <v>481</v>
      </c>
      <c r="H69" s="147">
        <v>127353</v>
      </c>
      <c r="I69" s="146">
        <v>0</v>
      </c>
      <c r="J69" s="151"/>
      <c r="K69" s="149">
        <f t="shared" si="2"/>
        <v>105287062</v>
      </c>
      <c r="L69" s="146">
        <f t="shared" si="5"/>
        <v>0</v>
      </c>
      <c r="M69" s="146">
        <v>105287062</v>
      </c>
      <c r="N69" s="146">
        <v>205191281</v>
      </c>
      <c r="O69" s="146"/>
      <c r="P69" s="146">
        <v>72062894.400000006</v>
      </c>
      <c r="Q69" s="146">
        <v>72062894.400000006</v>
      </c>
      <c r="R69" s="149">
        <f t="shared" si="6"/>
        <v>0</v>
      </c>
      <c r="S69" s="146">
        <v>113114602.69</v>
      </c>
      <c r="T69" s="146">
        <v>113114602.69</v>
      </c>
      <c r="U69" s="149">
        <f t="shared" si="8"/>
        <v>0</v>
      </c>
      <c r="V69" s="150"/>
      <c r="W69" s="150"/>
      <c r="X69" s="146">
        <v>1044586</v>
      </c>
      <c r="Y69" s="152">
        <v>10778944.18</v>
      </c>
    </row>
    <row r="70" spans="1:25" x14ac:dyDescent="0.2">
      <c r="A70" s="67">
        <v>44013</v>
      </c>
      <c r="B70" s="143">
        <v>170632525</v>
      </c>
      <c r="C70" s="143">
        <v>138654862</v>
      </c>
      <c r="D70" s="144">
        <f t="shared" ref="D70:D87" si="9">+C70/B70</f>
        <v>0.81259339038673895</v>
      </c>
      <c r="E70" s="145">
        <f t="shared" ref="E70:E88" si="10">+B70-C70</f>
        <v>31977663</v>
      </c>
      <c r="F70" s="146">
        <v>78680220</v>
      </c>
      <c r="G70" s="160">
        <v>481</v>
      </c>
      <c r="H70" s="147">
        <v>131658</v>
      </c>
      <c r="I70" s="146">
        <v>0</v>
      </c>
      <c r="J70" s="151"/>
      <c r="K70" s="149">
        <f t="shared" si="2"/>
        <v>59974642</v>
      </c>
      <c r="L70" s="146">
        <f t="shared" si="5"/>
        <v>0</v>
      </c>
      <c r="M70" s="146">
        <v>59974642</v>
      </c>
      <c r="N70" s="146">
        <v>90388271</v>
      </c>
      <c r="O70" s="146"/>
      <c r="P70" s="146">
        <v>72062894.400000006</v>
      </c>
      <c r="Q70" s="146">
        <v>72062894.400000006</v>
      </c>
      <c r="R70" s="149">
        <f t="shared" si="6"/>
        <v>0</v>
      </c>
      <c r="S70" s="146">
        <v>113114602.69</v>
      </c>
      <c r="T70" s="146">
        <v>113114602.69</v>
      </c>
      <c r="U70" s="149">
        <f t="shared" si="8"/>
        <v>0</v>
      </c>
      <c r="V70" s="150"/>
      <c r="W70" s="150"/>
      <c r="X70" s="146">
        <v>522293</v>
      </c>
      <c r="Y70" s="152">
        <v>8869801.5600000005</v>
      </c>
    </row>
    <row r="71" spans="1:25" x14ac:dyDescent="0.2">
      <c r="A71" s="67">
        <v>44044</v>
      </c>
      <c r="B71" s="143">
        <v>169143410</v>
      </c>
      <c r="C71" s="143">
        <v>112562701</v>
      </c>
      <c r="D71" s="144">
        <f t="shared" si="9"/>
        <v>0.66548676652551819</v>
      </c>
      <c r="E71" s="145">
        <f t="shared" si="10"/>
        <v>56580709</v>
      </c>
      <c r="F71" s="146">
        <v>77371220</v>
      </c>
      <c r="G71" s="160">
        <v>481</v>
      </c>
      <c r="H71" s="147">
        <v>131203</v>
      </c>
      <c r="I71" s="146">
        <v>0</v>
      </c>
      <c r="J71" s="151"/>
      <c r="K71" s="149">
        <f t="shared" si="2"/>
        <v>35191481</v>
      </c>
      <c r="L71" s="146">
        <f>+K71-M71</f>
        <v>0</v>
      </c>
      <c r="M71" s="146">
        <v>35191481</v>
      </c>
      <c r="N71" s="146">
        <v>83056528</v>
      </c>
      <c r="O71" s="146"/>
      <c r="P71" s="146">
        <v>72062894.400000006</v>
      </c>
      <c r="Q71" s="146">
        <v>72062894.400000006</v>
      </c>
      <c r="R71" s="149">
        <f t="shared" si="6"/>
        <v>0</v>
      </c>
      <c r="S71" s="146">
        <v>113114602.36999999</v>
      </c>
      <c r="T71" s="146">
        <v>113114602.36999999</v>
      </c>
      <c r="U71" s="149">
        <f t="shared" si="8"/>
        <v>0</v>
      </c>
      <c r="V71" s="150"/>
      <c r="W71" s="150"/>
      <c r="X71" s="146">
        <v>522293</v>
      </c>
      <c r="Y71" s="152">
        <v>6559279.0599999996</v>
      </c>
    </row>
    <row r="72" spans="1:25" x14ac:dyDescent="0.2">
      <c r="A72" s="67">
        <v>44075</v>
      </c>
      <c r="B72" s="143">
        <v>171768719</v>
      </c>
      <c r="C72" s="143">
        <v>207311559</v>
      </c>
      <c r="D72" s="144">
        <f t="shared" si="9"/>
        <v>1.2069226586011856</v>
      </c>
      <c r="E72" s="145">
        <f t="shared" si="10"/>
        <v>-35542840</v>
      </c>
      <c r="F72" s="146">
        <v>75169897</v>
      </c>
      <c r="G72" s="160">
        <v>481</v>
      </c>
      <c r="H72" s="147">
        <v>126971</v>
      </c>
      <c r="I72" s="146">
        <v>0</v>
      </c>
      <c r="J72" s="151"/>
      <c r="K72" s="149">
        <f t="shared" ref="K72:K88" si="11">+C72-F72-I72-J72</f>
        <v>132141662</v>
      </c>
      <c r="L72" s="146">
        <f t="shared" si="5"/>
        <v>23</v>
      </c>
      <c r="M72" s="146">
        <v>132141639</v>
      </c>
      <c r="N72" s="146"/>
      <c r="O72" s="146"/>
      <c r="P72" s="146">
        <v>72062894.440000013</v>
      </c>
      <c r="Q72" s="146">
        <v>72062894.440000013</v>
      </c>
      <c r="R72" s="149">
        <f t="shared" si="6"/>
        <v>0</v>
      </c>
      <c r="S72" s="146">
        <v>113114602.69</v>
      </c>
      <c r="T72" s="146">
        <v>113114602.69</v>
      </c>
      <c r="U72" s="149">
        <f t="shared" si="8"/>
        <v>0</v>
      </c>
      <c r="V72" s="150"/>
      <c r="W72" s="150"/>
      <c r="X72" s="146">
        <v>522293</v>
      </c>
      <c r="Y72" s="152">
        <v>11039561.710000001</v>
      </c>
    </row>
    <row r="73" spans="1:25" x14ac:dyDescent="0.2">
      <c r="A73" s="67">
        <v>44105</v>
      </c>
      <c r="B73" s="143">
        <v>178168175</v>
      </c>
      <c r="C73" s="143">
        <v>200248680</v>
      </c>
      <c r="D73" s="144">
        <f t="shared" si="9"/>
        <v>1.1239306907644981</v>
      </c>
      <c r="E73" s="145">
        <f t="shared" si="10"/>
        <v>-22080505</v>
      </c>
      <c r="F73" s="146">
        <v>75867660</v>
      </c>
      <c r="G73" s="160">
        <v>481</v>
      </c>
      <c r="H73" s="147">
        <v>131204</v>
      </c>
      <c r="I73" s="146">
        <v>0</v>
      </c>
      <c r="J73" s="151"/>
      <c r="K73" s="149">
        <f t="shared" si="11"/>
        <v>124381020</v>
      </c>
      <c r="L73" s="146">
        <f t="shared" si="5"/>
        <v>0</v>
      </c>
      <c r="M73" s="146">
        <v>124381020</v>
      </c>
      <c r="N73" s="146">
        <v>120030012</v>
      </c>
      <c r="O73" s="146"/>
      <c r="P73" s="146">
        <v>72062894.400000006</v>
      </c>
      <c r="Q73" s="146">
        <v>72062894.400000006</v>
      </c>
      <c r="R73" s="149">
        <f t="shared" si="6"/>
        <v>0</v>
      </c>
      <c r="S73" s="146">
        <v>113114602.69</v>
      </c>
      <c r="T73" s="146">
        <v>113114602.69</v>
      </c>
      <c r="U73" s="149">
        <f t="shared" si="8"/>
        <v>0</v>
      </c>
      <c r="V73" s="150"/>
      <c r="W73" s="150"/>
      <c r="X73" s="146">
        <v>522293</v>
      </c>
      <c r="Y73" s="152">
        <v>11470396.07</v>
      </c>
    </row>
    <row r="74" spans="1:25" x14ac:dyDescent="0.2">
      <c r="A74" s="67">
        <v>44136</v>
      </c>
      <c r="B74" s="143">
        <v>168675047</v>
      </c>
      <c r="C74" s="143">
        <v>124108686</v>
      </c>
      <c r="D74" s="144">
        <f t="shared" si="9"/>
        <v>0.73578569093269619</v>
      </c>
      <c r="E74" s="145">
        <f t="shared" si="10"/>
        <v>44566361</v>
      </c>
      <c r="F74" s="146">
        <v>75808630</v>
      </c>
      <c r="G74" s="160">
        <v>481</v>
      </c>
      <c r="H74" s="147">
        <v>126922</v>
      </c>
      <c r="I74" s="146">
        <v>0</v>
      </c>
      <c r="J74" s="151"/>
      <c r="K74" s="149">
        <f t="shared" si="11"/>
        <v>48300056</v>
      </c>
      <c r="L74" s="146">
        <f t="shared" si="5"/>
        <v>0</v>
      </c>
      <c r="M74" s="146">
        <v>48300056</v>
      </c>
      <c r="N74" s="146">
        <v>86467712</v>
      </c>
      <c r="O74" s="146"/>
      <c r="P74" s="146">
        <v>72062894.400000006</v>
      </c>
      <c r="Q74" s="146">
        <v>72062894.400000006</v>
      </c>
      <c r="R74" s="149">
        <f t="shared" si="6"/>
        <v>0</v>
      </c>
      <c r="S74" s="146">
        <v>113114620.7</v>
      </c>
      <c r="T74" s="146">
        <v>113114620.7</v>
      </c>
      <c r="U74" s="149">
        <f t="shared" si="8"/>
        <v>0</v>
      </c>
      <c r="V74" s="150"/>
      <c r="W74" s="150"/>
      <c r="X74" s="146">
        <v>522293</v>
      </c>
      <c r="Y74" s="152">
        <v>4965099.21</v>
      </c>
    </row>
    <row r="75" spans="1:25" x14ac:dyDescent="0.2">
      <c r="A75" s="67">
        <v>44166</v>
      </c>
      <c r="B75" s="143">
        <v>173722745</v>
      </c>
      <c r="C75" s="143">
        <v>147391089</v>
      </c>
      <c r="D75" s="144">
        <f t="shared" si="9"/>
        <v>0.84842712449656488</v>
      </c>
      <c r="E75" s="145">
        <f t="shared" si="10"/>
        <v>26331656</v>
      </c>
      <c r="F75" s="146">
        <v>78378500</v>
      </c>
      <c r="G75" s="160">
        <v>481</v>
      </c>
      <c r="H75" s="147">
        <v>132012</v>
      </c>
      <c r="I75" s="146">
        <v>0</v>
      </c>
      <c r="J75" s="151"/>
      <c r="K75" s="149">
        <f t="shared" si="11"/>
        <v>69012589</v>
      </c>
      <c r="L75" s="146">
        <f t="shared" si="5"/>
        <v>0</v>
      </c>
      <c r="M75" s="146">
        <v>69012589</v>
      </c>
      <c r="N75" s="146">
        <v>126008837</v>
      </c>
      <c r="O75" s="146"/>
      <c r="P75" s="146">
        <v>72062894.400000006</v>
      </c>
      <c r="Q75" s="146">
        <v>72062894.400000006</v>
      </c>
      <c r="R75" s="149">
        <f t="shared" si="6"/>
        <v>0</v>
      </c>
      <c r="S75" s="146">
        <v>113114620.7</v>
      </c>
      <c r="T75" s="146">
        <v>113114620.7</v>
      </c>
      <c r="U75" s="149">
        <f t="shared" si="8"/>
        <v>0</v>
      </c>
      <c r="V75" s="150"/>
      <c r="W75" s="150"/>
      <c r="X75" s="146">
        <v>522293</v>
      </c>
      <c r="Y75" s="152">
        <v>8674482.9299999997</v>
      </c>
    </row>
    <row r="76" spans="1:25" x14ac:dyDescent="0.2">
      <c r="A76" s="67">
        <v>44197</v>
      </c>
      <c r="B76" s="143">
        <v>169397687</v>
      </c>
      <c r="C76" s="143">
        <v>135055798</v>
      </c>
      <c r="D76" s="144">
        <f t="shared" si="9"/>
        <v>0.79727061444469427</v>
      </c>
      <c r="E76" s="145">
        <f t="shared" si="10"/>
        <v>34341889</v>
      </c>
      <c r="F76" s="146">
        <v>79803090</v>
      </c>
      <c r="G76" s="160">
        <v>481</v>
      </c>
      <c r="H76" s="147">
        <v>131246</v>
      </c>
      <c r="I76" s="146">
        <v>0</v>
      </c>
      <c r="J76" s="151"/>
      <c r="K76" s="149">
        <f t="shared" si="11"/>
        <v>55252708</v>
      </c>
      <c r="L76" s="146">
        <f t="shared" si="5"/>
        <v>0</v>
      </c>
      <c r="M76" s="146">
        <v>55252708</v>
      </c>
      <c r="N76" s="161">
        <v>69438084</v>
      </c>
      <c r="O76" s="150"/>
      <c r="P76" s="146">
        <v>72063413.24000001</v>
      </c>
      <c r="Q76" s="146">
        <v>72063413.24000001</v>
      </c>
      <c r="R76" s="149">
        <f t="shared" si="6"/>
        <v>0</v>
      </c>
      <c r="S76" s="146">
        <v>113115443.90000001</v>
      </c>
      <c r="T76" s="146">
        <v>113115443.90000001</v>
      </c>
      <c r="U76" s="149">
        <f t="shared" si="8"/>
        <v>0</v>
      </c>
      <c r="V76" s="150"/>
      <c r="W76" s="150"/>
      <c r="X76" s="146">
        <v>540573</v>
      </c>
      <c r="Y76" s="152">
        <v>8875112.3600000013</v>
      </c>
    </row>
    <row r="77" spans="1:25" x14ac:dyDescent="0.2">
      <c r="A77" s="67">
        <v>44228</v>
      </c>
      <c r="B77" s="143">
        <v>153706695</v>
      </c>
      <c r="C77" s="143">
        <v>139061561</v>
      </c>
      <c r="D77" s="144">
        <f t="shared" si="9"/>
        <v>0.90472025958270719</v>
      </c>
      <c r="E77" s="145">
        <f t="shared" si="10"/>
        <v>14645134</v>
      </c>
      <c r="F77" s="146">
        <v>74296751</v>
      </c>
      <c r="G77" s="160">
        <v>482</v>
      </c>
      <c r="H77" s="147">
        <v>117964</v>
      </c>
      <c r="I77" s="146">
        <v>0</v>
      </c>
      <c r="J77" s="151">
        <v>-113031</v>
      </c>
      <c r="K77" s="149">
        <f t="shared" si="11"/>
        <v>64877841</v>
      </c>
      <c r="L77" s="146">
        <f t="shared" si="5"/>
        <v>0</v>
      </c>
      <c r="M77" s="146">
        <v>64877841</v>
      </c>
      <c r="N77" s="161">
        <v>86788352</v>
      </c>
      <c r="O77" s="150"/>
      <c r="P77" s="146">
        <v>72063413.200000003</v>
      </c>
      <c r="Q77" s="146">
        <v>72063413.200000003</v>
      </c>
      <c r="R77" s="149">
        <f t="shared" si="6"/>
        <v>0</v>
      </c>
      <c r="S77" s="146">
        <v>113115443.90000001</v>
      </c>
      <c r="T77" s="146">
        <v>113115443.90000001</v>
      </c>
      <c r="U77" s="149">
        <f t="shared" si="8"/>
        <v>0</v>
      </c>
      <c r="V77" s="150"/>
      <c r="W77" s="150"/>
      <c r="X77" s="146">
        <v>540573</v>
      </c>
      <c r="Y77" s="152">
        <v>9603545.870000001</v>
      </c>
    </row>
    <row r="78" spans="1:25" x14ac:dyDescent="0.2">
      <c r="A78" s="67">
        <v>44256</v>
      </c>
      <c r="B78" s="143">
        <v>190209840</v>
      </c>
      <c r="C78" s="143">
        <v>152576984</v>
      </c>
      <c r="D78" s="144">
        <f t="shared" si="9"/>
        <v>0.80215084561345507</v>
      </c>
      <c r="E78" s="145">
        <f t="shared" si="10"/>
        <v>37632856</v>
      </c>
      <c r="F78" s="146">
        <v>82631354</v>
      </c>
      <c r="G78" s="160">
        <v>485</v>
      </c>
      <c r="H78" s="147">
        <v>129633</v>
      </c>
      <c r="I78" s="146">
        <v>0</v>
      </c>
      <c r="J78" s="151">
        <v>346</v>
      </c>
      <c r="K78" s="149">
        <f t="shared" si="11"/>
        <v>69945284</v>
      </c>
      <c r="L78" s="146">
        <f t="shared" si="5"/>
        <v>0</v>
      </c>
      <c r="M78" s="146">
        <v>69945284</v>
      </c>
      <c r="N78" s="161">
        <v>100990672</v>
      </c>
      <c r="O78" s="150"/>
      <c r="P78" s="146">
        <v>73223635.25999999</v>
      </c>
      <c r="Q78" s="146">
        <v>73223635.25999999</v>
      </c>
      <c r="R78" s="149">
        <f t="shared" si="6"/>
        <v>0</v>
      </c>
      <c r="S78" s="146">
        <v>114936584.06</v>
      </c>
      <c r="T78" s="146">
        <v>114936584.06</v>
      </c>
      <c r="U78" s="149">
        <f t="shared" si="8"/>
        <v>0</v>
      </c>
      <c r="V78" s="150"/>
      <c r="W78" s="150"/>
      <c r="X78" s="146">
        <v>540573</v>
      </c>
      <c r="Y78" s="152">
        <v>10063097.58</v>
      </c>
    </row>
    <row r="79" spans="1:25" x14ac:dyDescent="0.2">
      <c r="A79" s="67">
        <v>44287</v>
      </c>
      <c r="B79" s="143">
        <v>167918607</v>
      </c>
      <c r="C79" s="143">
        <v>279098736</v>
      </c>
      <c r="D79" s="144">
        <f t="shared" si="9"/>
        <v>1.6621072612876071</v>
      </c>
      <c r="E79" s="145">
        <f t="shared" si="10"/>
        <v>-111180129</v>
      </c>
      <c r="F79" s="146">
        <v>78311752</v>
      </c>
      <c r="G79" s="160">
        <v>488</v>
      </c>
      <c r="H79" s="147">
        <v>125463</v>
      </c>
      <c r="I79" s="146">
        <v>0</v>
      </c>
      <c r="J79" s="151">
        <v>318</v>
      </c>
      <c r="K79" s="149">
        <f t="shared" si="11"/>
        <v>200786666</v>
      </c>
      <c r="L79" s="146">
        <f t="shared" si="5"/>
        <v>0</v>
      </c>
      <c r="M79" s="146">
        <v>200786666</v>
      </c>
      <c r="N79" s="161">
        <v>127119901</v>
      </c>
      <c r="O79" s="150"/>
      <c r="P79" s="146">
        <v>73223634.25999999</v>
      </c>
      <c r="Q79" s="146">
        <v>73223634.25999999</v>
      </c>
      <c r="R79" s="149">
        <f t="shared" si="6"/>
        <v>0</v>
      </c>
      <c r="S79" s="146">
        <v>114936584.06</v>
      </c>
      <c r="T79" s="146">
        <v>115145697.06</v>
      </c>
      <c r="U79" s="149">
        <f t="shared" si="8"/>
        <v>-209113</v>
      </c>
      <c r="V79" s="150"/>
      <c r="W79" s="150"/>
      <c r="X79" s="146">
        <v>540573</v>
      </c>
      <c r="Y79" s="152">
        <v>19382294.32</v>
      </c>
    </row>
    <row r="80" spans="1:25" x14ac:dyDescent="0.2">
      <c r="A80" s="67">
        <v>44317</v>
      </c>
      <c r="B80" s="143">
        <v>181676868</v>
      </c>
      <c r="C80" s="143">
        <v>139724952</v>
      </c>
      <c r="D80" s="144">
        <f t="shared" si="9"/>
        <v>0.76908498884954357</v>
      </c>
      <c r="E80" s="145">
        <f t="shared" si="10"/>
        <v>41951916</v>
      </c>
      <c r="F80" s="146">
        <v>79951658</v>
      </c>
      <c r="G80" s="160">
        <v>491</v>
      </c>
      <c r="H80" s="147">
        <v>126450</v>
      </c>
      <c r="I80" s="146">
        <v>0</v>
      </c>
      <c r="J80" s="151">
        <v>322</v>
      </c>
      <c r="K80" s="149">
        <f t="shared" si="11"/>
        <v>59772972</v>
      </c>
      <c r="L80" s="146">
        <f t="shared" ref="L80:L87" si="12">+K80-M80</f>
        <v>0</v>
      </c>
      <c r="M80" s="146">
        <v>59772972</v>
      </c>
      <c r="N80" s="161">
        <v>177227507</v>
      </c>
      <c r="O80" s="150"/>
      <c r="P80" s="146">
        <v>73223634.25999999</v>
      </c>
      <c r="Q80" s="146">
        <v>73223634.25999999</v>
      </c>
      <c r="R80" s="146">
        <f t="shared" si="6"/>
        <v>0</v>
      </c>
      <c r="S80" s="146">
        <v>114936584.06</v>
      </c>
      <c r="T80" s="146">
        <v>76882131.060000002</v>
      </c>
      <c r="U80" s="146">
        <f t="shared" si="8"/>
        <v>38054453</v>
      </c>
      <c r="V80" s="150"/>
      <c r="W80" s="150"/>
      <c r="X80" s="146">
        <v>540573</v>
      </c>
      <c r="Y80" s="152">
        <v>11669698.299999999</v>
      </c>
    </row>
    <row r="81" spans="1:25" x14ac:dyDescent="0.2">
      <c r="A81" s="67">
        <v>44348</v>
      </c>
      <c r="B81" s="143">
        <v>185498130</v>
      </c>
      <c r="C81" s="143">
        <v>165691809</v>
      </c>
      <c r="D81" s="144">
        <f t="shared" si="9"/>
        <v>0.89322630368295353</v>
      </c>
      <c r="E81" s="145">
        <f t="shared" si="10"/>
        <v>19806321</v>
      </c>
      <c r="F81" s="146">
        <v>79747455</v>
      </c>
      <c r="G81" s="160">
        <v>494</v>
      </c>
      <c r="H81" s="147">
        <v>122493</v>
      </c>
      <c r="I81" s="146">
        <v>0</v>
      </c>
      <c r="J81" s="151">
        <v>315</v>
      </c>
      <c r="K81" s="149">
        <f t="shared" si="11"/>
        <v>85944039</v>
      </c>
      <c r="L81" s="146">
        <f t="shared" si="12"/>
        <v>0</v>
      </c>
      <c r="M81" s="146">
        <v>85944039</v>
      </c>
      <c r="N81" s="161">
        <v>151973277</v>
      </c>
      <c r="O81" s="150"/>
      <c r="P81" s="146">
        <v>73223634.25999999</v>
      </c>
      <c r="Q81" s="146">
        <v>0</v>
      </c>
      <c r="R81" s="146">
        <f t="shared" si="6"/>
        <v>73223634.25999999</v>
      </c>
      <c r="S81" s="146">
        <v>114936584.06</v>
      </c>
      <c r="T81" s="146">
        <v>0</v>
      </c>
      <c r="U81" s="146">
        <f t="shared" si="8"/>
        <v>114936584.06</v>
      </c>
      <c r="V81" s="150"/>
      <c r="W81" s="150"/>
      <c r="X81" s="146">
        <v>540573</v>
      </c>
      <c r="Y81" s="152">
        <v>16112463.279999999</v>
      </c>
    </row>
    <row r="82" spans="1:25" x14ac:dyDescent="0.2">
      <c r="A82" s="67">
        <v>44378</v>
      </c>
      <c r="B82" s="143">
        <v>183876914</v>
      </c>
      <c r="C82" s="143">
        <v>187677535</v>
      </c>
      <c r="D82" s="144">
        <f t="shared" si="9"/>
        <v>1.0206693756019856</v>
      </c>
      <c r="E82" s="145">
        <f t="shared" si="10"/>
        <v>-3800621</v>
      </c>
      <c r="F82" s="146">
        <v>82134644</v>
      </c>
      <c r="G82" s="160">
        <v>497</v>
      </c>
      <c r="H82" s="147">
        <v>126725</v>
      </c>
      <c r="I82" s="146">
        <v>0</v>
      </c>
      <c r="J82" s="151">
        <v>286</v>
      </c>
      <c r="K82" s="149">
        <f t="shared" si="11"/>
        <v>105542605</v>
      </c>
      <c r="L82" s="146">
        <f t="shared" si="12"/>
        <v>0</v>
      </c>
      <c r="M82" s="146">
        <v>105542605</v>
      </c>
      <c r="N82" s="161">
        <v>237058678</v>
      </c>
      <c r="O82" s="150"/>
      <c r="P82" s="146">
        <v>73223633.260000005</v>
      </c>
      <c r="Q82" s="146">
        <v>0</v>
      </c>
      <c r="R82" s="146">
        <f t="shared" ref="R82:R88" si="13">+P82-Q82</f>
        <v>73223633.260000005</v>
      </c>
      <c r="S82" s="146">
        <v>114936584.06</v>
      </c>
      <c r="T82" s="146">
        <v>0</v>
      </c>
      <c r="U82" s="146">
        <f t="shared" si="8"/>
        <v>114936584.06</v>
      </c>
      <c r="V82" s="150"/>
      <c r="W82" s="150"/>
      <c r="X82" s="146">
        <v>540573</v>
      </c>
      <c r="Y82" s="152">
        <v>8598637.4199999999</v>
      </c>
    </row>
    <row r="83" spans="1:25" x14ac:dyDescent="0.2">
      <c r="A83" s="67">
        <v>44409</v>
      </c>
      <c r="B83" s="152">
        <v>180781634</v>
      </c>
      <c r="C83" s="152">
        <v>176495115</v>
      </c>
      <c r="D83" s="144">
        <f t="shared" si="9"/>
        <v>0.97628896860175518</v>
      </c>
      <c r="E83" s="145">
        <f t="shared" si="10"/>
        <v>4286519</v>
      </c>
      <c r="F83" s="146">
        <v>83468267</v>
      </c>
      <c r="G83" s="152">
        <v>500.012</v>
      </c>
      <c r="H83" s="147">
        <v>126718</v>
      </c>
      <c r="I83" s="146">
        <v>0</v>
      </c>
      <c r="J83" s="152">
        <v>343</v>
      </c>
      <c r="K83" s="149">
        <f t="shared" si="11"/>
        <v>93026505</v>
      </c>
      <c r="L83" s="146">
        <f t="shared" si="12"/>
        <v>0</v>
      </c>
      <c r="M83" s="146">
        <v>93026505</v>
      </c>
      <c r="N83" s="161">
        <v>24468073</v>
      </c>
      <c r="O83" s="150"/>
      <c r="P83" s="146">
        <v>73223632.260000005</v>
      </c>
      <c r="Q83" s="146">
        <v>0</v>
      </c>
      <c r="R83" s="146">
        <f t="shared" si="13"/>
        <v>73223632.260000005</v>
      </c>
      <c r="S83" s="146">
        <v>114936584.06</v>
      </c>
      <c r="T83" s="146">
        <v>0</v>
      </c>
      <c r="U83" s="146">
        <f t="shared" si="8"/>
        <v>114936584.06</v>
      </c>
      <c r="V83" s="150"/>
      <c r="W83" s="150"/>
      <c r="X83" s="162">
        <v>540573</v>
      </c>
      <c r="Y83" s="152">
        <v>8151272.5500000007</v>
      </c>
    </row>
    <row r="84" spans="1:25" x14ac:dyDescent="0.2">
      <c r="A84" s="67">
        <v>44440</v>
      </c>
      <c r="B84" s="152">
        <v>185389970</v>
      </c>
      <c r="C84" s="152">
        <v>135623246</v>
      </c>
      <c r="D84" s="144">
        <f t="shared" si="9"/>
        <v>0.73155654537297787</v>
      </c>
      <c r="E84" s="145">
        <f t="shared" si="10"/>
        <v>49766724</v>
      </c>
      <c r="F84" s="146">
        <v>82554972</v>
      </c>
      <c r="G84" s="152">
        <v>503.01209999999998</v>
      </c>
      <c r="H84" s="147">
        <v>122584</v>
      </c>
      <c r="I84" s="146">
        <v>0</v>
      </c>
      <c r="J84" s="152">
        <v>338</v>
      </c>
      <c r="K84" s="149">
        <f t="shared" si="11"/>
        <v>53067936</v>
      </c>
      <c r="L84" s="146">
        <f t="shared" si="12"/>
        <v>0</v>
      </c>
      <c r="M84" s="146">
        <v>53067936</v>
      </c>
      <c r="N84" s="161">
        <v>13627890</v>
      </c>
      <c r="O84" s="150"/>
      <c r="P84" s="146">
        <v>73223631.260000005</v>
      </c>
      <c r="Q84" s="146">
        <v>0</v>
      </c>
      <c r="R84" s="146">
        <f t="shared" si="13"/>
        <v>73223631.260000005</v>
      </c>
      <c r="S84" s="146">
        <v>114936584.06</v>
      </c>
      <c r="T84" s="146">
        <v>0</v>
      </c>
      <c r="U84" s="146">
        <f t="shared" si="8"/>
        <v>114936584.06</v>
      </c>
      <c r="V84" s="150"/>
      <c r="W84" s="150"/>
      <c r="X84" s="162">
        <v>540573</v>
      </c>
      <c r="Y84" s="152">
        <v>5425753.0899999999</v>
      </c>
    </row>
    <row r="85" spans="1:25" x14ac:dyDescent="0.2">
      <c r="A85" s="67">
        <v>44470</v>
      </c>
      <c r="B85" s="152">
        <v>188093099</v>
      </c>
      <c r="C85" s="152">
        <v>149392233</v>
      </c>
      <c r="D85" s="144">
        <f t="shared" si="9"/>
        <v>0.79424622059100636</v>
      </c>
      <c r="E85" s="145">
        <f t="shared" si="10"/>
        <v>38700866</v>
      </c>
      <c r="F85" s="146">
        <v>91879428</v>
      </c>
      <c r="G85" s="152">
        <v>506</v>
      </c>
      <c r="H85" s="147">
        <v>138598</v>
      </c>
      <c r="I85" s="146">
        <v>0</v>
      </c>
      <c r="J85" s="152">
        <v>322</v>
      </c>
      <c r="K85" s="149">
        <f t="shared" si="11"/>
        <v>57512483</v>
      </c>
      <c r="L85" s="146">
        <f t="shared" si="12"/>
        <v>0</v>
      </c>
      <c r="M85" s="146">
        <v>57512483</v>
      </c>
      <c r="N85" s="161">
        <v>13627890</v>
      </c>
      <c r="O85" s="150"/>
      <c r="P85" s="146">
        <v>73223630.260000005</v>
      </c>
      <c r="Q85" s="146">
        <v>0</v>
      </c>
      <c r="R85" s="146">
        <f t="shared" si="13"/>
        <v>73223630.260000005</v>
      </c>
      <c r="S85" s="146">
        <v>114936584.06</v>
      </c>
      <c r="T85" s="146">
        <v>0</v>
      </c>
      <c r="U85" s="146">
        <f t="shared" si="8"/>
        <v>114936584.06</v>
      </c>
      <c r="V85" s="150"/>
      <c r="W85" s="150"/>
      <c r="X85" s="162">
        <v>540573</v>
      </c>
      <c r="Y85" s="152">
        <v>5976595.6600000001</v>
      </c>
    </row>
    <row r="86" spans="1:25" x14ac:dyDescent="0.2">
      <c r="A86" s="67">
        <v>44501</v>
      </c>
      <c r="B86" s="152">
        <v>182240790</v>
      </c>
      <c r="C86" s="152">
        <v>251926252</v>
      </c>
      <c r="D86" s="144">
        <f t="shared" si="9"/>
        <v>1.38238125504175</v>
      </c>
      <c r="E86" s="145">
        <f t="shared" si="10"/>
        <v>-69685462</v>
      </c>
      <c r="F86" s="146">
        <v>85414862</v>
      </c>
      <c r="G86" s="152">
        <v>509.06</v>
      </c>
      <c r="H86" s="147">
        <v>125261</v>
      </c>
      <c r="I86" s="146">
        <v>0</v>
      </c>
      <c r="J86" s="152">
        <v>111248</v>
      </c>
      <c r="K86" s="149">
        <f t="shared" si="11"/>
        <v>166400142</v>
      </c>
      <c r="L86" s="146">
        <f t="shared" si="12"/>
        <v>0</v>
      </c>
      <c r="M86" s="146">
        <v>166400142</v>
      </c>
      <c r="N86" s="149">
        <v>13627890</v>
      </c>
      <c r="O86" s="150"/>
      <c r="P86" s="146">
        <v>73223629.260000005</v>
      </c>
      <c r="Q86" s="146">
        <v>0</v>
      </c>
      <c r="R86" s="146">
        <f t="shared" si="13"/>
        <v>73223629.260000005</v>
      </c>
      <c r="S86" s="146">
        <v>114936584.06</v>
      </c>
      <c r="T86" s="146">
        <v>0</v>
      </c>
      <c r="U86" s="146">
        <f t="shared" si="8"/>
        <v>114936584.06</v>
      </c>
      <c r="V86" s="150"/>
      <c r="W86" s="150"/>
      <c r="X86" s="162">
        <v>540573</v>
      </c>
      <c r="Y86" s="152">
        <v>10623777.640000001</v>
      </c>
    </row>
    <row r="87" spans="1:25" x14ac:dyDescent="0.2">
      <c r="A87" s="67">
        <v>44531</v>
      </c>
      <c r="B87" s="152">
        <v>182597804</v>
      </c>
      <c r="C87" s="152">
        <v>157343096</v>
      </c>
      <c r="D87" s="144">
        <f t="shared" si="9"/>
        <v>0.86169215923319642</v>
      </c>
      <c r="E87" s="145">
        <f t="shared" si="10"/>
        <v>25254708</v>
      </c>
      <c r="F87" s="146">
        <v>103204943</v>
      </c>
      <c r="G87" s="152">
        <v>512</v>
      </c>
      <c r="H87" s="147">
        <v>159156</v>
      </c>
      <c r="I87" s="146">
        <v>0</v>
      </c>
      <c r="J87" s="152">
        <v>307</v>
      </c>
      <c r="K87" s="149">
        <f t="shared" si="11"/>
        <v>54137846</v>
      </c>
      <c r="L87" s="146">
        <f t="shared" si="12"/>
        <v>-246408</v>
      </c>
      <c r="M87" s="146">
        <v>54384254</v>
      </c>
      <c r="N87" s="161">
        <v>13627890</v>
      </c>
      <c r="O87" s="150"/>
      <c r="P87" s="146">
        <v>73223628.260000005</v>
      </c>
      <c r="Q87" s="146">
        <v>0</v>
      </c>
      <c r="R87" s="146">
        <f t="shared" si="13"/>
        <v>73223628.260000005</v>
      </c>
      <c r="S87" s="146">
        <v>114936584.06</v>
      </c>
      <c r="T87" s="146">
        <v>0</v>
      </c>
      <c r="U87" s="146">
        <f t="shared" si="8"/>
        <v>114936584.06</v>
      </c>
      <c r="V87" s="150"/>
      <c r="W87" s="150"/>
      <c r="X87" s="162">
        <v>540573</v>
      </c>
      <c r="Y87" s="150"/>
    </row>
    <row r="88" spans="1:25" x14ac:dyDescent="0.2">
      <c r="A88" s="67">
        <v>44562</v>
      </c>
      <c r="B88" s="163">
        <v>195087063</v>
      </c>
      <c r="C88" s="163">
        <v>122298314</v>
      </c>
      <c r="D88" s="144">
        <f>+C88/B88</f>
        <v>0.62689094868376793</v>
      </c>
      <c r="E88" s="145">
        <f t="shared" si="10"/>
        <v>72788749</v>
      </c>
      <c r="F88" s="146">
        <v>88267359</v>
      </c>
      <c r="G88" s="152">
        <v>515</v>
      </c>
      <c r="H88" s="147">
        <v>129435</v>
      </c>
      <c r="I88" s="146">
        <v>0</v>
      </c>
      <c r="J88" s="152">
        <v>321</v>
      </c>
      <c r="K88" s="149">
        <f t="shared" si="11"/>
        <v>34030634</v>
      </c>
      <c r="L88" s="146"/>
      <c r="M88" s="150"/>
      <c r="N88" s="161">
        <v>54299398</v>
      </c>
      <c r="O88" s="150"/>
      <c r="P88" s="146">
        <v>73223628.260000005</v>
      </c>
      <c r="Q88" s="146">
        <v>0</v>
      </c>
      <c r="R88" s="146">
        <f t="shared" si="13"/>
        <v>73223628.260000005</v>
      </c>
      <c r="S88" s="146">
        <v>114936584.06</v>
      </c>
      <c r="T88" s="146">
        <v>0</v>
      </c>
      <c r="U88" s="146">
        <f t="shared" si="8"/>
        <v>114936584.06</v>
      </c>
      <c r="V88" s="150"/>
      <c r="W88" s="150"/>
      <c r="X88" s="162">
        <f>+[1]Conciliación!Q435</f>
        <v>595000</v>
      </c>
      <c r="Y88" s="150"/>
    </row>
    <row r="89" spans="1:25" x14ac:dyDescent="0.2">
      <c r="B89" s="164">
        <f>+SUBTOTAL(9,B6:B88)</f>
        <v>11318062613</v>
      </c>
      <c r="C89" s="164">
        <f>+SUBTOTAL(9,C6:C88)</f>
        <v>10695041259</v>
      </c>
      <c r="D89" s="165">
        <f>+C89/B89</f>
        <v>0.94495335683296244</v>
      </c>
      <c r="E89" s="164">
        <f>+SUBTOTAL(9,E6:E88)</f>
        <v>623021354</v>
      </c>
      <c r="F89" s="164">
        <f>+SUBTOTAL(9,F6:F88)</f>
        <v>5436494551</v>
      </c>
      <c r="G89" s="164">
        <f>+SUBTOTAL(101,G6:G88)</f>
        <v>424.23582530120478</v>
      </c>
      <c r="H89" s="166">
        <f>+SUBTOTAL(9,H6:H88)</f>
        <v>10187298.710000001</v>
      </c>
      <c r="I89" s="164">
        <f>+SUBTOTAL(9,I6:I88)</f>
        <v>165018399.80000001</v>
      </c>
      <c r="J89" s="164">
        <f t="shared" ref="J89:Y89" si="14">+SUBTOTAL(9,J6:J88)</f>
        <v>6386963</v>
      </c>
      <c r="K89" s="164">
        <f t="shared" si="14"/>
        <v>5123965602.04</v>
      </c>
      <c r="L89" s="164">
        <f t="shared" si="14"/>
        <v>-246350.8399999924</v>
      </c>
      <c r="M89" s="164">
        <f t="shared" si="14"/>
        <v>5055458904</v>
      </c>
      <c r="N89" s="164">
        <f t="shared" si="14"/>
        <v>8264922164.8099995</v>
      </c>
      <c r="O89" s="164">
        <f t="shared" si="14"/>
        <v>1366595500</v>
      </c>
      <c r="P89" s="164">
        <f t="shared" si="14"/>
        <v>5503451464.2200012</v>
      </c>
      <c r="Q89" s="164">
        <f t="shared" si="14"/>
        <v>4917662417.1399994</v>
      </c>
      <c r="R89" s="164">
        <f t="shared" si="14"/>
        <v>585789047.07999992</v>
      </c>
      <c r="S89" s="164">
        <f t="shared" si="14"/>
        <v>8639120070.2000046</v>
      </c>
      <c r="T89" s="164">
        <f t="shared" si="14"/>
        <v>7681782057.7200012</v>
      </c>
      <c r="U89" s="164">
        <f t="shared" si="14"/>
        <v>957338012.47999978</v>
      </c>
      <c r="V89" s="164">
        <f t="shared" si="14"/>
        <v>0</v>
      </c>
      <c r="W89" s="164">
        <f t="shared" si="14"/>
        <v>1112799244.0799999</v>
      </c>
      <c r="X89" s="164">
        <f t="shared" si="14"/>
        <v>38369202</v>
      </c>
      <c r="Y89" s="164">
        <f t="shared" si="14"/>
        <v>812014135.46999979</v>
      </c>
    </row>
    <row r="91" spans="1:25" x14ac:dyDescent="0.2">
      <c r="K91" s="167"/>
    </row>
    <row r="92" spans="1:25" x14ac:dyDescent="0.2">
      <c r="K92" s="167"/>
    </row>
    <row r="93" spans="1:25" x14ac:dyDescent="0.2">
      <c r="C93" s="168"/>
    </row>
    <row r="94" spans="1:25" x14ac:dyDescent="0.2">
      <c r="T94" s="167"/>
    </row>
  </sheetData>
  <mergeCells count="36">
    <mergeCell ref="S25:S27"/>
    <mergeCell ref="T25:T27"/>
    <mergeCell ref="U25:U27"/>
    <mergeCell ref="P18:P19"/>
    <mergeCell ref="Q18:Q19"/>
    <mergeCell ref="R18:R19"/>
    <mergeCell ref="S18:S19"/>
    <mergeCell ref="T18:T19"/>
    <mergeCell ref="U18:U19"/>
    <mergeCell ref="P20:P21"/>
    <mergeCell ref="Q20:Q21"/>
    <mergeCell ref="R20:R21"/>
    <mergeCell ref="S20:S21"/>
    <mergeCell ref="T20:T21"/>
    <mergeCell ref="U20:U21"/>
    <mergeCell ref="U6:U10"/>
    <mergeCell ref="P14:P15"/>
    <mergeCell ref="Q14:Q15"/>
    <mergeCell ref="R14:R15"/>
    <mergeCell ref="S14:S15"/>
    <mergeCell ref="T14:T15"/>
    <mergeCell ref="U14:U15"/>
    <mergeCell ref="P6:P10"/>
    <mergeCell ref="Q6:Q10"/>
    <mergeCell ref="R6:R10"/>
    <mergeCell ref="S6:S10"/>
    <mergeCell ref="T6:T10"/>
    <mergeCell ref="A3:A5"/>
    <mergeCell ref="A1:Y1"/>
    <mergeCell ref="B3:M4"/>
    <mergeCell ref="N3:Y3"/>
    <mergeCell ref="N4:N5"/>
    <mergeCell ref="O4:O5"/>
    <mergeCell ref="P4:W4"/>
    <mergeCell ref="X4:X5"/>
    <mergeCell ref="Y4:Y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E31"/>
  <sheetViews>
    <sheetView zoomScale="90" zoomScaleNormal="90" workbookViewId="0">
      <selection activeCell="I33" sqref="I33"/>
    </sheetView>
  </sheetViews>
  <sheetFormatPr baseColWidth="10" defaultRowHeight="14.25" x14ac:dyDescent="0.2"/>
  <cols>
    <col min="1" max="2" width="11.42578125" style="57"/>
    <col min="3" max="3" width="21.5703125" style="14" bestFit="1" customWidth="1"/>
    <col min="4" max="16384" width="11.42578125" style="14"/>
  </cols>
  <sheetData>
    <row r="1" spans="1:5" x14ac:dyDescent="0.2">
      <c r="A1" s="57">
        <v>2007</v>
      </c>
      <c r="B1" s="57" t="s">
        <v>122</v>
      </c>
      <c r="E1" s="59">
        <v>39142</v>
      </c>
    </row>
    <row r="2" spans="1:5" x14ac:dyDescent="0.2">
      <c r="A2" s="57">
        <v>2008</v>
      </c>
      <c r="B2" s="57">
        <v>1</v>
      </c>
      <c r="E2" s="59">
        <v>39508</v>
      </c>
    </row>
    <row r="3" spans="1:5" x14ac:dyDescent="0.2">
      <c r="A3" s="57">
        <v>2009</v>
      </c>
      <c r="B3" s="57">
        <v>2</v>
      </c>
      <c r="E3" s="59">
        <v>39873</v>
      </c>
    </row>
    <row r="4" spans="1:5" x14ac:dyDescent="0.2">
      <c r="A4" s="57">
        <v>2010</v>
      </c>
      <c r="B4" s="57">
        <v>3</v>
      </c>
      <c r="E4" s="59">
        <v>40238</v>
      </c>
    </row>
    <row r="5" spans="1:5" x14ac:dyDescent="0.2">
      <c r="A5" s="57">
        <v>2011</v>
      </c>
      <c r="B5" s="57">
        <v>4</v>
      </c>
      <c r="E5" s="59">
        <v>40603</v>
      </c>
    </row>
    <row r="6" spans="1:5" x14ac:dyDescent="0.2">
      <c r="A6" s="57">
        <v>2012</v>
      </c>
      <c r="B6" s="57">
        <v>5</v>
      </c>
      <c r="E6" s="59">
        <v>40969</v>
      </c>
    </row>
    <row r="7" spans="1:5" x14ac:dyDescent="0.2">
      <c r="A7" s="57">
        <v>2013</v>
      </c>
      <c r="B7" s="57">
        <v>6</v>
      </c>
      <c r="E7" s="59">
        <v>41334</v>
      </c>
    </row>
    <row r="8" spans="1:5" x14ac:dyDescent="0.2">
      <c r="A8" s="57">
        <v>2014</v>
      </c>
      <c r="B8" s="57">
        <v>7</v>
      </c>
      <c r="E8" s="59">
        <v>41699</v>
      </c>
    </row>
    <row r="9" spans="1:5" x14ac:dyDescent="0.2">
      <c r="A9" s="57">
        <v>2015</v>
      </c>
      <c r="B9" s="57">
        <v>8</v>
      </c>
      <c r="E9" s="59">
        <v>42064</v>
      </c>
    </row>
    <row r="10" spans="1:5" x14ac:dyDescent="0.2">
      <c r="A10" s="57">
        <v>2016</v>
      </c>
      <c r="B10" s="57">
        <v>9</v>
      </c>
      <c r="E10" s="59">
        <v>42430</v>
      </c>
    </row>
    <row r="11" spans="1:5" x14ac:dyDescent="0.2">
      <c r="A11" s="57">
        <v>2017</v>
      </c>
      <c r="B11" s="57">
        <v>10</v>
      </c>
      <c r="E11" s="59">
        <v>42795</v>
      </c>
    </row>
    <row r="12" spans="1:5" x14ac:dyDescent="0.2">
      <c r="A12" s="57">
        <v>2018</v>
      </c>
      <c r="B12" s="57">
        <v>11</v>
      </c>
      <c r="E12" s="59">
        <v>43160</v>
      </c>
    </row>
    <row r="13" spans="1:5" x14ac:dyDescent="0.2">
      <c r="A13" s="57">
        <v>2019</v>
      </c>
      <c r="B13" s="57">
        <v>12</v>
      </c>
      <c r="E13" s="59">
        <v>43525</v>
      </c>
    </row>
    <row r="14" spans="1:5" x14ac:dyDescent="0.2">
      <c r="A14" s="57">
        <v>2020</v>
      </c>
      <c r="B14" s="57">
        <v>13</v>
      </c>
      <c r="E14" s="59">
        <v>43891</v>
      </c>
    </row>
    <row r="15" spans="1:5" x14ac:dyDescent="0.2">
      <c r="A15" s="57">
        <v>2021</v>
      </c>
      <c r="B15" s="57">
        <v>14</v>
      </c>
      <c r="E15" s="59">
        <v>44256</v>
      </c>
    </row>
    <row r="16" spans="1:5" s="242" customFormat="1" x14ac:dyDescent="0.2">
      <c r="A16" s="241">
        <v>2022</v>
      </c>
      <c r="B16" s="241">
        <v>15</v>
      </c>
      <c r="E16" s="243">
        <v>44621</v>
      </c>
    </row>
    <row r="17" spans="1:5" x14ac:dyDescent="0.2">
      <c r="A17" s="57">
        <v>2023</v>
      </c>
      <c r="B17" s="57">
        <v>16</v>
      </c>
      <c r="E17" s="59">
        <v>44986</v>
      </c>
    </row>
    <row r="18" spans="1:5" x14ac:dyDescent="0.2">
      <c r="A18" s="57">
        <v>2024</v>
      </c>
      <c r="B18" s="57">
        <v>17</v>
      </c>
      <c r="E18" s="59">
        <v>45352</v>
      </c>
    </row>
    <row r="19" spans="1:5" x14ac:dyDescent="0.2">
      <c r="A19" s="57">
        <v>2025</v>
      </c>
      <c r="B19" s="57">
        <v>18</v>
      </c>
      <c r="E19" s="59">
        <v>45717</v>
      </c>
    </row>
    <row r="20" spans="1:5" x14ac:dyDescent="0.2">
      <c r="A20" s="57">
        <v>2026</v>
      </c>
      <c r="B20" s="57">
        <v>19</v>
      </c>
      <c r="E20" s="59">
        <v>46082</v>
      </c>
    </row>
    <row r="21" spans="1:5" s="171" customFormat="1" x14ac:dyDescent="0.2">
      <c r="A21" s="170">
        <v>2027</v>
      </c>
      <c r="B21" s="170">
        <v>20</v>
      </c>
      <c r="C21" s="171" t="s">
        <v>123</v>
      </c>
      <c r="E21" s="172">
        <v>46447</v>
      </c>
    </row>
    <row r="22" spans="1:5" x14ac:dyDescent="0.2">
      <c r="A22" s="57">
        <v>2028</v>
      </c>
      <c r="B22" s="57">
        <v>21</v>
      </c>
      <c r="E22" s="59">
        <v>46813</v>
      </c>
    </row>
    <row r="23" spans="1:5" x14ac:dyDescent="0.2">
      <c r="A23" s="57">
        <v>2029</v>
      </c>
      <c r="B23" s="57">
        <v>22</v>
      </c>
      <c r="E23" s="59">
        <v>47178</v>
      </c>
    </row>
    <row r="24" spans="1:5" x14ac:dyDescent="0.2">
      <c r="A24" s="57">
        <v>2030</v>
      </c>
      <c r="B24" s="57">
        <v>23</v>
      </c>
      <c r="E24" s="59">
        <v>47543</v>
      </c>
    </row>
    <row r="25" spans="1:5" x14ac:dyDescent="0.2">
      <c r="A25" s="57">
        <v>2031</v>
      </c>
      <c r="B25" s="57">
        <v>24</v>
      </c>
      <c r="E25" s="59">
        <v>47908</v>
      </c>
    </row>
    <row r="26" spans="1:5" x14ac:dyDescent="0.2">
      <c r="A26" s="57">
        <v>2032</v>
      </c>
      <c r="B26" s="57">
        <v>25</v>
      </c>
      <c r="E26" s="59">
        <v>48274</v>
      </c>
    </row>
    <row r="27" spans="1:5" x14ac:dyDescent="0.2">
      <c r="A27" s="57">
        <v>2033</v>
      </c>
      <c r="B27" s="57">
        <v>26</v>
      </c>
      <c r="E27" s="59">
        <v>48639</v>
      </c>
    </row>
    <row r="28" spans="1:5" x14ac:dyDescent="0.2">
      <c r="A28" s="57">
        <v>2034</v>
      </c>
      <c r="B28" s="57">
        <v>27</v>
      </c>
      <c r="E28" s="59">
        <v>49004</v>
      </c>
    </row>
    <row r="29" spans="1:5" x14ac:dyDescent="0.2">
      <c r="A29" s="57">
        <v>2035</v>
      </c>
      <c r="B29" s="57">
        <v>28</v>
      </c>
      <c r="E29" s="59">
        <v>49369</v>
      </c>
    </row>
    <row r="30" spans="1:5" x14ac:dyDescent="0.2">
      <c r="A30" s="57">
        <v>2036</v>
      </c>
      <c r="B30" s="57">
        <v>29</v>
      </c>
      <c r="E30" s="59">
        <v>49735</v>
      </c>
    </row>
    <row r="31" spans="1:5" x14ac:dyDescent="0.2">
      <c r="A31" s="57">
        <v>2037</v>
      </c>
      <c r="B31" s="57">
        <v>30</v>
      </c>
      <c r="C31" s="14" t="s">
        <v>128</v>
      </c>
      <c r="E31" s="59">
        <v>50100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H50"/>
  <sheetViews>
    <sheetView showGridLines="0" view="pageBreakPreview" zoomScale="80" zoomScaleNormal="80" zoomScaleSheetLayoutView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33" sqref="C33"/>
    </sheetView>
  </sheetViews>
  <sheetFormatPr baseColWidth="10" defaultColWidth="22.5703125" defaultRowHeight="14.25" outlineLevelCol="1" x14ac:dyDescent="0.25"/>
  <cols>
    <col min="1" max="1" width="54.7109375" style="1" customWidth="1"/>
    <col min="2" max="2" width="19.28515625" style="1" bestFit="1" customWidth="1"/>
    <col min="3" max="4" width="18.85546875" style="1" customWidth="1" outlineLevel="1"/>
    <col min="5" max="5" width="18.7109375" style="1" customWidth="1" outlineLevel="1"/>
    <col min="6" max="6" width="19.42578125" style="1" customWidth="1" outlineLevel="1"/>
    <col min="7" max="7" width="18.5703125" style="1" customWidth="1" outlineLevel="1"/>
    <col min="8" max="10" width="18.85546875" style="1" customWidth="1" outlineLevel="1"/>
    <col min="11" max="11" width="19.28515625" style="1" customWidth="1" outlineLevel="1"/>
    <col min="12" max="12" width="19.5703125" style="1" customWidth="1" outlineLevel="1"/>
    <col min="13" max="14" width="19.28515625" style="1" customWidth="1" outlineLevel="1"/>
    <col min="15" max="15" width="18.7109375" style="1" bestFit="1" customWidth="1"/>
    <col min="16" max="16" width="19.42578125" style="1" customWidth="1" outlineLevel="1"/>
    <col min="17" max="17" width="19.5703125" style="1" customWidth="1" outlineLevel="1"/>
    <col min="18" max="18" width="18.7109375" style="1" customWidth="1" outlineLevel="1"/>
    <col min="19" max="19" width="19.85546875" style="1" customWidth="1" outlineLevel="1"/>
    <col min="20" max="21" width="19.28515625" style="1" customWidth="1" outlineLevel="1"/>
    <col min="22" max="22" width="19.140625" style="1" customWidth="1" outlineLevel="1"/>
    <col min="23" max="23" width="19.85546875" style="1" customWidth="1" outlineLevel="1"/>
    <col min="24" max="24" width="19.140625" style="1" customWidth="1" outlineLevel="1"/>
    <col min="25" max="27" width="18.7109375" style="1" customWidth="1" outlineLevel="1"/>
    <col min="28" max="28" width="19.28515625" style="1" bestFit="1" customWidth="1"/>
    <col min="29" max="29" width="19.42578125" style="1" customWidth="1" outlineLevel="1"/>
    <col min="30" max="30" width="19.140625" style="1" customWidth="1" outlineLevel="1"/>
    <col min="31" max="31" width="19.5703125" style="1" customWidth="1" outlineLevel="1"/>
    <col min="32" max="32" width="19.140625" style="1" customWidth="1" outlineLevel="1"/>
    <col min="33" max="33" width="18.7109375" style="1" customWidth="1" outlineLevel="1"/>
    <col min="34" max="34" width="19.42578125" style="1" customWidth="1" outlineLevel="1"/>
    <col min="35" max="35" width="18.7109375" style="1" customWidth="1" outlineLevel="1"/>
    <col min="36" max="36" width="19.28515625" style="1" customWidth="1" outlineLevel="1"/>
    <col min="37" max="37" width="19.5703125" style="1" customWidth="1" outlineLevel="1"/>
    <col min="38" max="38" width="19.85546875" style="1" customWidth="1" outlineLevel="1"/>
    <col min="39" max="39" width="20" style="1" customWidth="1" outlineLevel="1"/>
    <col min="40" max="40" width="19.28515625" style="1" customWidth="1" outlineLevel="1"/>
    <col min="41" max="41" width="20" style="1" bestFit="1" customWidth="1"/>
    <col min="42" max="42" width="18.7109375" style="1" customWidth="1" outlineLevel="1"/>
    <col min="43" max="43" width="19.5703125" style="1" customWidth="1" outlineLevel="1"/>
    <col min="44" max="44" width="19.42578125" style="1" customWidth="1" outlineLevel="1"/>
    <col min="45" max="45" width="19.140625" style="1" customWidth="1" outlineLevel="1"/>
    <col min="46" max="46" width="18.85546875" style="1" customWidth="1" outlineLevel="1"/>
    <col min="47" max="47" width="19.85546875" style="1" customWidth="1" outlineLevel="1"/>
    <col min="48" max="48" width="20" style="1" customWidth="1" outlineLevel="1"/>
    <col min="49" max="49" width="19.85546875" style="1" customWidth="1" outlineLevel="1"/>
    <col min="50" max="51" width="19.5703125" style="1" customWidth="1" outlineLevel="1"/>
    <col min="52" max="52" width="19.28515625" style="1" customWidth="1" outlineLevel="1"/>
    <col min="53" max="53" width="20" style="1" customWidth="1" outlineLevel="1"/>
    <col min="54" max="54" width="19.28515625" style="1" bestFit="1" customWidth="1"/>
    <col min="55" max="55" width="20.140625" style="1" customWidth="1" outlineLevel="1"/>
    <col min="56" max="56" width="19.85546875" style="1" customWidth="1" outlineLevel="1"/>
    <col min="57" max="57" width="19.42578125" style="1" customWidth="1" outlineLevel="1"/>
    <col min="58" max="58" width="19.5703125" style="1" customWidth="1" outlineLevel="1"/>
    <col min="59" max="59" width="20.140625" style="1" customWidth="1" outlineLevel="1"/>
    <col min="60" max="61" width="19.5703125" style="1" customWidth="1" outlineLevel="1"/>
    <col min="62" max="62" width="19.140625" style="1" customWidth="1" outlineLevel="1"/>
    <col min="63" max="64" width="19.85546875" style="1" customWidth="1" outlineLevel="1"/>
    <col min="65" max="65" width="19.5703125" style="1" customWidth="1" outlineLevel="1"/>
    <col min="66" max="66" width="19.28515625" style="1" customWidth="1" outlineLevel="1"/>
    <col min="67" max="67" width="18.85546875" style="1" bestFit="1" customWidth="1"/>
    <col min="68" max="68" width="18.7109375" style="1" customWidth="1" outlineLevel="1"/>
    <col min="69" max="69" width="20" style="1" customWidth="1" outlineLevel="1"/>
    <col min="70" max="70" width="20.28515625" style="1" customWidth="1" outlineLevel="1"/>
    <col min="71" max="71" width="19.5703125" style="1" customWidth="1" outlineLevel="1"/>
    <col min="72" max="72" width="19.140625" style="1" customWidth="1" outlineLevel="1"/>
    <col min="73" max="73" width="19.5703125" style="1" customWidth="1" outlineLevel="1"/>
    <col min="74" max="74" width="19.85546875" style="1" customWidth="1" outlineLevel="1"/>
    <col min="75" max="76" width="20" style="1" customWidth="1" outlineLevel="1"/>
    <col min="77" max="77" width="19.85546875" style="1" customWidth="1" outlineLevel="1"/>
    <col min="78" max="78" width="19.42578125" style="1" customWidth="1" outlineLevel="1"/>
    <col min="79" max="79" width="18.85546875" style="1" customWidth="1" outlineLevel="1"/>
    <col min="80" max="80" width="19.28515625" style="1" bestFit="1" customWidth="1"/>
    <col min="81" max="81" width="20.140625" style="1" customWidth="1" outlineLevel="1"/>
    <col min="82" max="82" width="19.42578125" style="1" customWidth="1" outlineLevel="1"/>
    <col min="83" max="83" width="19.5703125" style="1" customWidth="1" outlineLevel="1"/>
    <col min="84" max="84" width="19.28515625" style="1" customWidth="1" outlineLevel="1"/>
    <col min="85" max="86" width="19.85546875" style="1" customWidth="1" outlineLevel="1"/>
    <col min="87" max="87" width="19.42578125" style="1" customWidth="1" outlineLevel="1"/>
    <col min="88" max="88" width="19.140625" style="1" customWidth="1" outlineLevel="1"/>
    <col min="89" max="89" width="20" style="1" customWidth="1" outlineLevel="1"/>
    <col min="90" max="90" width="19.28515625" style="1" customWidth="1" outlineLevel="1"/>
    <col min="91" max="91" width="19.140625" style="1" customWidth="1" outlineLevel="1"/>
    <col min="92" max="92" width="19.28515625" style="1" customWidth="1" outlineLevel="1"/>
    <col min="93" max="93" width="20" style="1" bestFit="1" customWidth="1"/>
    <col min="94" max="94" width="19.5703125" style="1" customWidth="1" outlineLevel="1"/>
    <col min="95" max="95" width="20.140625" style="1" customWidth="1" outlineLevel="1"/>
    <col min="96" max="97" width="19.85546875" style="1" customWidth="1" outlineLevel="1"/>
    <col min="98" max="98" width="19.42578125" style="1" customWidth="1" outlineLevel="1"/>
    <col min="99" max="99" width="19.5703125" style="1" customWidth="1" outlineLevel="1"/>
    <col min="100" max="100" width="19.85546875" style="1" customWidth="1" outlineLevel="1"/>
    <col min="101" max="101" width="19.5703125" style="1" customWidth="1" outlineLevel="1"/>
    <col min="102" max="102" width="19.85546875" style="1" customWidth="1" outlineLevel="1"/>
    <col min="103" max="103" width="19.42578125" style="1" customWidth="1" outlineLevel="1"/>
    <col min="104" max="104" width="19.5703125" style="1" customWidth="1" outlineLevel="1"/>
    <col min="105" max="105" width="20" style="1" customWidth="1" outlineLevel="1"/>
    <col min="106" max="106" width="19.85546875" style="1" bestFit="1" customWidth="1"/>
    <col min="107" max="108" width="20.140625" style="1" customWidth="1" outlineLevel="1"/>
    <col min="109" max="114" width="19.5703125" style="1" customWidth="1" outlineLevel="1"/>
    <col min="115" max="115" width="19.42578125" style="1" customWidth="1" outlineLevel="1"/>
    <col min="116" max="116" width="19.5703125" style="1" customWidth="1" outlineLevel="1"/>
    <col min="117" max="117" width="19.28515625" style="1" customWidth="1" outlineLevel="1"/>
    <col min="118" max="118" width="19.85546875" style="1" customWidth="1" outlineLevel="1"/>
    <col min="119" max="119" width="20" style="1" bestFit="1" customWidth="1"/>
    <col min="120" max="120" width="19.28515625" style="1" customWidth="1" outlineLevel="1"/>
    <col min="121" max="121" width="19.140625" style="1" customWidth="1" outlineLevel="1"/>
    <col min="122" max="123" width="20" style="1" customWidth="1" outlineLevel="1"/>
    <col min="124" max="124" width="19.5703125" style="1" customWidth="1" outlineLevel="1"/>
    <col min="125" max="125" width="19.140625" style="1" customWidth="1" outlineLevel="1"/>
    <col min="126" max="126" width="19.28515625" style="1" customWidth="1" outlineLevel="1"/>
    <col min="127" max="127" width="20.140625" style="1" customWidth="1" outlineLevel="1"/>
    <col min="128" max="128" width="18.85546875" style="1" customWidth="1" outlineLevel="1"/>
    <col min="129" max="129" width="19.5703125" style="1" customWidth="1" outlineLevel="1"/>
    <col min="130" max="130" width="19.42578125" style="1" customWidth="1" outlineLevel="1"/>
    <col min="131" max="131" width="20" style="1" customWidth="1" outlineLevel="1"/>
    <col min="132" max="132" width="19.140625" style="1" bestFit="1" customWidth="1"/>
    <col min="133" max="133" width="19.28515625" style="1" customWidth="1" outlineLevel="1"/>
    <col min="134" max="134" width="18.85546875" style="1" customWidth="1" outlineLevel="1"/>
    <col min="135" max="135" width="19.5703125" style="1" customWidth="1" outlineLevel="1"/>
    <col min="136" max="136" width="19.28515625" style="1" customWidth="1" outlineLevel="1"/>
    <col min="137" max="137" width="19.5703125" style="1" customWidth="1" outlineLevel="1"/>
    <col min="138" max="138" width="19.28515625" style="1" customWidth="1" outlineLevel="1"/>
    <col min="139" max="140" width="19.5703125" style="1" customWidth="1" outlineLevel="1"/>
    <col min="141" max="141" width="19.42578125" style="1" customWidth="1" outlineLevel="1"/>
    <col min="142" max="142" width="19.140625" style="1" customWidth="1" outlineLevel="1"/>
    <col min="143" max="143" width="19.28515625" style="1" customWidth="1" outlineLevel="1"/>
    <col min="144" max="144" width="19.140625" style="1" customWidth="1" outlineLevel="1"/>
    <col min="145" max="145" width="19.42578125" style="1" bestFit="1" customWidth="1"/>
    <col min="146" max="146" width="19.28515625" style="1" customWidth="1" outlineLevel="1"/>
    <col min="147" max="147" width="19.42578125" style="1" customWidth="1" outlineLevel="1"/>
    <col min="148" max="148" width="19.5703125" style="1" customWidth="1" outlineLevel="1"/>
    <col min="149" max="151" width="18.85546875" style="1" customWidth="1" outlineLevel="1"/>
    <col min="152" max="152" width="19.85546875" style="1" customWidth="1" outlineLevel="1"/>
    <col min="153" max="153" width="19.42578125" style="1" customWidth="1" outlineLevel="1"/>
    <col min="154" max="154" width="19.5703125" style="1" customWidth="1" outlineLevel="1"/>
    <col min="155" max="155" width="19.85546875" style="1" customWidth="1" outlineLevel="1"/>
    <col min="156" max="156" width="19.28515625" style="1" customWidth="1" outlineLevel="1"/>
    <col min="157" max="157" width="19.42578125" style="1" customWidth="1" outlineLevel="1"/>
    <col min="158" max="158" width="19.28515625" style="1" bestFit="1" customWidth="1"/>
    <col min="159" max="159" width="19.5703125" style="1" customWidth="1" outlineLevel="1"/>
    <col min="160" max="160" width="19.42578125" style="1" customWidth="1" outlineLevel="1"/>
    <col min="161" max="162" width="19.85546875" style="1" customWidth="1" outlineLevel="1"/>
    <col min="163" max="163" width="18.85546875" style="1" customWidth="1" outlineLevel="1"/>
    <col min="164" max="164" width="19.42578125" style="1" customWidth="1" outlineLevel="1"/>
    <col min="165" max="165" width="19.5703125" style="1" customWidth="1" outlineLevel="1"/>
    <col min="166" max="166" width="19.85546875" style="1" customWidth="1" outlineLevel="1"/>
    <col min="167" max="167" width="19.5703125" style="1" customWidth="1" outlineLevel="1"/>
    <col min="168" max="168" width="20" style="1" customWidth="1" outlineLevel="1"/>
    <col min="169" max="170" width="19.28515625" style="1" customWidth="1" outlineLevel="1"/>
    <col min="171" max="171" width="20.28515625" style="1" bestFit="1" customWidth="1"/>
    <col min="172" max="172" width="20" style="1" customWidth="1" outlineLevel="1"/>
    <col min="173" max="173" width="19.5703125" style="1" customWidth="1" outlineLevel="1"/>
    <col min="174" max="174" width="19.85546875" style="1" customWidth="1" outlineLevel="1"/>
    <col min="175" max="175" width="19.42578125" style="1" customWidth="1" outlineLevel="1"/>
    <col min="176" max="176" width="19.85546875" style="1" customWidth="1" outlineLevel="1"/>
    <col min="177" max="178" width="19.28515625" style="1" customWidth="1" outlineLevel="1"/>
    <col min="179" max="179" width="20.28515625" style="1" customWidth="1" outlineLevel="1"/>
    <col min="180" max="180" width="20.85546875" style="1" customWidth="1" outlineLevel="1"/>
    <col min="181" max="181" width="20.5703125" style="1" customWidth="1" outlineLevel="1"/>
    <col min="182" max="182" width="20.140625" style="1" customWidth="1" outlineLevel="1"/>
    <col min="183" max="183" width="20.28515625" style="1" customWidth="1" outlineLevel="1"/>
    <col min="184" max="184" width="20.28515625" style="1" bestFit="1" customWidth="1"/>
    <col min="185" max="185" width="20.7109375" style="1" customWidth="1" outlineLevel="1"/>
    <col min="186" max="186" width="20.28515625" style="1" customWidth="1" outlineLevel="1"/>
    <col min="187" max="187" width="20.140625" style="1" customWidth="1" outlineLevel="1"/>
    <col min="188" max="188" width="19.5703125" style="1" customWidth="1" outlineLevel="1"/>
    <col min="189" max="189" width="20.28515625" style="1" customWidth="1" outlineLevel="1"/>
    <col min="190" max="16384" width="22.5703125" style="1"/>
  </cols>
  <sheetData>
    <row r="1" spans="1:189" ht="25.5" customHeight="1" x14ac:dyDescent="0.25">
      <c r="A1" s="192" t="s">
        <v>216</v>
      </c>
      <c r="B1" s="39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</row>
    <row r="2" spans="1:189" ht="18" customHeight="1" x14ac:dyDescent="0.25">
      <c r="A2" s="2"/>
      <c r="B2" s="2"/>
    </row>
    <row r="3" spans="1:189" x14ac:dyDescent="0.25">
      <c r="A3" s="3" t="s">
        <v>60</v>
      </c>
      <c r="B3" s="3"/>
      <c r="C3" s="4">
        <f>+'DATOS ENTRADA'!$B$33</f>
        <v>0.06</v>
      </c>
      <c r="D3" s="4">
        <f>+'DATOS ENTRADA'!$B$33</f>
        <v>0.06</v>
      </c>
      <c r="E3" s="4">
        <f>+'DATOS ENTRADA'!$B$33</f>
        <v>0.06</v>
      </c>
      <c r="F3" s="4">
        <f>+'DATOS ENTRADA'!$B$33</f>
        <v>0.06</v>
      </c>
      <c r="G3" s="4">
        <f>+'DATOS ENTRADA'!$B$33</f>
        <v>0.06</v>
      </c>
      <c r="H3" s="4">
        <f>+'DATOS ENTRADA'!$B$33</f>
        <v>0.06</v>
      </c>
      <c r="I3" s="4">
        <f>+'DATOS ENTRADA'!$B$33</f>
        <v>0.06</v>
      </c>
      <c r="J3" s="4">
        <f>+'DATOS ENTRADA'!$B$33</f>
        <v>0.06</v>
      </c>
      <c r="K3" s="4">
        <f>+'DATOS ENTRADA'!$B$33</f>
        <v>0.06</v>
      </c>
      <c r="L3" s="4">
        <f>+'DATOS ENTRADA'!$B$33</f>
        <v>0.06</v>
      </c>
      <c r="M3" s="4">
        <f>+'DATOS ENTRADA'!$B$33</f>
        <v>0.06</v>
      </c>
      <c r="N3" s="4">
        <f>+'DATOS ENTRADA'!$B$33</f>
        <v>0.06</v>
      </c>
      <c r="O3" s="4"/>
      <c r="P3" s="4">
        <f>+'DATOS ENTRADA'!$B$33</f>
        <v>0.06</v>
      </c>
      <c r="Q3" s="4">
        <f>+'DATOS ENTRADA'!$B$33</f>
        <v>0.06</v>
      </c>
      <c r="R3" s="4">
        <f>+'DATOS ENTRADA'!$B$33</f>
        <v>0.06</v>
      </c>
      <c r="S3" s="4">
        <f>+'DATOS ENTRADA'!$B$33</f>
        <v>0.06</v>
      </c>
      <c r="T3" s="4">
        <f>+'DATOS ENTRADA'!$B$33</f>
        <v>0.06</v>
      </c>
      <c r="U3" s="4">
        <f>+'DATOS ENTRADA'!$B$33</f>
        <v>0.06</v>
      </c>
      <c r="V3" s="4">
        <f>+'DATOS ENTRADA'!$B$33</f>
        <v>0.06</v>
      </c>
      <c r="W3" s="4">
        <f>+'DATOS ENTRADA'!$B$33</f>
        <v>0.06</v>
      </c>
      <c r="X3" s="4">
        <f>+'DATOS ENTRADA'!$B$33</f>
        <v>0.06</v>
      </c>
      <c r="Y3" s="4">
        <f>+'DATOS ENTRADA'!$B$33</f>
        <v>0.06</v>
      </c>
      <c r="Z3" s="4">
        <f>+'DATOS ENTRADA'!$B$33</f>
        <v>0.06</v>
      </c>
      <c r="AA3" s="4">
        <f>+'DATOS ENTRADA'!$B$33</f>
        <v>0.06</v>
      </c>
      <c r="AB3" s="4"/>
      <c r="AC3" s="4">
        <f>+'DATOS ENTRADA'!$B$33</f>
        <v>0.06</v>
      </c>
      <c r="AD3" s="4">
        <f>+'DATOS ENTRADA'!$B$33</f>
        <v>0.06</v>
      </c>
      <c r="AE3" s="4">
        <f>+'DATOS ENTRADA'!$B$33</f>
        <v>0.06</v>
      </c>
      <c r="AF3" s="4">
        <f>+'DATOS ENTRADA'!$B$33</f>
        <v>0.06</v>
      </c>
      <c r="AG3" s="4">
        <f>+'DATOS ENTRADA'!$B$33</f>
        <v>0.06</v>
      </c>
      <c r="AH3" s="4">
        <f>+'DATOS ENTRADA'!$B$33</f>
        <v>0.06</v>
      </c>
      <c r="AI3" s="4">
        <f>+'DATOS ENTRADA'!$B$33</f>
        <v>0.06</v>
      </c>
      <c r="AJ3" s="4">
        <f>+'DATOS ENTRADA'!$B$33</f>
        <v>0.06</v>
      </c>
      <c r="AK3" s="4">
        <f>+'DATOS ENTRADA'!$B$33</f>
        <v>0.06</v>
      </c>
      <c r="AL3" s="4">
        <f>+'DATOS ENTRADA'!$B$33</f>
        <v>0.06</v>
      </c>
      <c r="AM3" s="4">
        <f>+'DATOS ENTRADA'!$B$33</f>
        <v>0.06</v>
      </c>
      <c r="AN3" s="4">
        <f>+'DATOS ENTRADA'!$B$33</f>
        <v>0.06</v>
      </c>
      <c r="AO3" s="4"/>
      <c r="AP3" s="4">
        <f>+'DATOS ENTRADA'!$B$33</f>
        <v>0.06</v>
      </c>
      <c r="AQ3" s="4">
        <f>+'DATOS ENTRADA'!$B$33</f>
        <v>0.06</v>
      </c>
      <c r="AR3" s="4">
        <f>+'DATOS ENTRADA'!$B$33</f>
        <v>0.06</v>
      </c>
      <c r="AS3" s="4">
        <f>+'DATOS ENTRADA'!$B$33</f>
        <v>0.06</v>
      </c>
      <c r="AT3" s="4">
        <f>+'DATOS ENTRADA'!$B$33</f>
        <v>0.06</v>
      </c>
      <c r="AU3" s="4">
        <f>+'DATOS ENTRADA'!$B$33</f>
        <v>0.06</v>
      </c>
      <c r="AV3" s="4">
        <f>+'DATOS ENTRADA'!$B$33</f>
        <v>0.06</v>
      </c>
      <c r="AW3" s="4">
        <f>+'DATOS ENTRADA'!$B$33</f>
        <v>0.06</v>
      </c>
      <c r="AX3" s="4">
        <f>+'DATOS ENTRADA'!$B$33</f>
        <v>0.06</v>
      </c>
      <c r="AY3" s="4">
        <f>+'DATOS ENTRADA'!$B$33</f>
        <v>0.06</v>
      </c>
      <c r="AZ3" s="4">
        <f>+'DATOS ENTRADA'!$B$33</f>
        <v>0.06</v>
      </c>
      <c r="BA3" s="4">
        <f>+'DATOS ENTRADA'!$B$33</f>
        <v>0.06</v>
      </c>
      <c r="BB3" s="4"/>
      <c r="BC3" s="4">
        <f>+'DATOS ENTRADA'!$B$33</f>
        <v>0.06</v>
      </c>
      <c r="BD3" s="4">
        <f>+'DATOS ENTRADA'!$B$33</f>
        <v>0.06</v>
      </c>
      <c r="BE3" s="4">
        <f>+'DATOS ENTRADA'!$B$33</f>
        <v>0.06</v>
      </c>
      <c r="BF3" s="4">
        <f>+'DATOS ENTRADA'!$B$33</f>
        <v>0.06</v>
      </c>
      <c r="BG3" s="4">
        <f>+'DATOS ENTRADA'!$B$33</f>
        <v>0.06</v>
      </c>
      <c r="BH3" s="4">
        <f>+'DATOS ENTRADA'!$B$33</f>
        <v>0.06</v>
      </c>
      <c r="BI3" s="4">
        <f>+'DATOS ENTRADA'!$B$33</f>
        <v>0.06</v>
      </c>
      <c r="BJ3" s="4">
        <f>+'DATOS ENTRADA'!$B$33</f>
        <v>0.06</v>
      </c>
      <c r="BK3" s="4">
        <f>+'DATOS ENTRADA'!$B$33</f>
        <v>0.06</v>
      </c>
      <c r="BL3" s="4">
        <f>+'DATOS ENTRADA'!$B$33</f>
        <v>0.06</v>
      </c>
      <c r="BM3" s="4">
        <f>+'DATOS ENTRADA'!$B$33</f>
        <v>0.06</v>
      </c>
      <c r="BN3" s="4">
        <f>+'DATOS ENTRADA'!$B$33</f>
        <v>0.06</v>
      </c>
      <c r="BO3" s="4"/>
      <c r="BP3" s="4">
        <f>+'DATOS ENTRADA'!$B$33</f>
        <v>0.06</v>
      </c>
      <c r="BQ3" s="4">
        <f>+'DATOS ENTRADA'!$B$33</f>
        <v>0.06</v>
      </c>
      <c r="BR3" s="4">
        <f>+'DATOS ENTRADA'!$B$33</f>
        <v>0.06</v>
      </c>
      <c r="BS3" s="4">
        <f>+'DATOS ENTRADA'!$B$33</f>
        <v>0.06</v>
      </c>
      <c r="BT3" s="4">
        <f>+'DATOS ENTRADA'!$B$33</f>
        <v>0.06</v>
      </c>
      <c r="BU3" s="4">
        <f>+'DATOS ENTRADA'!$B$33</f>
        <v>0.06</v>
      </c>
      <c r="BV3" s="4">
        <f>+'DATOS ENTRADA'!$B$33</f>
        <v>0.06</v>
      </c>
      <c r="BW3" s="4">
        <f>+'DATOS ENTRADA'!$B$33</f>
        <v>0.06</v>
      </c>
      <c r="BX3" s="4">
        <f>+'DATOS ENTRADA'!$B$33</f>
        <v>0.06</v>
      </c>
      <c r="BY3" s="4">
        <f>+'DATOS ENTRADA'!$B$33</f>
        <v>0.06</v>
      </c>
      <c r="BZ3" s="4">
        <f>+'DATOS ENTRADA'!$B$33</f>
        <v>0.06</v>
      </c>
      <c r="CA3" s="4">
        <f>+'DATOS ENTRADA'!$B$33</f>
        <v>0.06</v>
      </c>
      <c r="CB3" s="4"/>
      <c r="CC3" s="4">
        <f>+'DATOS ENTRADA'!$B$33</f>
        <v>0.06</v>
      </c>
      <c r="CD3" s="4">
        <f>+'DATOS ENTRADA'!$B$33</f>
        <v>0.06</v>
      </c>
      <c r="CE3" s="4">
        <f>+'DATOS ENTRADA'!$B$33</f>
        <v>0.06</v>
      </c>
      <c r="CF3" s="4">
        <f>+'DATOS ENTRADA'!$B$33</f>
        <v>0.06</v>
      </c>
      <c r="CG3" s="4">
        <f>+'DATOS ENTRADA'!$B$33</f>
        <v>0.06</v>
      </c>
      <c r="CH3" s="4">
        <f>+'DATOS ENTRADA'!$B$33</f>
        <v>0.06</v>
      </c>
      <c r="CI3" s="4">
        <f>+'DATOS ENTRADA'!$B$33</f>
        <v>0.06</v>
      </c>
      <c r="CJ3" s="4">
        <f>+'DATOS ENTRADA'!$B$33</f>
        <v>0.06</v>
      </c>
      <c r="CK3" s="4">
        <f>+'DATOS ENTRADA'!$B$33</f>
        <v>0.06</v>
      </c>
      <c r="CL3" s="4">
        <f>+'DATOS ENTRADA'!$B$33</f>
        <v>0.06</v>
      </c>
      <c r="CM3" s="4">
        <f>+'DATOS ENTRADA'!$B$33</f>
        <v>0.06</v>
      </c>
      <c r="CN3" s="4">
        <f>+'DATOS ENTRADA'!$B$33</f>
        <v>0.06</v>
      </c>
      <c r="CO3" s="4"/>
      <c r="CP3" s="4">
        <f>+'DATOS ENTRADA'!$B$33</f>
        <v>0.06</v>
      </c>
      <c r="CQ3" s="4">
        <f>+'DATOS ENTRADA'!$B$33</f>
        <v>0.06</v>
      </c>
      <c r="CR3" s="4">
        <f>+'DATOS ENTRADA'!$B$33</f>
        <v>0.06</v>
      </c>
      <c r="CS3" s="4">
        <f>+'DATOS ENTRADA'!$B$33</f>
        <v>0.06</v>
      </c>
      <c r="CT3" s="4">
        <f>+'DATOS ENTRADA'!$B$33</f>
        <v>0.06</v>
      </c>
      <c r="CU3" s="4">
        <f>+'DATOS ENTRADA'!$B$33</f>
        <v>0.06</v>
      </c>
      <c r="CV3" s="4">
        <f>+'DATOS ENTRADA'!$B$33</f>
        <v>0.06</v>
      </c>
      <c r="CW3" s="4">
        <f>+'DATOS ENTRADA'!$B$33</f>
        <v>0.06</v>
      </c>
      <c r="CX3" s="4">
        <f>+'DATOS ENTRADA'!$B$33</f>
        <v>0.06</v>
      </c>
      <c r="CY3" s="4">
        <f>+'DATOS ENTRADA'!$B$33</f>
        <v>0.06</v>
      </c>
      <c r="CZ3" s="4">
        <f>+'DATOS ENTRADA'!$B$33</f>
        <v>0.06</v>
      </c>
      <c r="DA3" s="4">
        <f>+'DATOS ENTRADA'!$B$33</f>
        <v>0.06</v>
      </c>
      <c r="DB3" s="4"/>
      <c r="DC3" s="4">
        <f>+'DATOS ENTRADA'!$B$33</f>
        <v>0.06</v>
      </c>
      <c r="DD3" s="4">
        <f>+'DATOS ENTRADA'!$B$33</f>
        <v>0.06</v>
      </c>
      <c r="DE3" s="4">
        <f>+'DATOS ENTRADA'!$B$33</f>
        <v>0.06</v>
      </c>
      <c r="DF3" s="4">
        <f>+'DATOS ENTRADA'!$B$33</f>
        <v>0.06</v>
      </c>
      <c r="DG3" s="4">
        <f>+'DATOS ENTRADA'!$B$33</f>
        <v>0.06</v>
      </c>
      <c r="DH3" s="4">
        <f>+'DATOS ENTRADA'!$B$33</f>
        <v>0.06</v>
      </c>
      <c r="DI3" s="4">
        <f>+'DATOS ENTRADA'!$B$33</f>
        <v>0.06</v>
      </c>
      <c r="DJ3" s="4">
        <f>+'DATOS ENTRADA'!$B$33</f>
        <v>0.06</v>
      </c>
      <c r="DK3" s="4">
        <f>+'DATOS ENTRADA'!$B$33</f>
        <v>0.06</v>
      </c>
      <c r="DL3" s="4">
        <f>+'DATOS ENTRADA'!$B$33</f>
        <v>0.06</v>
      </c>
      <c r="DM3" s="4">
        <f>+'DATOS ENTRADA'!$B$33</f>
        <v>0.06</v>
      </c>
      <c r="DN3" s="4">
        <f>+'DATOS ENTRADA'!$B$33</f>
        <v>0.06</v>
      </c>
      <c r="DO3" s="4"/>
      <c r="DP3" s="4">
        <f>+'DATOS ENTRADA'!$B$33</f>
        <v>0.06</v>
      </c>
      <c r="DQ3" s="4">
        <f>+'DATOS ENTRADA'!$B$33</f>
        <v>0.06</v>
      </c>
      <c r="DR3" s="4">
        <f>+'DATOS ENTRADA'!$B$33</f>
        <v>0.06</v>
      </c>
      <c r="DS3" s="4">
        <f>+'DATOS ENTRADA'!$B$33</f>
        <v>0.06</v>
      </c>
      <c r="DT3" s="4">
        <f>+'DATOS ENTRADA'!$B$33</f>
        <v>0.06</v>
      </c>
      <c r="DU3" s="4">
        <f>+'DATOS ENTRADA'!$B$33</f>
        <v>0.06</v>
      </c>
      <c r="DV3" s="4">
        <f>+'DATOS ENTRADA'!$B$33</f>
        <v>0.06</v>
      </c>
      <c r="DW3" s="4">
        <f>+'DATOS ENTRADA'!$B$33</f>
        <v>0.06</v>
      </c>
      <c r="DX3" s="4">
        <f>+'DATOS ENTRADA'!$B$33</f>
        <v>0.06</v>
      </c>
      <c r="DY3" s="4">
        <f>+'DATOS ENTRADA'!$B$33</f>
        <v>0.06</v>
      </c>
      <c r="DZ3" s="4">
        <f>+'DATOS ENTRADA'!$B$33</f>
        <v>0.06</v>
      </c>
      <c r="EA3" s="4">
        <f>+'DATOS ENTRADA'!$B$33</f>
        <v>0.06</v>
      </c>
      <c r="EB3" s="4"/>
      <c r="EC3" s="4">
        <f>+'DATOS ENTRADA'!$B$33</f>
        <v>0.06</v>
      </c>
      <c r="ED3" s="4">
        <f>+'DATOS ENTRADA'!$B$33</f>
        <v>0.06</v>
      </c>
      <c r="EE3" s="4">
        <f>+'DATOS ENTRADA'!$B$33</f>
        <v>0.06</v>
      </c>
      <c r="EF3" s="4">
        <f>+'DATOS ENTRADA'!$B$33</f>
        <v>0.06</v>
      </c>
      <c r="EG3" s="4">
        <f>+'DATOS ENTRADA'!$B$33</f>
        <v>0.06</v>
      </c>
      <c r="EH3" s="4">
        <f>+'DATOS ENTRADA'!$B$33</f>
        <v>0.06</v>
      </c>
      <c r="EI3" s="4">
        <f>+'DATOS ENTRADA'!$B$33</f>
        <v>0.06</v>
      </c>
      <c r="EJ3" s="4">
        <f>+'DATOS ENTRADA'!$B$33</f>
        <v>0.06</v>
      </c>
      <c r="EK3" s="4">
        <f>+'DATOS ENTRADA'!$B$33</f>
        <v>0.06</v>
      </c>
      <c r="EL3" s="4">
        <f>+'DATOS ENTRADA'!$B$33</f>
        <v>0.06</v>
      </c>
      <c r="EM3" s="4">
        <f>+'DATOS ENTRADA'!$B$33</f>
        <v>0.06</v>
      </c>
      <c r="EN3" s="4">
        <f>+'DATOS ENTRADA'!$B$33</f>
        <v>0.06</v>
      </c>
      <c r="EO3" s="4"/>
      <c r="EP3" s="4">
        <f>+'DATOS ENTRADA'!$B$33</f>
        <v>0.06</v>
      </c>
      <c r="EQ3" s="4">
        <f>+'DATOS ENTRADA'!$B$33</f>
        <v>0.06</v>
      </c>
      <c r="ER3" s="4">
        <f>+'DATOS ENTRADA'!$B$33</f>
        <v>0.06</v>
      </c>
      <c r="ES3" s="4">
        <f>+'DATOS ENTRADA'!$B$33</f>
        <v>0.06</v>
      </c>
      <c r="ET3" s="4">
        <f>+'DATOS ENTRADA'!$B$33</f>
        <v>0.06</v>
      </c>
      <c r="EU3" s="4">
        <f>+'DATOS ENTRADA'!$B$33</f>
        <v>0.06</v>
      </c>
      <c r="EV3" s="4">
        <f>+'DATOS ENTRADA'!$B$33</f>
        <v>0.06</v>
      </c>
      <c r="EW3" s="4">
        <f>+'DATOS ENTRADA'!$B$33</f>
        <v>0.06</v>
      </c>
      <c r="EX3" s="4">
        <f>+'DATOS ENTRADA'!$B$33</f>
        <v>0.06</v>
      </c>
      <c r="EY3" s="4">
        <f>+'DATOS ENTRADA'!$B$33</f>
        <v>0.06</v>
      </c>
      <c r="EZ3" s="4">
        <f>+'DATOS ENTRADA'!$B$33</f>
        <v>0.06</v>
      </c>
      <c r="FA3" s="4">
        <f>+'DATOS ENTRADA'!$B$33</f>
        <v>0.06</v>
      </c>
      <c r="FB3" s="4"/>
      <c r="FC3" s="4">
        <f>+'DATOS ENTRADA'!$B$33</f>
        <v>0.06</v>
      </c>
      <c r="FD3" s="4">
        <f>+'DATOS ENTRADA'!$B$33</f>
        <v>0.06</v>
      </c>
      <c r="FE3" s="4">
        <f>+'DATOS ENTRADA'!$B$33</f>
        <v>0.06</v>
      </c>
      <c r="FF3" s="4">
        <f>+'DATOS ENTRADA'!$B$33</f>
        <v>0.06</v>
      </c>
      <c r="FG3" s="4">
        <f>+'DATOS ENTRADA'!$B$33</f>
        <v>0.06</v>
      </c>
      <c r="FH3" s="4">
        <f>+'DATOS ENTRADA'!$B$33</f>
        <v>0.06</v>
      </c>
      <c r="FI3" s="4">
        <f>+'DATOS ENTRADA'!$B$33</f>
        <v>0.06</v>
      </c>
      <c r="FJ3" s="4">
        <f>+'DATOS ENTRADA'!$B$33</f>
        <v>0.06</v>
      </c>
      <c r="FK3" s="4">
        <f>+'DATOS ENTRADA'!$B$33</f>
        <v>0.06</v>
      </c>
      <c r="FL3" s="4">
        <f>+'DATOS ENTRADA'!$B$33</f>
        <v>0.06</v>
      </c>
      <c r="FM3" s="4">
        <f>+'DATOS ENTRADA'!$B$33</f>
        <v>0.06</v>
      </c>
      <c r="FN3" s="4">
        <f>+'DATOS ENTRADA'!$B$33</f>
        <v>0.06</v>
      </c>
      <c r="FO3" s="4"/>
      <c r="FP3" s="4">
        <f>+'DATOS ENTRADA'!$B$33</f>
        <v>0.06</v>
      </c>
      <c r="FQ3" s="4">
        <f>+'DATOS ENTRADA'!$B$33</f>
        <v>0.06</v>
      </c>
      <c r="FR3" s="4">
        <f>+'DATOS ENTRADA'!$B$33</f>
        <v>0.06</v>
      </c>
      <c r="FS3" s="4">
        <f>+'DATOS ENTRADA'!$B$33</f>
        <v>0.06</v>
      </c>
      <c r="FT3" s="4">
        <f>+'DATOS ENTRADA'!$B$33</f>
        <v>0.06</v>
      </c>
      <c r="FU3" s="4">
        <f>+'DATOS ENTRADA'!$B$33</f>
        <v>0.06</v>
      </c>
      <c r="FV3" s="4">
        <f>+'DATOS ENTRADA'!$B$33</f>
        <v>0.06</v>
      </c>
      <c r="FW3" s="4">
        <f>+'DATOS ENTRADA'!$B$33</f>
        <v>0.06</v>
      </c>
      <c r="FX3" s="4">
        <f>+'DATOS ENTRADA'!$B$33</f>
        <v>0.06</v>
      </c>
      <c r="FY3" s="4">
        <f>+'DATOS ENTRADA'!$B$33</f>
        <v>0.06</v>
      </c>
      <c r="FZ3" s="4">
        <f>+'DATOS ENTRADA'!$B$33</f>
        <v>0.06</v>
      </c>
      <c r="GA3" s="4">
        <f>+'DATOS ENTRADA'!$B$33</f>
        <v>0.06</v>
      </c>
      <c r="GB3" s="4"/>
      <c r="GC3" s="4">
        <f>+'DATOS ENTRADA'!$B$33</f>
        <v>0.06</v>
      </c>
      <c r="GD3" s="4">
        <f>+'DATOS ENTRADA'!$B$33</f>
        <v>0.06</v>
      </c>
      <c r="GE3" s="4">
        <f>+'DATOS ENTRADA'!$B$33</f>
        <v>0.06</v>
      </c>
      <c r="GF3" s="4">
        <f>+'DATOS ENTRADA'!$B$33</f>
        <v>0.06</v>
      </c>
      <c r="GG3" s="4">
        <f>+'DATOS ENTRADA'!$B$33</f>
        <v>0.06</v>
      </c>
    </row>
    <row r="4" spans="1:189" x14ac:dyDescent="0.25">
      <c r="A4" s="3" t="s">
        <v>76</v>
      </c>
      <c r="B4" s="3"/>
      <c r="C4" s="4">
        <f>+'DATOS ENTRADA'!$B$35</f>
        <v>5.0000000000000001E-3</v>
      </c>
      <c r="D4" s="4">
        <f>+'DATOS ENTRADA'!$B$35</f>
        <v>5.0000000000000001E-3</v>
      </c>
      <c r="E4" s="4">
        <f>+'DATOS ENTRADA'!$B$35</f>
        <v>5.0000000000000001E-3</v>
      </c>
      <c r="F4" s="4">
        <f>+'DATOS ENTRADA'!$B$35</f>
        <v>5.0000000000000001E-3</v>
      </c>
      <c r="G4" s="4">
        <f>+'DATOS ENTRADA'!$B$35</f>
        <v>5.0000000000000001E-3</v>
      </c>
      <c r="H4" s="4">
        <f>+'DATOS ENTRADA'!$B$35</f>
        <v>5.0000000000000001E-3</v>
      </c>
      <c r="I4" s="4">
        <f>+'DATOS ENTRADA'!$B$35</f>
        <v>5.0000000000000001E-3</v>
      </c>
      <c r="J4" s="4">
        <f>+'DATOS ENTRADA'!$B$35</f>
        <v>5.0000000000000001E-3</v>
      </c>
      <c r="K4" s="4">
        <f>+'DATOS ENTRADA'!$B$35</f>
        <v>5.0000000000000001E-3</v>
      </c>
      <c r="L4" s="4">
        <f>+'DATOS ENTRADA'!$B$35</f>
        <v>5.0000000000000001E-3</v>
      </c>
      <c r="M4" s="4">
        <f>+'DATOS ENTRADA'!$B$35</f>
        <v>5.0000000000000001E-3</v>
      </c>
      <c r="N4" s="4">
        <f>+'DATOS ENTRADA'!$B$35</f>
        <v>5.0000000000000001E-3</v>
      </c>
      <c r="O4" s="4"/>
      <c r="P4" s="4">
        <f>+'DATOS ENTRADA'!$B$35</f>
        <v>5.0000000000000001E-3</v>
      </c>
      <c r="Q4" s="4">
        <f>+'DATOS ENTRADA'!$B$35</f>
        <v>5.0000000000000001E-3</v>
      </c>
      <c r="R4" s="4">
        <f>+'DATOS ENTRADA'!$B$35</f>
        <v>5.0000000000000001E-3</v>
      </c>
      <c r="S4" s="4">
        <f>+'DATOS ENTRADA'!$B$35</f>
        <v>5.0000000000000001E-3</v>
      </c>
      <c r="T4" s="4">
        <f>+'DATOS ENTRADA'!$B$35</f>
        <v>5.0000000000000001E-3</v>
      </c>
      <c r="U4" s="4">
        <f>+'DATOS ENTRADA'!$B$35</f>
        <v>5.0000000000000001E-3</v>
      </c>
      <c r="V4" s="4">
        <f>+'DATOS ENTRADA'!$B$35</f>
        <v>5.0000000000000001E-3</v>
      </c>
      <c r="W4" s="4">
        <f>+'DATOS ENTRADA'!$B$35</f>
        <v>5.0000000000000001E-3</v>
      </c>
      <c r="X4" s="4">
        <f>+'DATOS ENTRADA'!$B$35</f>
        <v>5.0000000000000001E-3</v>
      </c>
      <c r="Y4" s="4">
        <f>+'DATOS ENTRADA'!$B$35</f>
        <v>5.0000000000000001E-3</v>
      </c>
      <c r="Z4" s="4">
        <f>+'DATOS ENTRADA'!$B$35</f>
        <v>5.0000000000000001E-3</v>
      </c>
      <c r="AA4" s="4">
        <f>+'DATOS ENTRADA'!$B$35</f>
        <v>5.0000000000000001E-3</v>
      </c>
      <c r="AB4" s="4"/>
      <c r="AC4" s="4">
        <f>+'DATOS ENTRADA'!$B$35</f>
        <v>5.0000000000000001E-3</v>
      </c>
      <c r="AD4" s="4">
        <f>+'DATOS ENTRADA'!$B$35</f>
        <v>5.0000000000000001E-3</v>
      </c>
      <c r="AE4" s="4">
        <f>+'DATOS ENTRADA'!$B$35</f>
        <v>5.0000000000000001E-3</v>
      </c>
      <c r="AF4" s="4">
        <f>+'DATOS ENTRADA'!$B$35</f>
        <v>5.0000000000000001E-3</v>
      </c>
      <c r="AG4" s="4">
        <f>+'DATOS ENTRADA'!$B$35</f>
        <v>5.0000000000000001E-3</v>
      </c>
      <c r="AH4" s="4">
        <f>+'DATOS ENTRADA'!$B$35</f>
        <v>5.0000000000000001E-3</v>
      </c>
      <c r="AI4" s="4">
        <f>+'DATOS ENTRADA'!$B$35</f>
        <v>5.0000000000000001E-3</v>
      </c>
      <c r="AJ4" s="4">
        <f>+'DATOS ENTRADA'!$B$35</f>
        <v>5.0000000000000001E-3</v>
      </c>
      <c r="AK4" s="4">
        <f>+'DATOS ENTRADA'!$B$35</f>
        <v>5.0000000000000001E-3</v>
      </c>
      <c r="AL4" s="4">
        <f>+'DATOS ENTRADA'!$B$35</f>
        <v>5.0000000000000001E-3</v>
      </c>
      <c r="AM4" s="4">
        <f>+'DATOS ENTRADA'!$B$35</f>
        <v>5.0000000000000001E-3</v>
      </c>
      <c r="AN4" s="4">
        <f>+'DATOS ENTRADA'!$B$35</f>
        <v>5.0000000000000001E-3</v>
      </c>
      <c r="AO4" s="4"/>
      <c r="AP4" s="4">
        <f>+'DATOS ENTRADA'!$B$35</f>
        <v>5.0000000000000001E-3</v>
      </c>
      <c r="AQ4" s="4">
        <f>+'DATOS ENTRADA'!$B$35</f>
        <v>5.0000000000000001E-3</v>
      </c>
      <c r="AR4" s="4">
        <f>+'DATOS ENTRADA'!$B$35</f>
        <v>5.0000000000000001E-3</v>
      </c>
      <c r="AS4" s="4">
        <f>+'DATOS ENTRADA'!$B$35</f>
        <v>5.0000000000000001E-3</v>
      </c>
      <c r="AT4" s="4">
        <f>+'DATOS ENTRADA'!$B$35</f>
        <v>5.0000000000000001E-3</v>
      </c>
      <c r="AU4" s="4">
        <f>+'DATOS ENTRADA'!$B$35</f>
        <v>5.0000000000000001E-3</v>
      </c>
      <c r="AV4" s="4">
        <f>+'DATOS ENTRADA'!$B$35</f>
        <v>5.0000000000000001E-3</v>
      </c>
      <c r="AW4" s="4">
        <f>+'DATOS ENTRADA'!$B$35</f>
        <v>5.0000000000000001E-3</v>
      </c>
      <c r="AX4" s="4">
        <f>+'DATOS ENTRADA'!$B$35</f>
        <v>5.0000000000000001E-3</v>
      </c>
      <c r="AY4" s="4">
        <f>+'DATOS ENTRADA'!$B$35</f>
        <v>5.0000000000000001E-3</v>
      </c>
      <c r="AZ4" s="4">
        <f>+'DATOS ENTRADA'!$B$35</f>
        <v>5.0000000000000001E-3</v>
      </c>
      <c r="BA4" s="4">
        <f>+'DATOS ENTRADA'!$B$35</f>
        <v>5.0000000000000001E-3</v>
      </c>
      <c r="BB4" s="4"/>
      <c r="BC4" s="4">
        <f>+'DATOS ENTRADA'!$B$35</f>
        <v>5.0000000000000001E-3</v>
      </c>
      <c r="BD4" s="4">
        <f>+'DATOS ENTRADA'!$B$35</f>
        <v>5.0000000000000001E-3</v>
      </c>
      <c r="BE4" s="4">
        <f>+'DATOS ENTRADA'!$B$35</f>
        <v>5.0000000000000001E-3</v>
      </c>
      <c r="BF4" s="4">
        <f>+'DATOS ENTRADA'!$B$35</f>
        <v>5.0000000000000001E-3</v>
      </c>
      <c r="BG4" s="4">
        <f>+'DATOS ENTRADA'!$B$35</f>
        <v>5.0000000000000001E-3</v>
      </c>
      <c r="BH4" s="4">
        <f>+'DATOS ENTRADA'!$B$35</f>
        <v>5.0000000000000001E-3</v>
      </c>
      <c r="BI4" s="4">
        <f>+'DATOS ENTRADA'!$B$35</f>
        <v>5.0000000000000001E-3</v>
      </c>
      <c r="BJ4" s="4">
        <f>+'DATOS ENTRADA'!$B$35</f>
        <v>5.0000000000000001E-3</v>
      </c>
      <c r="BK4" s="4">
        <f>+'DATOS ENTRADA'!$B$35</f>
        <v>5.0000000000000001E-3</v>
      </c>
      <c r="BL4" s="4">
        <f>+'DATOS ENTRADA'!$B$35</f>
        <v>5.0000000000000001E-3</v>
      </c>
      <c r="BM4" s="4">
        <f>+'DATOS ENTRADA'!$B$35</f>
        <v>5.0000000000000001E-3</v>
      </c>
      <c r="BN4" s="4">
        <f>+'DATOS ENTRADA'!$B$35</f>
        <v>5.0000000000000001E-3</v>
      </c>
      <c r="BO4" s="4"/>
      <c r="BP4" s="4">
        <f>+'DATOS ENTRADA'!$B$35</f>
        <v>5.0000000000000001E-3</v>
      </c>
      <c r="BQ4" s="4">
        <f>+'DATOS ENTRADA'!$B$35</f>
        <v>5.0000000000000001E-3</v>
      </c>
      <c r="BR4" s="4">
        <f>+'DATOS ENTRADA'!$B$35</f>
        <v>5.0000000000000001E-3</v>
      </c>
      <c r="BS4" s="4">
        <f>+'DATOS ENTRADA'!$B$35</f>
        <v>5.0000000000000001E-3</v>
      </c>
      <c r="BT4" s="4">
        <f>+'DATOS ENTRADA'!$B$35</f>
        <v>5.0000000000000001E-3</v>
      </c>
      <c r="BU4" s="4">
        <f>+'DATOS ENTRADA'!$B$35</f>
        <v>5.0000000000000001E-3</v>
      </c>
      <c r="BV4" s="4">
        <f>+'DATOS ENTRADA'!$B$35</f>
        <v>5.0000000000000001E-3</v>
      </c>
      <c r="BW4" s="4">
        <f>+'DATOS ENTRADA'!$B$35</f>
        <v>5.0000000000000001E-3</v>
      </c>
      <c r="BX4" s="4">
        <f>+'DATOS ENTRADA'!$B$35</f>
        <v>5.0000000000000001E-3</v>
      </c>
      <c r="BY4" s="4">
        <f>+'DATOS ENTRADA'!$B$35</f>
        <v>5.0000000000000001E-3</v>
      </c>
      <c r="BZ4" s="4">
        <f>+'DATOS ENTRADA'!$B$35</f>
        <v>5.0000000000000001E-3</v>
      </c>
      <c r="CA4" s="4">
        <f>+'DATOS ENTRADA'!$B$35</f>
        <v>5.0000000000000001E-3</v>
      </c>
      <c r="CB4" s="4"/>
      <c r="CC4" s="4">
        <f>+'DATOS ENTRADA'!$B$35</f>
        <v>5.0000000000000001E-3</v>
      </c>
      <c r="CD4" s="4">
        <f>+'DATOS ENTRADA'!$B$35</f>
        <v>5.0000000000000001E-3</v>
      </c>
      <c r="CE4" s="4">
        <f>+'DATOS ENTRADA'!$B$35</f>
        <v>5.0000000000000001E-3</v>
      </c>
      <c r="CF4" s="4">
        <f>+'DATOS ENTRADA'!$B$35</f>
        <v>5.0000000000000001E-3</v>
      </c>
      <c r="CG4" s="4">
        <f>+'DATOS ENTRADA'!$B$35</f>
        <v>5.0000000000000001E-3</v>
      </c>
      <c r="CH4" s="4">
        <f>+'DATOS ENTRADA'!$B$35</f>
        <v>5.0000000000000001E-3</v>
      </c>
      <c r="CI4" s="4">
        <f>+'DATOS ENTRADA'!$B$35</f>
        <v>5.0000000000000001E-3</v>
      </c>
      <c r="CJ4" s="4">
        <f>+'DATOS ENTRADA'!$B$35</f>
        <v>5.0000000000000001E-3</v>
      </c>
      <c r="CK4" s="4">
        <f>+'DATOS ENTRADA'!$B$35</f>
        <v>5.0000000000000001E-3</v>
      </c>
      <c r="CL4" s="4">
        <f>+'DATOS ENTRADA'!$B$35</f>
        <v>5.0000000000000001E-3</v>
      </c>
      <c r="CM4" s="4">
        <f>+'DATOS ENTRADA'!$B$35</f>
        <v>5.0000000000000001E-3</v>
      </c>
      <c r="CN4" s="4">
        <f>+'DATOS ENTRADA'!$B$35</f>
        <v>5.0000000000000001E-3</v>
      </c>
      <c r="CO4" s="4"/>
      <c r="CP4" s="4">
        <f>+'DATOS ENTRADA'!$B$35</f>
        <v>5.0000000000000001E-3</v>
      </c>
      <c r="CQ4" s="4">
        <f>+'DATOS ENTRADA'!$B$35</f>
        <v>5.0000000000000001E-3</v>
      </c>
      <c r="CR4" s="4">
        <f>+'DATOS ENTRADA'!$B$35</f>
        <v>5.0000000000000001E-3</v>
      </c>
      <c r="CS4" s="4">
        <f>+'DATOS ENTRADA'!$B$35</f>
        <v>5.0000000000000001E-3</v>
      </c>
      <c r="CT4" s="4">
        <f>+'DATOS ENTRADA'!$B$35</f>
        <v>5.0000000000000001E-3</v>
      </c>
      <c r="CU4" s="4">
        <f>+'DATOS ENTRADA'!$B$35</f>
        <v>5.0000000000000001E-3</v>
      </c>
      <c r="CV4" s="4">
        <f>+'DATOS ENTRADA'!$B$35</f>
        <v>5.0000000000000001E-3</v>
      </c>
      <c r="CW4" s="4">
        <f>+'DATOS ENTRADA'!$B$35</f>
        <v>5.0000000000000001E-3</v>
      </c>
      <c r="CX4" s="4">
        <f>+'DATOS ENTRADA'!$B$35</f>
        <v>5.0000000000000001E-3</v>
      </c>
      <c r="CY4" s="4">
        <f>+'DATOS ENTRADA'!$B$35</f>
        <v>5.0000000000000001E-3</v>
      </c>
      <c r="CZ4" s="4">
        <f>+'DATOS ENTRADA'!$B$35</f>
        <v>5.0000000000000001E-3</v>
      </c>
      <c r="DA4" s="4">
        <f>+'DATOS ENTRADA'!$B$35</f>
        <v>5.0000000000000001E-3</v>
      </c>
      <c r="DB4" s="4"/>
      <c r="DC4" s="4">
        <f>+'DATOS ENTRADA'!$B$35</f>
        <v>5.0000000000000001E-3</v>
      </c>
      <c r="DD4" s="4">
        <f>+'DATOS ENTRADA'!$B$35</f>
        <v>5.0000000000000001E-3</v>
      </c>
      <c r="DE4" s="4">
        <f>+'DATOS ENTRADA'!$B$35</f>
        <v>5.0000000000000001E-3</v>
      </c>
      <c r="DF4" s="4">
        <f>+'DATOS ENTRADA'!$B$35</f>
        <v>5.0000000000000001E-3</v>
      </c>
      <c r="DG4" s="4">
        <f>+'DATOS ENTRADA'!$B$35</f>
        <v>5.0000000000000001E-3</v>
      </c>
      <c r="DH4" s="4">
        <f>+'DATOS ENTRADA'!$B$35</f>
        <v>5.0000000000000001E-3</v>
      </c>
      <c r="DI4" s="4">
        <f>+'DATOS ENTRADA'!$B$35</f>
        <v>5.0000000000000001E-3</v>
      </c>
      <c r="DJ4" s="4">
        <f>+'DATOS ENTRADA'!$B$35</f>
        <v>5.0000000000000001E-3</v>
      </c>
      <c r="DK4" s="4">
        <f>+'DATOS ENTRADA'!$B$35</f>
        <v>5.0000000000000001E-3</v>
      </c>
      <c r="DL4" s="4">
        <f>+'DATOS ENTRADA'!$B$35</f>
        <v>5.0000000000000001E-3</v>
      </c>
      <c r="DM4" s="4">
        <f>+'DATOS ENTRADA'!$B$35</f>
        <v>5.0000000000000001E-3</v>
      </c>
      <c r="DN4" s="4">
        <f>+'DATOS ENTRADA'!$B$35</f>
        <v>5.0000000000000001E-3</v>
      </c>
      <c r="DO4" s="4"/>
      <c r="DP4" s="4">
        <f>+'DATOS ENTRADA'!$B$35</f>
        <v>5.0000000000000001E-3</v>
      </c>
      <c r="DQ4" s="4">
        <f>+'DATOS ENTRADA'!$B$35</f>
        <v>5.0000000000000001E-3</v>
      </c>
      <c r="DR4" s="4">
        <f>+'DATOS ENTRADA'!$B$35</f>
        <v>5.0000000000000001E-3</v>
      </c>
      <c r="DS4" s="4">
        <f>+'DATOS ENTRADA'!$B$35</f>
        <v>5.0000000000000001E-3</v>
      </c>
      <c r="DT4" s="4">
        <f>+'DATOS ENTRADA'!$B$35</f>
        <v>5.0000000000000001E-3</v>
      </c>
      <c r="DU4" s="4">
        <f>+'DATOS ENTRADA'!$B$35</f>
        <v>5.0000000000000001E-3</v>
      </c>
      <c r="DV4" s="4">
        <f>+'DATOS ENTRADA'!$B$35</f>
        <v>5.0000000000000001E-3</v>
      </c>
      <c r="DW4" s="4">
        <f>+'DATOS ENTRADA'!$B$35</f>
        <v>5.0000000000000001E-3</v>
      </c>
      <c r="DX4" s="4">
        <f>+'DATOS ENTRADA'!$B$35</f>
        <v>5.0000000000000001E-3</v>
      </c>
      <c r="DY4" s="4">
        <f>+'DATOS ENTRADA'!$B$35</f>
        <v>5.0000000000000001E-3</v>
      </c>
      <c r="DZ4" s="4">
        <f>+'DATOS ENTRADA'!$B$35</f>
        <v>5.0000000000000001E-3</v>
      </c>
      <c r="EA4" s="4">
        <f>+'DATOS ENTRADA'!$B$35</f>
        <v>5.0000000000000001E-3</v>
      </c>
      <c r="EB4" s="4"/>
      <c r="EC4" s="4">
        <f>+'DATOS ENTRADA'!$B$35</f>
        <v>5.0000000000000001E-3</v>
      </c>
      <c r="ED4" s="4">
        <f>+'DATOS ENTRADA'!$B$35</f>
        <v>5.0000000000000001E-3</v>
      </c>
      <c r="EE4" s="4">
        <f>+'DATOS ENTRADA'!$B$35</f>
        <v>5.0000000000000001E-3</v>
      </c>
      <c r="EF4" s="4">
        <f>+'DATOS ENTRADA'!$B$35</f>
        <v>5.0000000000000001E-3</v>
      </c>
      <c r="EG4" s="4">
        <f>+'DATOS ENTRADA'!$B$35</f>
        <v>5.0000000000000001E-3</v>
      </c>
      <c r="EH4" s="4">
        <f>+'DATOS ENTRADA'!$B$35</f>
        <v>5.0000000000000001E-3</v>
      </c>
      <c r="EI4" s="4">
        <f>+'DATOS ENTRADA'!$B$35</f>
        <v>5.0000000000000001E-3</v>
      </c>
      <c r="EJ4" s="4">
        <f>+'DATOS ENTRADA'!$B$35</f>
        <v>5.0000000000000001E-3</v>
      </c>
      <c r="EK4" s="4">
        <f>+'DATOS ENTRADA'!$B$35</f>
        <v>5.0000000000000001E-3</v>
      </c>
      <c r="EL4" s="4">
        <f>+'DATOS ENTRADA'!$B$35</f>
        <v>5.0000000000000001E-3</v>
      </c>
      <c r="EM4" s="4">
        <f>+'DATOS ENTRADA'!$B$35</f>
        <v>5.0000000000000001E-3</v>
      </c>
      <c r="EN4" s="4">
        <f>+'DATOS ENTRADA'!$B$35</f>
        <v>5.0000000000000001E-3</v>
      </c>
      <c r="EO4" s="4"/>
      <c r="EP4" s="4">
        <f>+'DATOS ENTRADA'!$B$35</f>
        <v>5.0000000000000001E-3</v>
      </c>
      <c r="EQ4" s="4">
        <f>+'DATOS ENTRADA'!$B$35</f>
        <v>5.0000000000000001E-3</v>
      </c>
      <c r="ER4" s="4">
        <f>+'DATOS ENTRADA'!$B$35</f>
        <v>5.0000000000000001E-3</v>
      </c>
      <c r="ES4" s="4">
        <f>+'DATOS ENTRADA'!$B$35</f>
        <v>5.0000000000000001E-3</v>
      </c>
      <c r="ET4" s="4">
        <f>+'DATOS ENTRADA'!$B$35</f>
        <v>5.0000000000000001E-3</v>
      </c>
      <c r="EU4" s="4">
        <f>+'DATOS ENTRADA'!$B$35</f>
        <v>5.0000000000000001E-3</v>
      </c>
      <c r="EV4" s="4">
        <f>+'DATOS ENTRADA'!$B$35</f>
        <v>5.0000000000000001E-3</v>
      </c>
      <c r="EW4" s="4">
        <f>+'DATOS ENTRADA'!$B$35</f>
        <v>5.0000000000000001E-3</v>
      </c>
      <c r="EX4" s="4">
        <f>+'DATOS ENTRADA'!$B$35</f>
        <v>5.0000000000000001E-3</v>
      </c>
      <c r="EY4" s="4">
        <f>+'DATOS ENTRADA'!$B$35</f>
        <v>5.0000000000000001E-3</v>
      </c>
      <c r="EZ4" s="4">
        <f>+'DATOS ENTRADA'!$B$35</f>
        <v>5.0000000000000001E-3</v>
      </c>
      <c r="FA4" s="4">
        <f>+'DATOS ENTRADA'!$B$35</f>
        <v>5.0000000000000001E-3</v>
      </c>
      <c r="FB4" s="4"/>
      <c r="FC4" s="4">
        <f>+'DATOS ENTRADA'!$B$35</f>
        <v>5.0000000000000001E-3</v>
      </c>
      <c r="FD4" s="4">
        <f>+'DATOS ENTRADA'!$B$35</f>
        <v>5.0000000000000001E-3</v>
      </c>
      <c r="FE4" s="4">
        <f>+'DATOS ENTRADA'!$B$35</f>
        <v>5.0000000000000001E-3</v>
      </c>
      <c r="FF4" s="4">
        <f>+'DATOS ENTRADA'!$B$35</f>
        <v>5.0000000000000001E-3</v>
      </c>
      <c r="FG4" s="4">
        <f>+'DATOS ENTRADA'!$B$35</f>
        <v>5.0000000000000001E-3</v>
      </c>
      <c r="FH4" s="4">
        <f>+'DATOS ENTRADA'!$B$35</f>
        <v>5.0000000000000001E-3</v>
      </c>
      <c r="FI4" s="4">
        <f>+'DATOS ENTRADA'!$B$35</f>
        <v>5.0000000000000001E-3</v>
      </c>
      <c r="FJ4" s="4">
        <f>+'DATOS ENTRADA'!$B$35</f>
        <v>5.0000000000000001E-3</v>
      </c>
      <c r="FK4" s="4">
        <f>+'DATOS ENTRADA'!$B$35</f>
        <v>5.0000000000000001E-3</v>
      </c>
      <c r="FL4" s="4">
        <f>+'DATOS ENTRADA'!$B$35</f>
        <v>5.0000000000000001E-3</v>
      </c>
      <c r="FM4" s="4">
        <f>+'DATOS ENTRADA'!$B$35</f>
        <v>5.0000000000000001E-3</v>
      </c>
      <c r="FN4" s="4">
        <f>+'DATOS ENTRADA'!$B$35</f>
        <v>5.0000000000000001E-3</v>
      </c>
      <c r="FO4" s="4"/>
      <c r="FP4" s="4">
        <f>+'DATOS ENTRADA'!$B$35</f>
        <v>5.0000000000000001E-3</v>
      </c>
      <c r="FQ4" s="4">
        <f>+'DATOS ENTRADA'!$B$35</f>
        <v>5.0000000000000001E-3</v>
      </c>
      <c r="FR4" s="4">
        <f>+'DATOS ENTRADA'!$B$35</f>
        <v>5.0000000000000001E-3</v>
      </c>
      <c r="FS4" s="4">
        <f>+'DATOS ENTRADA'!$B$35</f>
        <v>5.0000000000000001E-3</v>
      </c>
      <c r="FT4" s="4">
        <f>+'DATOS ENTRADA'!$B$35</f>
        <v>5.0000000000000001E-3</v>
      </c>
      <c r="FU4" s="4">
        <f>+'DATOS ENTRADA'!$B$35</f>
        <v>5.0000000000000001E-3</v>
      </c>
      <c r="FV4" s="4">
        <f>+'DATOS ENTRADA'!$B$35</f>
        <v>5.0000000000000001E-3</v>
      </c>
      <c r="FW4" s="4">
        <f>+'DATOS ENTRADA'!$B$35</f>
        <v>5.0000000000000001E-3</v>
      </c>
      <c r="FX4" s="4">
        <f>+'DATOS ENTRADA'!$B$35</f>
        <v>5.0000000000000001E-3</v>
      </c>
      <c r="FY4" s="4">
        <f>+'DATOS ENTRADA'!$B$35</f>
        <v>5.0000000000000001E-3</v>
      </c>
      <c r="FZ4" s="4">
        <f>+'DATOS ENTRADA'!$B$35</f>
        <v>5.0000000000000001E-3</v>
      </c>
      <c r="GA4" s="4">
        <f>+'DATOS ENTRADA'!$B$35</f>
        <v>5.0000000000000001E-3</v>
      </c>
      <c r="GB4" s="4"/>
      <c r="GC4" s="4">
        <f>+'DATOS ENTRADA'!$B$35</f>
        <v>5.0000000000000001E-3</v>
      </c>
      <c r="GD4" s="4">
        <f>+'DATOS ENTRADA'!$B$35</f>
        <v>5.0000000000000001E-3</v>
      </c>
      <c r="GE4" s="4">
        <f>+'DATOS ENTRADA'!$B$35</f>
        <v>5.0000000000000001E-3</v>
      </c>
      <c r="GF4" s="4">
        <f>+'DATOS ENTRADA'!$B$35</f>
        <v>5.0000000000000001E-3</v>
      </c>
      <c r="GG4" s="4">
        <f>+'DATOS ENTRADA'!$B$35</f>
        <v>5.0000000000000001E-3</v>
      </c>
    </row>
    <row r="5" spans="1:189" x14ac:dyDescent="0.25">
      <c r="A5" s="3" t="s">
        <v>59</v>
      </c>
      <c r="B5" s="3"/>
      <c r="C5" s="4">
        <f>+'DATOS ENTRADA'!$B$34</f>
        <v>0.05</v>
      </c>
      <c r="D5" s="4">
        <f>+'DATOS ENTRADA'!$B$34</f>
        <v>0.05</v>
      </c>
      <c r="E5" s="4">
        <f>+'DATOS ENTRADA'!$B$34</f>
        <v>0.05</v>
      </c>
      <c r="F5" s="4">
        <f>+'DATOS ENTRADA'!$B$34</f>
        <v>0.05</v>
      </c>
      <c r="G5" s="4">
        <f>+'DATOS ENTRADA'!$B$34</f>
        <v>0.05</v>
      </c>
      <c r="H5" s="4">
        <f>+'DATOS ENTRADA'!$B$34</f>
        <v>0.05</v>
      </c>
      <c r="I5" s="4">
        <f>+'DATOS ENTRADA'!$B$34</f>
        <v>0.05</v>
      </c>
      <c r="J5" s="4">
        <f>+'DATOS ENTRADA'!$B$34</f>
        <v>0.05</v>
      </c>
      <c r="K5" s="4">
        <f>+'DATOS ENTRADA'!$B$34</f>
        <v>0.05</v>
      </c>
      <c r="L5" s="4">
        <f>+'DATOS ENTRADA'!$B$34</f>
        <v>0.05</v>
      </c>
      <c r="M5" s="4">
        <f>+'DATOS ENTRADA'!$B$34</f>
        <v>0.05</v>
      </c>
      <c r="N5" s="4">
        <f>+'DATOS ENTRADA'!$B$34</f>
        <v>0.05</v>
      </c>
      <c r="O5" s="4"/>
      <c r="P5" s="4">
        <f>+'DATOS ENTRADA'!$B$34</f>
        <v>0.05</v>
      </c>
      <c r="Q5" s="4">
        <f>+'DATOS ENTRADA'!$B$34</f>
        <v>0.05</v>
      </c>
      <c r="R5" s="4">
        <f>+'DATOS ENTRADA'!$B$34</f>
        <v>0.05</v>
      </c>
      <c r="S5" s="4">
        <f>+'DATOS ENTRADA'!$B$34</f>
        <v>0.05</v>
      </c>
      <c r="T5" s="4">
        <f>+'DATOS ENTRADA'!$B$34</f>
        <v>0.05</v>
      </c>
      <c r="U5" s="4">
        <f>+'DATOS ENTRADA'!$B$34</f>
        <v>0.05</v>
      </c>
      <c r="V5" s="4">
        <f>+'DATOS ENTRADA'!$B$34</f>
        <v>0.05</v>
      </c>
      <c r="W5" s="4">
        <f>+'DATOS ENTRADA'!$B$34</f>
        <v>0.05</v>
      </c>
      <c r="X5" s="4">
        <f>+'DATOS ENTRADA'!$B$34</f>
        <v>0.05</v>
      </c>
      <c r="Y5" s="4">
        <f>+'DATOS ENTRADA'!$B$34</f>
        <v>0.05</v>
      </c>
      <c r="Z5" s="4">
        <f>+'DATOS ENTRADA'!$B$34</f>
        <v>0.05</v>
      </c>
      <c r="AA5" s="4">
        <f>+'DATOS ENTRADA'!$B$34</f>
        <v>0.05</v>
      </c>
      <c r="AB5" s="4"/>
      <c r="AC5" s="4">
        <f>+'DATOS ENTRADA'!$B$34</f>
        <v>0.05</v>
      </c>
      <c r="AD5" s="4">
        <f>+'DATOS ENTRADA'!$B$34</f>
        <v>0.05</v>
      </c>
      <c r="AE5" s="4">
        <f>+'DATOS ENTRADA'!$B$34</f>
        <v>0.05</v>
      </c>
      <c r="AF5" s="4">
        <f>+'DATOS ENTRADA'!$B$34</f>
        <v>0.05</v>
      </c>
      <c r="AG5" s="4">
        <f>+'DATOS ENTRADA'!$B$34</f>
        <v>0.05</v>
      </c>
      <c r="AH5" s="4">
        <f>+'DATOS ENTRADA'!$B$34</f>
        <v>0.05</v>
      </c>
      <c r="AI5" s="4">
        <f>+'DATOS ENTRADA'!$B$34</f>
        <v>0.05</v>
      </c>
      <c r="AJ5" s="4">
        <f>+'DATOS ENTRADA'!$B$34</f>
        <v>0.05</v>
      </c>
      <c r="AK5" s="4">
        <f>+'DATOS ENTRADA'!$B$34</f>
        <v>0.05</v>
      </c>
      <c r="AL5" s="4">
        <f>+'DATOS ENTRADA'!$B$34</f>
        <v>0.05</v>
      </c>
      <c r="AM5" s="4">
        <f>+'DATOS ENTRADA'!$B$34</f>
        <v>0.05</v>
      </c>
      <c r="AN5" s="4">
        <f>+'DATOS ENTRADA'!$B$34</f>
        <v>0.05</v>
      </c>
      <c r="AO5" s="4"/>
      <c r="AP5" s="4">
        <f>+'DATOS ENTRADA'!$B$34</f>
        <v>0.05</v>
      </c>
      <c r="AQ5" s="4">
        <f>+'DATOS ENTRADA'!$B$34</f>
        <v>0.05</v>
      </c>
      <c r="AR5" s="4">
        <f>+'DATOS ENTRADA'!$B$34</f>
        <v>0.05</v>
      </c>
      <c r="AS5" s="4">
        <f>+'DATOS ENTRADA'!$B$34</f>
        <v>0.05</v>
      </c>
      <c r="AT5" s="4">
        <f>+'DATOS ENTRADA'!$B$34</f>
        <v>0.05</v>
      </c>
      <c r="AU5" s="4">
        <f>+'DATOS ENTRADA'!$B$34</f>
        <v>0.05</v>
      </c>
      <c r="AV5" s="4">
        <f>+'DATOS ENTRADA'!$B$34</f>
        <v>0.05</v>
      </c>
      <c r="AW5" s="4">
        <f>+'DATOS ENTRADA'!$B$34</f>
        <v>0.05</v>
      </c>
      <c r="AX5" s="4">
        <f>+'DATOS ENTRADA'!$B$34</f>
        <v>0.05</v>
      </c>
      <c r="AY5" s="4">
        <f>+'DATOS ENTRADA'!$B$34</f>
        <v>0.05</v>
      </c>
      <c r="AZ5" s="4">
        <f>+'DATOS ENTRADA'!$B$34</f>
        <v>0.05</v>
      </c>
      <c r="BA5" s="4">
        <f>+'DATOS ENTRADA'!$B$34</f>
        <v>0.05</v>
      </c>
      <c r="BB5" s="4"/>
      <c r="BC5" s="4">
        <f>+'DATOS ENTRADA'!$B$34</f>
        <v>0.05</v>
      </c>
      <c r="BD5" s="4">
        <f>+'DATOS ENTRADA'!$B$34</f>
        <v>0.05</v>
      </c>
      <c r="BE5" s="4">
        <f>+'DATOS ENTRADA'!$B$34</f>
        <v>0.05</v>
      </c>
      <c r="BF5" s="4">
        <f>+'DATOS ENTRADA'!$B$34</f>
        <v>0.05</v>
      </c>
      <c r="BG5" s="4">
        <f>+'DATOS ENTRADA'!$B$34</f>
        <v>0.05</v>
      </c>
      <c r="BH5" s="4">
        <f>+'DATOS ENTRADA'!$B$34</f>
        <v>0.05</v>
      </c>
      <c r="BI5" s="4">
        <f>+'DATOS ENTRADA'!$B$34</f>
        <v>0.05</v>
      </c>
      <c r="BJ5" s="4">
        <f>+'DATOS ENTRADA'!$B$34</f>
        <v>0.05</v>
      </c>
      <c r="BK5" s="4">
        <f>+'DATOS ENTRADA'!$B$34</f>
        <v>0.05</v>
      </c>
      <c r="BL5" s="4">
        <f>+'DATOS ENTRADA'!$B$34</f>
        <v>0.05</v>
      </c>
      <c r="BM5" s="4">
        <f>+'DATOS ENTRADA'!$B$34</f>
        <v>0.05</v>
      </c>
      <c r="BN5" s="4">
        <f>+'DATOS ENTRADA'!$B$34</f>
        <v>0.05</v>
      </c>
      <c r="BO5" s="4"/>
      <c r="BP5" s="4">
        <f>+'DATOS ENTRADA'!$B$34</f>
        <v>0.05</v>
      </c>
      <c r="BQ5" s="4">
        <f>+'DATOS ENTRADA'!$B$34</f>
        <v>0.05</v>
      </c>
      <c r="BR5" s="4">
        <f>+'DATOS ENTRADA'!$B$34</f>
        <v>0.05</v>
      </c>
      <c r="BS5" s="4">
        <f>+'DATOS ENTRADA'!$B$34</f>
        <v>0.05</v>
      </c>
      <c r="BT5" s="4">
        <f>+'DATOS ENTRADA'!$B$34</f>
        <v>0.05</v>
      </c>
      <c r="BU5" s="4">
        <f>+'DATOS ENTRADA'!$B$34</f>
        <v>0.05</v>
      </c>
      <c r="BV5" s="4">
        <f>+'DATOS ENTRADA'!$B$34</f>
        <v>0.05</v>
      </c>
      <c r="BW5" s="4">
        <f>+'DATOS ENTRADA'!$B$34</f>
        <v>0.05</v>
      </c>
      <c r="BX5" s="4">
        <f>+'DATOS ENTRADA'!$B$34</f>
        <v>0.05</v>
      </c>
      <c r="BY5" s="4">
        <f>+'DATOS ENTRADA'!$B$34</f>
        <v>0.05</v>
      </c>
      <c r="BZ5" s="4">
        <f>+'DATOS ENTRADA'!$B$34</f>
        <v>0.05</v>
      </c>
      <c r="CA5" s="4">
        <f>+'DATOS ENTRADA'!$B$34</f>
        <v>0.05</v>
      </c>
      <c r="CB5" s="4"/>
      <c r="CC5" s="4">
        <f>+'DATOS ENTRADA'!$B$34</f>
        <v>0.05</v>
      </c>
      <c r="CD5" s="4">
        <f>+'DATOS ENTRADA'!$B$34</f>
        <v>0.05</v>
      </c>
      <c r="CE5" s="4">
        <f>+'DATOS ENTRADA'!$B$34</f>
        <v>0.05</v>
      </c>
      <c r="CF5" s="4">
        <f>+'DATOS ENTRADA'!$B$34</f>
        <v>0.05</v>
      </c>
      <c r="CG5" s="4">
        <f>+'DATOS ENTRADA'!$B$34</f>
        <v>0.05</v>
      </c>
      <c r="CH5" s="4">
        <f>+'DATOS ENTRADA'!$B$34</f>
        <v>0.05</v>
      </c>
      <c r="CI5" s="4">
        <f>+'DATOS ENTRADA'!$B$34</f>
        <v>0.05</v>
      </c>
      <c r="CJ5" s="4">
        <f>+'DATOS ENTRADA'!$B$34</f>
        <v>0.05</v>
      </c>
      <c r="CK5" s="4">
        <f>+'DATOS ENTRADA'!$B$34</f>
        <v>0.05</v>
      </c>
      <c r="CL5" s="4">
        <f>+'DATOS ENTRADA'!$B$34</f>
        <v>0.05</v>
      </c>
      <c r="CM5" s="4">
        <f>+'DATOS ENTRADA'!$B$34</f>
        <v>0.05</v>
      </c>
      <c r="CN5" s="4">
        <f>+'DATOS ENTRADA'!$B$34</f>
        <v>0.05</v>
      </c>
      <c r="CO5" s="4"/>
      <c r="CP5" s="4">
        <f>+'DATOS ENTRADA'!$B$34</f>
        <v>0.05</v>
      </c>
      <c r="CQ5" s="4">
        <f>+'DATOS ENTRADA'!$B$34</f>
        <v>0.05</v>
      </c>
      <c r="CR5" s="4">
        <f>+'DATOS ENTRADA'!$B$34</f>
        <v>0.05</v>
      </c>
      <c r="CS5" s="4">
        <f>+'DATOS ENTRADA'!$B$34</f>
        <v>0.05</v>
      </c>
      <c r="CT5" s="4">
        <f>+'DATOS ENTRADA'!$B$34</f>
        <v>0.05</v>
      </c>
      <c r="CU5" s="4">
        <f>+'DATOS ENTRADA'!$B$34</f>
        <v>0.05</v>
      </c>
      <c r="CV5" s="4">
        <f>+'DATOS ENTRADA'!$B$34</f>
        <v>0.05</v>
      </c>
      <c r="CW5" s="4">
        <f>+'DATOS ENTRADA'!$B$34</f>
        <v>0.05</v>
      </c>
      <c r="CX5" s="4">
        <f>+'DATOS ENTRADA'!$B$34</f>
        <v>0.05</v>
      </c>
      <c r="CY5" s="4">
        <f>+'DATOS ENTRADA'!$B$34</f>
        <v>0.05</v>
      </c>
      <c r="CZ5" s="4">
        <f>+'DATOS ENTRADA'!$B$34</f>
        <v>0.05</v>
      </c>
      <c r="DA5" s="4">
        <f>+'DATOS ENTRADA'!$B$34</f>
        <v>0.05</v>
      </c>
      <c r="DB5" s="4"/>
      <c r="DC5" s="4">
        <f>+'DATOS ENTRADA'!$B$34</f>
        <v>0.05</v>
      </c>
      <c r="DD5" s="4">
        <f>+'DATOS ENTRADA'!$B$34</f>
        <v>0.05</v>
      </c>
      <c r="DE5" s="4">
        <f>+'DATOS ENTRADA'!$B$34</f>
        <v>0.05</v>
      </c>
      <c r="DF5" s="4">
        <f>+'DATOS ENTRADA'!$B$34</f>
        <v>0.05</v>
      </c>
      <c r="DG5" s="4">
        <f>+'DATOS ENTRADA'!$B$34</f>
        <v>0.05</v>
      </c>
      <c r="DH5" s="4">
        <f>+'DATOS ENTRADA'!$B$34</f>
        <v>0.05</v>
      </c>
      <c r="DI5" s="4">
        <f>+'DATOS ENTRADA'!$B$34</f>
        <v>0.05</v>
      </c>
      <c r="DJ5" s="4">
        <f>+'DATOS ENTRADA'!$B$34</f>
        <v>0.05</v>
      </c>
      <c r="DK5" s="4">
        <f>+'DATOS ENTRADA'!$B$34</f>
        <v>0.05</v>
      </c>
      <c r="DL5" s="4">
        <f>+'DATOS ENTRADA'!$B$34</f>
        <v>0.05</v>
      </c>
      <c r="DM5" s="4">
        <f>+'DATOS ENTRADA'!$B$34</f>
        <v>0.05</v>
      </c>
      <c r="DN5" s="4">
        <f>+'DATOS ENTRADA'!$B$34</f>
        <v>0.05</v>
      </c>
      <c r="DO5" s="4"/>
      <c r="DP5" s="4">
        <f>+'DATOS ENTRADA'!$B$34</f>
        <v>0.05</v>
      </c>
      <c r="DQ5" s="4">
        <f>+'DATOS ENTRADA'!$B$34</f>
        <v>0.05</v>
      </c>
      <c r="DR5" s="4">
        <f>+'DATOS ENTRADA'!$B$34</f>
        <v>0.05</v>
      </c>
      <c r="DS5" s="4">
        <f>+'DATOS ENTRADA'!$B$34</f>
        <v>0.05</v>
      </c>
      <c r="DT5" s="4">
        <f>+'DATOS ENTRADA'!$B$34</f>
        <v>0.05</v>
      </c>
      <c r="DU5" s="4">
        <f>+'DATOS ENTRADA'!$B$34</f>
        <v>0.05</v>
      </c>
      <c r="DV5" s="4">
        <f>+'DATOS ENTRADA'!$B$34</f>
        <v>0.05</v>
      </c>
      <c r="DW5" s="4">
        <f>+'DATOS ENTRADA'!$B$34</f>
        <v>0.05</v>
      </c>
      <c r="DX5" s="4">
        <f>+'DATOS ENTRADA'!$B$34</f>
        <v>0.05</v>
      </c>
      <c r="DY5" s="4">
        <f>+'DATOS ENTRADA'!$B$34</f>
        <v>0.05</v>
      </c>
      <c r="DZ5" s="4">
        <f>+'DATOS ENTRADA'!$B$34</f>
        <v>0.05</v>
      </c>
      <c r="EA5" s="4">
        <f>+'DATOS ENTRADA'!$B$34</f>
        <v>0.05</v>
      </c>
      <c r="EB5" s="4"/>
      <c r="EC5" s="4">
        <f>+'DATOS ENTRADA'!$B$34</f>
        <v>0.05</v>
      </c>
      <c r="ED5" s="4">
        <f>+'DATOS ENTRADA'!$B$34</f>
        <v>0.05</v>
      </c>
      <c r="EE5" s="4">
        <f>+'DATOS ENTRADA'!$B$34</f>
        <v>0.05</v>
      </c>
      <c r="EF5" s="4">
        <f>+'DATOS ENTRADA'!$B$34</f>
        <v>0.05</v>
      </c>
      <c r="EG5" s="4">
        <f>+'DATOS ENTRADA'!$B$34</f>
        <v>0.05</v>
      </c>
      <c r="EH5" s="4">
        <f>+'DATOS ENTRADA'!$B$34</f>
        <v>0.05</v>
      </c>
      <c r="EI5" s="4">
        <f>+'DATOS ENTRADA'!$B$34</f>
        <v>0.05</v>
      </c>
      <c r="EJ5" s="4">
        <f>+'DATOS ENTRADA'!$B$34</f>
        <v>0.05</v>
      </c>
      <c r="EK5" s="4">
        <f>+'DATOS ENTRADA'!$B$34</f>
        <v>0.05</v>
      </c>
      <c r="EL5" s="4">
        <f>+'DATOS ENTRADA'!$B$34</f>
        <v>0.05</v>
      </c>
      <c r="EM5" s="4">
        <f>+'DATOS ENTRADA'!$B$34</f>
        <v>0.05</v>
      </c>
      <c r="EN5" s="4">
        <f>+'DATOS ENTRADA'!$B$34</f>
        <v>0.05</v>
      </c>
      <c r="EO5" s="4"/>
      <c r="EP5" s="4">
        <f>+'DATOS ENTRADA'!$B$34</f>
        <v>0.05</v>
      </c>
      <c r="EQ5" s="4">
        <f>+'DATOS ENTRADA'!$B$34</f>
        <v>0.05</v>
      </c>
      <c r="ER5" s="4">
        <f>+'DATOS ENTRADA'!$B$34</f>
        <v>0.05</v>
      </c>
      <c r="ES5" s="4">
        <f>+'DATOS ENTRADA'!$B$34</f>
        <v>0.05</v>
      </c>
      <c r="ET5" s="4">
        <f>+'DATOS ENTRADA'!$B$34</f>
        <v>0.05</v>
      </c>
      <c r="EU5" s="4">
        <f>+'DATOS ENTRADA'!$B$34</f>
        <v>0.05</v>
      </c>
      <c r="EV5" s="4">
        <f>+'DATOS ENTRADA'!$B$34</f>
        <v>0.05</v>
      </c>
      <c r="EW5" s="4">
        <f>+'DATOS ENTRADA'!$B$34</f>
        <v>0.05</v>
      </c>
      <c r="EX5" s="4">
        <f>+'DATOS ENTRADA'!$B$34</f>
        <v>0.05</v>
      </c>
      <c r="EY5" s="4">
        <f>+'DATOS ENTRADA'!$B$34</f>
        <v>0.05</v>
      </c>
      <c r="EZ5" s="4">
        <f>+'DATOS ENTRADA'!$B$34</f>
        <v>0.05</v>
      </c>
      <c r="FA5" s="4">
        <f>+'DATOS ENTRADA'!$B$34</f>
        <v>0.05</v>
      </c>
      <c r="FB5" s="4"/>
      <c r="FC5" s="4">
        <f>+'DATOS ENTRADA'!$B$34</f>
        <v>0.05</v>
      </c>
      <c r="FD5" s="4">
        <f>+'DATOS ENTRADA'!$B$34</f>
        <v>0.05</v>
      </c>
      <c r="FE5" s="4">
        <f>+'DATOS ENTRADA'!$B$34</f>
        <v>0.05</v>
      </c>
      <c r="FF5" s="4">
        <f>+'DATOS ENTRADA'!$B$34</f>
        <v>0.05</v>
      </c>
      <c r="FG5" s="4">
        <f>+'DATOS ENTRADA'!$B$34</f>
        <v>0.05</v>
      </c>
      <c r="FH5" s="4">
        <f>+'DATOS ENTRADA'!$B$34</f>
        <v>0.05</v>
      </c>
      <c r="FI5" s="4">
        <f>+'DATOS ENTRADA'!$B$34</f>
        <v>0.05</v>
      </c>
      <c r="FJ5" s="4">
        <f>+'DATOS ENTRADA'!$B$34</f>
        <v>0.05</v>
      </c>
      <c r="FK5" s="4">
        <f>+'DATOS ENTRADA'!$B$34</f>
        <v>0.05</v>
      </c>
      <c r="FL5" s="4">
        <f>+'DATOS ENTRADA'!$B$34</f>
        <v>0.05</v>
      </c>
      <c r="FM5" s="4">
        <f>+'DATOS ENTRADA'!$B$34</f>
        <v>0.05</v>
      </c>
      <c r="FN5" s="4">
        <f>+'DATOS ENTRADA'!$B$34</f>
        <v>0.05</v>
      </c>
      <c r="FO5" s="4"/>
      <c r="FP5" s="4">
        <f>+'DATOS ENTRADA'!$B$34</f>
        <v>0.05</v>
      </c>
      <c r="FQ5" s="4">
        <f>+'DATOS ENTRADA'!$B$34</f>
        <v>0.05</v>
      </c>
      <c r="FR5" s="4">
        <f>+'DATOS ENTRADA'!$B$34</f>
        <v>0.05</v>
      </c>
      <c r="FS5" s="4">
        <f>+'DATOS ENTRADA'!$B$34</f>
        <v>0.05</v>
      </c>
      <c r="FT5" s="4">
        <f>+'DATOS ENTRADA'!$B$34</f>
        <v>0.05</v>
      </c>
      <c r="FU5" s="4">
        <f>+'DATOS ENTRADA'!$B$34</f>
        <v>0.05</v>
      </c>
      <c r="FV5" s="4">
        <f>+'DATOS ENTRADA'!$B$34</f>
        <v>0.05</v>
      </c>
      <c r="FW5" s="4">
        <f>+'DATOS ENTRADA'!$B$34</f>
        <v>0.05</v>
      </c>
      <c r="FX5" s="4">
        <f>+'DATOS ENTRADA'!$B$34</f>
        <v>0.05</v>
      </c>
      <c r="FY5" s="4">
        <f>+'DATOS ENTRADA'!$B$34</f>
        <v>0.05</v>
      </c>
      <c r="FZ5" s="4">
        <f>+'DATOS ENTRADA'!$B$34</f>
        <v>0.05</v>
      </c>
      <c r="GA5" s="4">
        <f>+'DATOS ENTRADA'!$B$34</f>
        <v>0.05</v>
      </c>
      <c r="GB5" s="4"/>
      <c r="GC5" s="4">
        <f>+'DATOS ENTRADA'!$B$34</f>
        <v>0.05</v>
      </c>
      <c r="GD5" s="4">
        <f>+'DATOS ENTRADA'!$B$34</f>
        <v>0.05</v>
      </c>
      <c r="GE5" s="4">
        <f>+'DATOS ENTRADA'!$B$34</f>
        <v>0.05</v>
      </c>
      <c r="GF5" s="4">
        <f>+'DATOS ENTRADA'!$B$34</f>
        <v>0.05</v>
      </c>
      <c r="GG5" s="4">
        <f>+'DATOS ENTRADA'!$B$34</f>
        <v>0.05</v>
      </c>
    </row>
    <row r="6" spans="1:189" x14ac:dyDescent="0.2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189" x14ac:dyDescent="0.25">
      <c r="A7" s="3"/>
      <c r="B7" s="3"/>
      <c r="C7" s="58"/>
      <c r="D7" s="4"/>
      <c r="E7" s="4"/>
      <c r="F7" s="4"/>
      <c r="G7" s="4"/>
      <c r="H7" s="4"/>
      <c r="I7" s="4"/>
      <c r="J7" s="4"/>
      <c r="K7" s="4"/>
      <c r="L7" s="4"/>
      <c r="M7" s="4"/>
      <c r="N7" s="58"/>
      <c r="O7" s="58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189" ht="18" customHeight="1" x14ac:dyDescent="0.25">
      <c r="C8" s="56"/>
      <c r="D8" s="97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</row>
    <row r="9" spans="1:189" s="7" customFormat="1" ht="22.5" customHeight="1" x14ac:dyDescent="0.25">
      <c r="A9" s="6"/>
      <c r="B9" s="76" t="s">
        <v>63</v>
      </c>
      <c r="C9" s="77">
        <v>44866</v>
      </c>
      <c r="D9" s="77">
        <v>44896</v>
      </c>
      <c r="E9" s="77">
        <v>44927</v>
      </c>
      <c r="F9" s="77">
        <v>44958</v>
      </c>
      <c r="G9" s="77">
        <v>44986</v>
      </c>
      <c r="H9" s="77">
        <v>45017</v>
      </c>
      <c r="I9" s="77">
        <v>45047</v>
      </c>
      <c r="J9" s="77">
        <v>45078</v>
      </c>
      <c r="K9" s="77">
        <v>45108</v>
      </c>
      <c r="L9" s="77">
        <v>45139</v>
      </c>
      <c r="M9" s="77">
        <v>45170</v>
      </c>
      <c r="N9" s="77">
        <v>45200</v>
      </c>
      <c r="O9" s="76" t="s">
        <v>82</v>
      </c>
      <c r="P9" s="77">
        <v>45231</v>
      </c>
      <c r="Q9" s="77">
        <v>45261</v>
      </c>
      <c r="R9" s="77">
        <v>45292</v>
      </c>
      <c r="S9" s="77">
        <v>45323</v>
      </c>
      <c r="T9" s="77">
        <v>45352</v>
      </c>
      <c r="U9" s="77">
        <v>45383</v>
      </c>
      <c r="V9" s="77">
        <v>45413</v>
      </c>
      <c r="W9" s="77">
        <v>45444</v>
      </c>
      <c r="X9" s="77">
        <v>45474</v>
      </c>
      <c r="Y9" s="77">
        <v>45505</v>
      </c>
      <c r="Z9" s="77">
        <v>45536</v>
      </c>
      <c r="AA9" s="77">
        <v>45566</v>
      </c>
      <c r="AB9" s="76" t="s">
        <v>83</v>
      </c>
      <c r="AC9" s="77">
        <v>45597</v>
      </c>
      <c r="AD9" s="77">
        <v>45627</v>
      </c>
      <c r="AE9" s="77">
        <v>45658</v>
      </c>
      <c r="AF9" s="77">
        <v>45689</v>
      </c>
      <c r="AG9" s="77">
        <v>45717</v>
      </c>
      <c r="AH9" s="77">
        <v>45748</v>
      </c>
      <c r="AI9" s="77">
        <v>45778</v>
      </c>
      <c r="AJ9" s="77">
        <v>45809</v>
      </c>
      <c r="AK9" s="77">
        <v>45839</v>
      </c>
      <c r="AL9" s="77">
        <v>45870</v>
      </c>
      <c r="AM9" s="77">
        <v>45901</v>
      </c>
      <c r="AN9" s="77">
        <v>45931</v>
      </c>
      <c r="AO9" s="76" t="s">
        <v>84</v>
      </c>
      <c r="AP9" s="77">
        <v>45962</v>
      </c>
      <c r="AQ9" s="77">
        <v>45992</v>
      </c>
      <c r="AR9" s="77">
        <v>46023</v>
      </c>
      <c r="AS9" s="77">
        <v>46054</v>
      </c>
      <c r="AT9" s="77">
        <v>46082</v>
      </c>
      <c r="AU9" s="77">
        <v>46113</v>
      </c>
      <c r="AV9" s="77">
        <v>46143</v>
      </c>
      <c r="AW9" s="77">
        <v>46174</v>
      </c>
      <c r="AX9" s="77">
        <v>46204</v>
      </c>
      <c r="AY9" s="77">
        <v>46235</v>
      </c>
      <c r="AZ9" s="77">
        <v>46266</v>
      </c>
      <c r="BA9" s="77">
        <v>46296</v>
      </c>
      <c r="BB9" s="76" t="s">
        <v>85</v>
      </c>
      <c r="BC9" s="77">
        <v>46327</v>
      </c>
      <c r="BD9" s="77">
        <v>46357</v>
      </c>
      <c r="BE9" s="77">
        <v>46388</v>
      </c>
      <c r="BF9" s="77">
        <v>46419</v>
      </c>
      <c r="BG9" s="77">
        <v>46447</v>
      </c>
      <c r="BH9" s="77">
        <v>46478</v>
      </c>
      <c r="BI9" s="77">
        <v>46508</v>
      </c>
      <c r="BJ9" s="77">
        <v>46539</v>
      </c>
      <c r="BK9" s="77">
        <v>46569</v>
      </c>
      <c r="BL9" s="77">
        <v>46600</v>
      </c>
      <c r="BM9" s="77">
        <v>46631</v>
      </c>
      <c r="BN9" s="77">
        <v>46661</v>
      </c>
      <c r="BO9" s="76" t="s">
        <v>86</v>
      </c>
      <c r="BP9" s="77">
        <v>46692</v>
      </c>
      <c r="BQ9" s="77">
        <v>46722</v>
      </c>
      <c r="BR9" s="77">
        <v>46753</v>
      </c>
      <c r="BS9" s="77">
        <v>46784</v>
      </c>
      <c r="BT9" s="77">
        <v>46813</v>
      </c>
      <c r="BU9" s="77">
        <v>46844</v>
      </c>
      <c r="BV9" s="77">
        <v>46874</v>
      </c>
      <c r="BW9" s="77">
        <v>46905</v>
      </c>
      <c r="BX9" s="77">
        <v>46935</v>
      </c>
      <c r="BY9" s="77">
        <v>46966</v>
      </c>
      <c r="BZ9" s="77">
        <v>46997</v>
      </c>
      <c r="CA9" s="77">
        <v>47027</v>
      </c>
      <c r="CB9" s="76" t="s">
        <v>87</v>
      </c>
      <c r="CC9" s="77">
        <v>47058</v>
      </c>
      <c r="CD9" s="77">
        <v>47088</v>
      </c>
      <c r="CE9" s="77">
        <v>47119</v>
      </c>
      <c r="CF9" s="77">
        <v>47150</v>
      </c>
      <c r="CG9" s="77">
        <v>47178</v>
      </c>
      <c r="CH9" s="77">
        <v>47209</v>
      </c>
      <c r="CI9" s="77">
        <v>47239</v>
      </c>
      <c r="CJ9" s="77">
        <v>47270</v>
      </c>
      <c r="CK9" s="77">
        <v>47300</v>
      </c>
      <c r="CL9" s="77">
        <v>47331</v>
      </c>
      <c r="CM9" s="77">
        <v>47362</v>
      </c>
      <c r="CN9" s="77">
        <v>47392</v>
      </c>
      <c r="CO9" s="76" t="s">
        <v>88</v>
      </c>
      <c r="CP9" s="77">
        <v>47423</v>
      </c>
      <c r="CQ9" s="77">
        <v>47453</v>
      </c>
      <c r="CR9" s="77">
        <v>47484</v>
      </c>
      <c r="CS9" s="77">
        <v>47515</v>
      </c>
      <c r="CT9" s="77">
        <v>47543</v>
      </c>
      <c r="CU9" s="77">
        <v>47574</v>
      </c>
      <c r="CV9" s="77">
        <v>47604</v>
      </c>
      <c r="CW9" s="77">
        <v>47635</v>
      </c>
      <c r="CX9" s="77">
        <v>47665</v>
      </c>
      <c r="CY9" s="77">
        <v>47696</v>
      </c>
      <c r="CZ9" s="77">
        <v>47727</v>
      </c>
      <c r="DA9" s="77">
        <v>47757</v>
      </c>
      <c r="DB9" s="76" t="s">
        <v>89</v>
      </c>
      <c r="DC9" s="77">
        <v>47788</v>
      </c>
      <c r="DD9" s="77">
        <v>47818</v>
      </c>
      <c r="DE9" s="77">
        <v>47849</v>
      </c>
      <c r="DF9" s="77">
        <v>47880</v>
      </c>
      <c r="DG9" s="77">
        <v>47908</v>
      </c>
      <c r="DH9" s="77">
        <v>47939</v>
      </c>
      <c r="DI9" s="77">
        <v>47969</v>
      </c>
      <c r="DJ9" s="77">
        <v>48000</v>
      </c>
      <c r="DK9" s="77">
        <v>48030</v>
      </c>
      <c r="DL9" s="77">
        <v>48061</v>
      </c>
      <c r="DM9" s="77">
        <v>48092</v>
      </c>
      <c r="DN9" s="77">
        <v>48122</v>
      </c>
      <c r="DO9" s="76" t="s">
        <v>90</v>
      </c>
      <c r="DP9" s="77">
        <v>48153</v>
      </c>
      <c r="DQ9" s="77">
        <v>48183</v>
      </c>
      <c r="DR9" s="77">
        <v>48214</v>
      </c>
      <c r="DS9" s="77">
        <v>48245</v>
      </c>
      <c r="DT9" s="77">
        <v>48274</v>
      </c>
      <c r="DU9" s="77">
        <v>48305</v>
      </c>
      <c r="DV9" s="77">
        <v>48335</v>
      </c>
      <c r="DW9" s="77">
        <v>48366</v>
      </c>
      <c r="DX9" s="77">
        <v>48396</v>
      </c>
      <c r="DY9" s="77">
        <v>48427</v>
      </c>
      <c r="DZ9" s="77">
        <v>48458</v>
      </c>
      <c r="EA9" s="77">
        <v>48488</v>
      </c>
      <c r="EB9" s="76" t="s">
        <v>91</v>
      </c>
      <c r="EC9" s="77">
        <v>48519</v>
      </c>
      <c r="ED9" s="77">
        <v>48549</v>
      </c>
      <c r="EE9" s="77">
        <v>48580</v>
      </c>
      <c r="EF9" s="77">
        <v>48611</v>
      </c>
      <c r="EG9" s="77">
        <v>48639</v>
      </c>
      <c r="EH9" s="77">
        <v>48670</v>
      </c>
      <c r="EI9" s="77">
        <v>48700</v>
      </c>
      <c r="EJ9" s="77">
        <v>48731</v>
      </c>
      <c r="EK9" s="77">
        <v>48761</v>
      </c>
      <c r="EL9" s="77">
        <v>48792</v>
      </c>
      <c r="EM9" s="77">
        <v>48823</v>
      </c>
      <c r="EN9" s="77">
        <v>48853</v>
      </c>
      <c r="EO9" s="76" t="s">
        <v>92</v>
      </c>
      <c r="EP9" s="77">
        <v>48884</v>
      </c>
      <c r="EQ9" s="77">
        <v>48914</v>
      </c>
      <c r="ER9" s="77">
        <v>48945</v>
      </c>
      <c r="ES9" s="77">
        <v>48976</v>
      </c>
      <c r="ET9" s="77">
        <v>49004</v>
      </c>
      <c r="EU9" s="77">
        <v>49035</v>
      </c>
      <c r="EV9" s="77">
        <v>49065</v>
      </c>
      <c r="EW9" s="77">
        <v>49096</v>
      </c>
      <c r="EX9" s="77">
        <v>49126</v>
      </c>
      <c r="EY9" s="77">
        <v>49157</v>
      </c>
      <c r="EZ9" s="77">
        <v>49188</v>
      </c>
      <c r="FA9" s="77">
        <v>49218</v>
      </c>
      <c r="FB9" s="76" t="s">
        <v>93</v>
      </c>
      <c r="FC9" s="77">
        <v>49249</v>
      </c>
      <c r="FD9" s="77">
        <v>49279</v>
      </c>
      <c r="FE9" s="77">
        <v>49310</v>
      </c>
      <c r="FF9" s="77">
        <v>49341</v>
      </c>
      <c r="FG9" s="77">
        <v>49369</v>
      </c>
      <c r="FH9" s="77">
        <v>49400</v>
      </c>
      <c r="FI9" s="77">
        <v>49430</v>
      </c>
      <c r="FJ9" s="77">
        <v>49461</v>
      </c>
      <c r="FK9" s="77">
        <v>49491</v>
      </c>
      <c r="FL9" s="77">
        <v>49522</v>
      </c>
      <c r="FM9" s="77">
        <v>49553</v>
      </c>
      <c r="FN9" s="77">
        <v>49583</v>
      </c>
      <c r="FO9" s="76" t="s">
        <v>94</v>
      </c>
      <c r="FP9" s="77">
        <v>49614</v>
      </c>
      <c r="FQ9" s="77">
        <v>49644</v>
      </c>
      <c r="FR9" s="77">
        <v>49675</v>
      </c>
      <c r="FS9" s="77">
        <v>49706</v>
      </c>
      <c r="FT9" s="77">
        <v>49735</v>
      </c>
      <c r="FU9" s="77">
        <v>49766</v>
      </c>
      <c r="FV9" s="77">
        <v>49796</v>
      </c>
      <c r="FW9" s="77">
        <v>49827</v>
      </c>
      <c r="FX9" s="77">
        <v>49857</v>
      </c>
      <c r="FY9" s="77">
        <v>49888</v>
      </c>
      <c r="FZ9" s="77">
        <v>49919</v>
      </c>
      <c r="GA9" s="77">
        <v>49949</v>
      </c>
      <c r="GB9" s="76" t="s">
        <v>95</v>
      </c>
      <c r="GC9" s="77">
        <v>49980</v>
      </c>
      <c r="GD9" s="77">
        <v>50010</v>
      </c>
      <c r="GE9" s="77">
        <v>50041</v>
      </c>
      <c r="GF9" s="77">
        <v>50072</v>
      </c>
      <c r="GG9" s="77">
        <v>50100</v>
      </c>
    </row>
    <row r="10" spans="1:189" s="175" customFormat="1" ht="16.5" customHeight="1" x14ac:dyDescent="0.25">
      <c r="A10" s="83" t="s">
        <v>66</v>
      </c>
      <c r="B10" s="173">
        <f>+SUM(C10:N10)</f>
        <v>1134500418.6039999</v>
      </c>
      <c r="C10" s="174">
        <f>+CINV!E46</f>
        <v>1134500418.6039999</v>
      </c>
      <c r="D10" s="174">
        <v>0</v>
      </c>
      <c r="E10" s="174">
        <v>0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4">
        <v>0</v>
      </c>
      <c r="N10" s="174">
        <v>0</v>
      </c>
      <c r="O10" s="174"/>
      <c r="P10" s="174">
        <v>0</v>
      </c>
      <c r="Q10" s="174">
        <v>0</v>
      </c>
      <c r="R10" s="174">
        <v>0</v>
      </c>
      <c r="S10" s="174">
        <v>0</v>
      </c>
      <c r="T10" s="174">
        <v>0</v>
      </c>
      <c r="U10" s="174">
        <v>0</v>
      </c>
      <c r="V10" s="174">
        <v>0</v>
      </c>
      <c r="W10" s="174">
        <v>0</v>
      </c>
      <c r="X10" s="174">
        <v>0</v>
      </c>
      <c r="Y10" s="174">
        <v>0</v>
      </c>
      <c r="Z10" s="174">
        <v>0</v>
      </c>
      <c r="AA10" s="174">
        <v>0</v>
      </c>
      <c r="AB10" s="174"/>
      <c r="AC10" s="174">
        <v>0</v>
      </c>
      <c r="AD10" s="174">
        <v>0</v>
      </c>
      <c r="AE10" s="174">
        <v>0</v>
      </c>
      <c r="AF10" s="174">
        <v>0</v>
      </c>
      <c r="AG10" s="174">
        <v>0</v>
      </c>
      <c r="AH10" s="174">
        <v>0</v>
      </c>
      <c r="AI10" s="174">
        <v>0</v>
      </c>
      <c r="AJ10" s="174">
        <v>0</v>
      </c>
      <c r="AK10" s="174">
        <v>0</v>
      </c>
      <c r="AL10" s="174">
        <v>0</v>
      </c>
      <c r="AM10" s="174">
        <v>0</v>
      </c>
      <c r="AN10" s="174">
        <v>0</v>
      </c>
      <c r="AO10" s="174"/>
      <c r="AP10" s="174">
        <v>0</v>
      </c>
      <c r="AQ10" s="174">
        <v>0</v>
      </c>
      <c r="AR10" s="174">
        <v>0</v>
      </c>
      <c r="AS10" s="174">
        <v>0</v>
      </c>
      <c r="AT10" s="174">
        <v>0</v>
      </c>
      <c r="AU10" s="174">
        <v>0</v>
      </c>
      <c r="AV10" s="174">
        <v>0</v>
      </c>
      <c r="AW10" s="174">
        <v>0</v>
      </c>
      <c r="AX10" s="174">
        <v>0</v>
      </c>
      <c r="AY10" s="174">
        <v>0</v>
      </c>
      <c r="AZ10" s="174">
        <v>0</v>
      </c>
      <c r="BA10" s="174">
        <v>0</v>
      </c>
      <c r="BB10" s="174"/>
      <c r="BC10" s="174">
        <v>0</v>
      </c>
      <c r="BD10" s="174">
        <v>0</v>
      </c>
      <c r="BE10" s="174">
        <v>0</v>
      </c>
      <c r="BF10" s="174">
        <v>0</v>
      </c>
      <c r="BG10" s="174">
        <v>0</v>
      </c>
      <c r="BH10" s="174">
        <v>0</v>
      </c>
      <c r="BI10" s="174">
        <v>0</v>
      </c>
      <c r="BJ10" s="174">
        <v>0</v>
      </c>
      <c r="BK10" s="174">
        <v>0</v>
      </c>
      <c r="BL10" s="174">
        <v>0</v>
      </c>
      <c r="BM10" s="174">
        <v>0</v>
      </c>
      <c r="BN10" s="174">
        <v>0</v>
      </c>
      <c r="BO10" s="174"/>
      <c r="BP10" s="174">
        <v>0</v>
      </c>
      <c r="BQ10" s="174">
        <v>0</v>
      </c>
      <c r="BR10" s="174">
        <v>0</v>
      </c>
      <c r="BS10" s="174">
        <v>0</v>
      </c>
      <c r="BT10" s="174">
        <v>0</v>
      </c>
      <c r="BU10" s="174">
        <v>0</v>
      </c>
      <c r="BV10" s="174">
        <v>0</v>
      </c>
      <c r="BW10" s="174">
        <v>0</v>
      </c>
      <c r="BX10" s="174">
        <v>0</v>
      </c>
      <c r="BY10" s="174">
        <v>0</v>
      </c>
      <c r="BZ10" s="174">
        <v>0</v>
      </c>
      <c r="CA10" s="174">
        <v>0</v>
      </c>
      <c r="CB10" s="174"/>
      <c r="CC10" s="174">
        <v>0</v>
      </c>
      <c r="CD10" s="174">
        <v>0</v>
      </c>
      <c r="CE10" s="174">
        <v>0</v>
      </c>
      <c r="CF10" s="174">
        <v>0</v>
      </c>
      <c r="CG10" s="174">
        <v>0</v>
      </c>
      <c r="CH10" s="174">
        <v>0</v>
      </c>
      <c r="CI10" s="174">
        <v>0</v>
      </c>
      <c r="CJ10" s="174">
        <v>0</v>
      </c>
      <c r="CK10" s="174">
        <v>0</v>
      </c>
      <c r="CL10" s="174">
        <v>0</v>
      </c>
      <c r="CM10" s="174">
        <v>0</v>
      </c>
      <c r="CN10" s="174">
        <v>0</v>
      </c>
      <c r="CO10" s="174"/>
      <c r="CP10" s="174">
        <v>0</v>
      </c>
      <c r="CQ10" s="174">
        <v>0</v>
      </c>
      <c r="CR10" s="174">
        <v>0</v>
      </c>
      <c r="CS10" s="174">
        <v>0</v>
      </c>
      <c r="CT10" s="174">
        <v>0</v>
      </c>
      <c r="CU10" s="174">
        <v>0</v>
      </c>
      <c r="CV10" s="174">
        <v>0</v>
      </c>
      <c r="CW10" s="174">
        <v>0</v>
      </c>
      <c r="CX10" s="174">
        <v>0</v>
      </c>
      <c r="CY10" s="174">
        <v>0</v>
      </c>
      <c r="CZ10" s="174">
        <v>0</v>
      </c>
      <c r="DA10" s="174">
        <v>0</v>
      </c>
      <c r="DB10" s="174"/>
      <c r="DC10" s="174">
        <v>0</v>
      </c>
      <c r="DD10" s="174">
        <v>0</v>
      </c>
      <c r="DE10" s="174">
        <v>0</v>
      </c>
      <c r="DF10" s="174">
        <v>0</v>
      </c>
      <c r="DG10" s="174">
        <v>0</v>
      </c>
      <c r="DH10" s="174">
        <v>0</v>
      </c>
      <c r="DI10" s="174">
        <v>0</v>
      </c>
      <c r="DJ10" s="174">
        <v>0</v>
      </c>
      <c r="DK10" s="174">
        <v>0</v>
      </c>
      <c r="DL10" s="174">
        <v>0</v>
      </c>
      <c r="DM10" s="174">
        <v>0</v>
      </c>
      <c r="DN10" s="174">
        <v>0</v>
      </c>
      <c r="DO10" s="174"/>
      <c r="DP10" s="174">
        <v>0</v>
      </c>
      <c r="DQ10" s="174">
        <v>0</v>
      </c>
      <c r="DR10" s="174">
        <v>0</v>
      </c>
      <c r="DS10" s="174">
        <v>0</v>
      </c>
      <c r="DT10" s="174">
        <v>0</v>
      </c>
      <c r="DU10" s="174">
        <v>0</v>
      </c>
      <c r="DV10" s="174">
        <v>0</v>
      </c>
      <c r="DW10" s="174">
        <v>0</v>
      </c>
      <c r="DX10" s="174">
        <v>0</v>
      </c>
      <c r="DY10" s="174">
        <v>0</v>
      </c>
      <c r="DZ10" s="174">
        <v>0</v>
      </c>
      <c r="EA10" s="174">
        <v>0</v>
      </c>
      <c r="EB10" s="174"/>
      <c r="EC10" s="174">
        <v>0</v>
      </c>
      <c r="ED10" s="174">
        <v>0</v>
      </c>
      <c r="EE10" s="174">
        <v>0</v>
      </c>
      <c r="EF10" s="174">
        <v>0</v>
      </c>
      <c r="EG10" s="174">
        <v>0</v>
      </c>
      <c r="EH10" s="174">
        <v>0</v>
      </c>
      <c r="EI10" s="174">
        <v>0</v>
      </c>
      <c r="EJ10" s="174">
        <v>0</v>
      </c>
      <c r="EK10" s="174">
        <v>0</v>
      </c>
      <c r="EL10" s="174">
        <v>0</v>
      </c>
      <c r="EM10" s="174">
        <v>0</v>
      </c>
      <c r="EN10" s="174">
        <v>0</v>
      </c>
      <c r="EO10" s="174"/>
      <c r="EP10" s="174">
        <v>0</v>
      </c>
      <c r="EQ10" s="174">
        <v>0</v>
      </c>
      <c r="ER10" s="174">
        <v>0</v>
      </c>
      <c r="ES10" s="174">
        <v>0</v>
      </c>
      <c r="ET10" s="174">
        <v>0</v>
      </c>
      <c r="EU10" s="174">
        <v>0</v>
      </c>
      <c r="EV10" s="174">
        <v>0</v>
      </c>
      <c r="EW10" s="174">
        <v>0</v>
      </c>
      <c r="EX10" s="174">
        <v>0</v>
      </c>
      <c r="EY10" s="174">
        <v>0</v>
      </c>
      <c r="EZ10" s="174">
        <v>0</v>
      </c>
      <c r="FA10" s="174">
        <v>0</v>
      </c>
      <c r="FB10" s="174"/>
      <c r="FC10" s="174">
        <v>0</v>
      </c>
      <c r="FD10" s="174">
        <v>0</v>
      </c>
      <c r="FE10" s="174">
        <v>0</v>
      </c>
      <c r="FF10" s="174">
        <v>0</v>
      </c>
      <c r="FG10" s="174">
        <v>0</v>
      </c>
      <c r="FH10" s="174">
        <v>0</v>
      </c>
      <c r="FI10" s="174">
        <v>0</v>
      </c>
      <c r="FJ10" s="174">
        <v>0</v>
      </c>
      <c r="FK10" s="174">
        <v>0</v>
      </c>
      <c r="FL10" s="174">
        <v>0</v>
      </c>
      <c r="FM10" s="174">
        <v>0</v>
      </c>
      <c r="FN10" s="174">
        <v>0</v>
      </c>
      <c r="FO10" s="174"/>
      <c r="FP10" s="174">
        <v>0</v>
      </c>
      <c r="FQ10" s="174">
        <v>0</v>
      </c>
      <c r="FR10" s="174">
        <v>0</v>
      </c>
      <c r="FS10" s="174">
        <v>0</v>
      </c>
      <c r="FT10" s="174">
        <v>0</v>
      </c>
      <c r="FU10" s="174">
        <v>0</v>
      </c>
      <c r="FV10" s="174">
        <v>0</v>
      </c>
      <c r="FW10" s="174">
        <v>0</v>
      </c>
      <c r="FX10" s="174">
        <v>0</v>
      </c>
      <c r="FY10" s="174">
        <v>0</v>
      </c>
      <c r="FZ10" s="174">
        <v>0</v>
      </c>
      <c r="GA10" s="174">
        <v>0</v>
      </c>
      <c r="GB10" s="174"/>
      <c r="GC10" s="174">
        <v>0</v>
      </c>
      <c r="GD10" s="174">
        <v>0</v>
      </c>
      <c r="GE10" s="174">
        <v>0</v>
      </c>
      <c r="GF10" s="174">
        <v>0</v>
      </c>
      <c r="GG10" s="174">
        <v>0</v>
      </c>
    </row>
    <row r="11" spans="1:189" s="175" customFormat="1" ht="16.5" customHeight="1" x14ac:dyDescent="0.25">
      <c r="A11" s="78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</row>
    <row r="12" spans="1:189" s="175" customFormat="1" ht="16.5" customHeight="1" x14ac:dyDescent="0.25">
      <c r="A12" s="83" t="s">
        <v>67</v>
      </c>
      <c r="B12" s="174">
        <v>281725446.58999997</v>
      </c>
      <c r="C12" s="174">
        <f>+ROUND(281725446.59,0)</f>
        <v>281725447</v>
      </c>
      <c r="D12" s="176">
        <f>+C41</f>
        <v>300564877</v>
      </c>
      <c r="E12" s="176">
        <f>+D41</f>
        <v>317707607</v>
      </c>
      <c r="F12" s="176">
        <f t="shared" ref="F12:N12" si="0">+E41</f>
        <v>333888326</v>
      </c>
      <c r="G12" s="176">
        <f t="shared" si="0"/>
        <v>348372345</v>
      </c>
      <c r="H12" s="176">
        <f t="shared" si="0"/>
        <v>361159664</v>
      </c>
      <c r="I12" s="176">
        <f t="shared" si="0"/>
        <v>372250282</v>
      </c>
      <c r="J12" s="176">
        <f t="shared" si="0"/>
        <v>381644200</v>
      </c>
      <c r="K12" s="176">
        <f t="shared" si="0"/>
        <v>389341418</v>
      </c>
      <c r="L12" s="176">
        <f t="shared" si="0"/>
        <v>395341935</v>
      </c>
      <c r="M12" s="176">
        <f t="shared" si="0"/>
        <v>399645752</v>
      </c>
      <c r="N12" s="176">
        <f t="shared" si="0"/>
        <v>402252868</v>
      </c>
      <c r="O12" s="176">
        <f>+B41</f>
        <v>403163283.58999997</v>
      </c>
      <c r="P12" s="176">
        <f>+N41</f>
        <v>403163284</v>
      </c>
      <c r="Q12" s="176">
        <f>+P41</f>
        <v>409541489</v>
      </c>
      <c r="R12" s="176">
        <f>+Q41</f>
        <v>415919694</v>
      </c>
      <c r="S12" s="176">
        <f>+R41</f>
        <v>423076670</v>
      </c>
      <c r="T12" s="176">
        <f>+S41</f>
        <v>430233646</v>
      </c>
      <c r="U12" s="176">
        <f t="shared" ref="U12:AH12" si="1">+T41</f>
        <v>437390622</v>
      </c>
      <c r="V12" s="176">
        <f t="shared" si="1"/>
        <v>444547598</v>
      </c>
      <c r="W12" s="176">
        <f t="shared" si="1"/>
        <v>451704574</v>
      </c>
      <c r="X12" s="176">
        <f t="shared" si="1"/>
        <v>458861550</v>
      </c>
      <c r="Y12" s="176">
        <f t="shared" si="1"/>
        <v>466018526</v>
      </c>
      <c r="Z12" s="176">
        <f t="shared" si="1"/>
        <v>473175502</v>
      </c>
      <c r="AA12" s="176">
        <f t="shared" si="1"/>
        <v>480332478</v>
      </c>
      <c r="AB12" s="176">
        <f>+O41</f>
        <v>487489453.58999997</v>
      </c>
      <c r="AC12" s="176">
        <f>+AA41</f>
        <v>487489454</v>
      </c>
      <c r="AD12" s="176">
        <f>+AC41</f>
        <v>493401459</v>
      </c>
      <c r="AE12" s="176">
        <f t="shared" si="1"/>
        <v>499313464</v>
      </c>
      <c r="AF12" s="176">
        <f t="shared" si="1"/>
        <v>506050966</v>
      </c>
      <c r="AG12" s="176">
        <f t="shared" si="1"/>
        <v>512788468</v>
      </c>
      <c r="AH12" s="176">
        <f t="shared" si="1"/>
        <v>519525970</v>
      </c>
      <c r="AI12" s="176">
        <f t="shared" ref="AI12" si="2">+AH41</f>
        <v>526263472</v>
      </c>
      <c r="AJ12" s="176">
        <f t="shared" ref="AJ12" si="3">+AI41</f>
        <v>533000974</v>
      </c>
      <c r="AK12" s="176">
        <f t="shared" ref="AK12" si="4">+AJ41</f>
        <v>539738476</v>
      </c>
      <c r="AL12" s="176">
        <f t="shared" ref="AL12" si="5">+AK41</f>
        <v>546475978</v>
      </c>
      <c r="AM12" s="176">
        <f t="shared" ref="AM12" si="6">+AL41</f>
        <v>553213480</v>
      </c>
      <c r="AN12" s="176">
        <f t="shared" ref="AN12" si="7">+AM41</f>
        <v>559950982</v>
      </c>
      <c r="AO12" s="176">
        <f>+AB41</f>
        <v>566688483.58999991</v>
      </c>
      <c r="AP12" s="176">
        <f t="shared" ref="AP12" si="8">+AN41</f>
        <v>566688484</v>
      </c>
      <c r="AQ12" s="176">
        <f t="shared" ref="AQ12" si="9">+AP41</f>
        <v>573470257</v>
      </c>
      <c r="AR12" s="176">
        <f t="shared" ref="AR12" si="10">+AQ41</f>
        <v>580252030</v>
      </c>
      <c r="AS12" s="176">
        <f t="shared" ref="AS12" si="11">+AR41</f>
        <v>587908831</v>
      </c>
      <c r="AT12" s="176">
        <f t="shared" ref="AT12" si="12">+AS41</f>
        <v>595565632</v>
      </c>
      <c r="AU12" s="176">
        <f t="shared" ref="AU12" si="13">+AT41</f>
        <v>603222433</v>
      </c>
      <c r="AV12" s="176">
        <f t="shared" ref="AV12" si="14">+AU41</f>
        <v>610879234</v>
      </c>
      <c r="AW12" s="176">
        <f t="shared" ref="AW12" si="15">+AV41</f>
        <v>618536035</v>
      </c>
      <c r="AX12" s="176">
        <f t="shared" ref="AX12" si="16">+AW41</f>
        <v>626192836</v>
      </c>
      <c r="AY12" s="176">
        <f t="shared" ref="AY12" si="17">+AX41</f>
        <v>633849637</v>
      </c>
      <c r="AZ12" s="176">
        <f t="shared" ref="AZ12" si="18">+AY41</f>
        <v>641506438</v>
      </c>
      <c r="BA12" s="176">
        <f t="shared" ref="BA12" si="19">+AZ41</f>
        <v>649163239</v>
      </c>
      <c r="BB12" s="176">
        <f>+AO41</f>
        <v>656820039.58999991</v>
      </c>
      <c r="BC12" s="176">
        <f t="shared" ref="BC12" si="20">+BA41</f>
        <v>656820040</v>
      </c>
      <c r="BD12" s="176">
        <f t="shared" ref="BD12" si="21">+BC41</f>
        <v>664544415</v>
      </c>
      <c r="BE12" s="176">
        <f t="shared" ref="BE12" si="22">+BD41</f>
        <v>672268790</v>
      </c>
      <c r="BF12" s="176">
        <f t="shared" ref="BF12" si="23">+BE41</f>
        <v>680920694</v>
      </c>
      <c r="BG12" s="176">
        <f t="shared" ref="BG12" si="24">+BF41</f>
        <v>689572598</v>
      </c>
      <c r="BH12" s="176">
        <f t="shared" ref="BH12" si="25">+BG41</f>
        <v>698224502</v>
      </c>
      <c r="BI12" s="176">
        <f t="shared" ref="BI12" si="26">+BH41</f>
        <v>692192656</v>
      </c>
      <c r="BJ12" s="176">
        <f t="shared" ref="BJ12" si="27">+BI41</f>
        <v>686160810</v>
      </c>
      <c r="BK12" s="176">
        <f t="shared" ref="BK12" si="28">+BJ41</f>
        <v>680128964</v>
      </c>
      <c r="BL12" s="176">
        <f t="shared" ref="BL12" si="29">+BK41</f>
        <v>674097118</v>
      </c>
      <c r="BM12" s="176">
        <f t="shared" ref="BM12" si="30">+BL41</f>
        <v>668065272</v>
      </c>
      <c r="BN12" s="176">
        <f t="shared" ref="BN12" si="31">+BM41</f>
        <v>662033426</v>
      </c>
      <c r="BO12" s="176">
        <f>+BB41</f>
        <v>656001579.58999991</v>
      </c>
      <c r="BP12" s="176">
        <f t="shared" ref="BP12" si="32">+BN41</f>
        <v>656001580</v>
      </c>
      <c r="BQ12" s="176">
        <f t="shared" ref="BQ12" si="33">+BP41</f>
        <v>650063038</v>
      </c>
      <c r="BR12" s="176">
        <f t="shared" ref="BR12" si="34">+BQ41</f>
        <v>644124496</v>
      </c>
      <c r="BS12" s="176">
        <f t="shared" ref="BS12" si="35">+BR41</f>
        <v>638185954</v>
      </c>
      <c r="BT12" s="176">
        <f t="shared" ref="BT12" si="36">+BS41</f>
        <v>632247412</v>
      </c>
      <c r="BU12" s="176">
        <f t="shared" ref="BU12" si="37">+BT41</f>
        <v>626308870</v>
      </c>
      <c r="BV12" s="176">
        <f t="shared" ref="BV12" si="38">+BU41</f>
        <v>620370328</v>
      </c>
      <c r="BW12" s="176">
        <f t="shared" ref="BW12" si="39">+BV41</f>
        <v>614431786</v>
      </c>
      <c r="BX12" s="176">
        <f t="shared" ref="BX12" si="40">+BW41</f>
        <v>608493244</v>
      </c>
      <c r="BY12" s="176">
        <f t="shared" ref="BY12" si="41">+BX41</f>
        <v>602554702</v>
      </c>
      <c r="BZ12" s="176">
        <f t="shared" ref="BZ12" si="42">+BY41</f>
        <v>596616160</v>
      </c>
      <c r="CA12" s="176">
        <f t="shared" ref="CA12" si="43">+BZ41</f>
        <v>590677618</v>
      </c>
      <c r="CB12" s="176">
        <f>+BO41</f>
        <v>584739075.58999991</v>
      </c>
      <c r="CC12" s="176">
        <f t="shared" ref="CC12" si="44">+CA41</f>
        <v>584739076</v>
      </c>
      <c r="CD12" s="176">
        <f t="shared" ref="CD12" si="45">+CC41</f>
        <v>578922196</v>
      </c>
      <c r="CE12" s="176">
        <f t="shared" ref="CE12" si="46">+CD41</f>
        <v>573105316</v>
      </c>
      <c r="CF12" s="176">
        <f t="shared" ref="CF12" si="47">+CE41</f>
        <v>567288436</v>
      </c>
      <c r="CG12" s="176">
        <f t="shared" ref="CG12" si="48">+CF41</f>
        <v>561471556</v>
      </c>
      <c r="CH12" s="176">
        <f t="shared" ref="CH12" si="49">+CG41</f>
        <v>555654676</v>
      </c>
      <c r="CI12" s="176">
        <f t="shared" ref="CI12" si="50">+CH41</f>
        <v>549837796</v>
      </c>
      <c r="CJ12" s="176">
        <f t="shared" ref="CJ12" si="51">+CI41</f>
        <v>544020916</v>
      </c>
      <c r="CK12" s="176">
        <f t="shared" ref="CK12" si="52">+CJ41</f>
        <v>538204036</v>
      </c>
      <c r="CL12" s="176">
        <f t="shared" ref="CL12" si="53">+CK41</f>
        <v>532387156</v>
      </c>
      <c r="CM12" s="176">
        <f t="shared" ref="CM12" si="54">+CL41</f>
        <v>526570276</v>
      </c>
      <c r="CN12" s="176">
        <f t="shared" ref="CN12" si="55">+CM41</f>
        <v>520753396</v>
      </c>
      <c r="CO12" s="176">
        <f>+CB41</f>
        <v>514936515.58999991</v>
      </c>
      <c r="CP12" s="176">
        <f t="shared" ref="CP12" si="56">+CN41</f>
        <v>514936516</v>
      </c>
      <c r="CQ12" s="176">
        <f t="shared" ref="CQ12" si="57">+CP41</f>
        <v>509272497</v>
      </c>
      <c r="CR12" s="176">
        <f t="shared" ref="CR12" si="58">+CQ41</f>
        <v>503608478</v>
      </c>
      <c r="CS12" s="176">
        <f t="shared" ref="CS12" si="59">+CR41</f>
        <v>497944459</v>
      </c>
      <c r="CT12" s="176">
        <f t="shared" ref="CT12" si="60">+CS41</f>
        <v>492280440</v>
      </c>
      <c r="CU12" s="176">
        <f t="shared" ref="CU12" si="61">+CT41</f>
        <v>486616421</v>
      </c>
      <c r="CV12" s="176">
        <f t="shared" ref="CV12" si="62">+CU41</f>
        <v>480952402</v>
      </c>
      <c r="CW12" s="176">
        <f t="shared" ref="CW12" si="63">+CV41</f>
        <v>475288383</v>
      </c>
      <c r="CX12" s="176">
        <f t="shared" ref="CX12" si="64">+CW41</f>
        <v>469624364</v>
      </c>
      <c r="CY12" s="176">
        <f t="shared" ref="CY12" si="65">+CX41</f>
        <v>463960345</v>
      </c>
      <c r="CZ12" s="176">
        <f t="shared" ref="CZ12" si="66">+CY41</f>
        <v>458296326</v>
      </c>
      <c r="DA12" s="176">
        <f t="shared" ref="DA12" si="67">+CZ41</f>
        <v>452632307</v>
      </c>
      <c r="DB12" s="176">
        <f>+CO41</f>
        <v>446968287.58999991</v>
      </c>
      <c r="DC12" s="176">
        <f t="shared" ref="DC12" si="68">+DA41</f>
        <v>446968288</v>
      </c>
      <c r="DD12" s="176">
        <f t="shared" ref="DD12" si="69">+DC41</f>
        <v>441491398</v>
      </c>
      <c r="DE12" s="176">
        <f t="shared" ref="DE12" si="70">+DD41</f>
        <v>436014508</v>
      </c>
      <c r="DF12" s="176">
        <f t="shared" ref="DF12" si="71">+DE41</f>
        <v>430537618</v>
      </c>
      <c r="DG12" s="176">
        <f t="shared" ref="DG12" si="72">+DF41</f>
        <v>425060728</v>
      </c>
      <c r="DH12" s="176">
        <f t="shared" ref="DH12" si="73">+DG41</f>
        <v>419583838</v>
      </c>
      <c r="DI12" s="176">
        <f t="shared" ref="DI12" si="74">+DH41</f>
        <v>414106948</v>
      </c>
      <c r="DJ12" s="176">
        <f t="shared" ref="DJ12" si="75">+DI41</f>
        <v>408630058</v>
      </c>
      <c r="DK12" s="176">
        <f t="shared" ref="DK12" si="76">+DJ41</f>
        <v>403153168</v>
      </c>
      <c r="DL12" s="176">
        <f t="shared" ref="DL12" si="77">+DK41</f>
        <v>397676278</v>
      </c>
      <c r="DM12" s="176">
        <f t="shared" ref="DM12" si="78">+DL41</f>
        <v>392199388</v>
      </c>
      <c r="DN12" s="176">
        <f t="shared" ref="DN12" si="79">+DM41</f>
        <v>386722498</v>
      </c>
      <c r="DO12" s="176">
        <f>+DB41</f>
        <v>381245607.58999991</v>
      </c>
      <c r="DP12" s="176">
        <f t="shared" ref="DP12" si="80">+DN41</f>
        <v>381245608</v>
      </c>
      <c r="DQ12" s="176">
        <f t="shared" ref="DQ12" si="81">+DP41</f>
        <v>375993422</v>
      </c>
      <c r="DR12" s="176">
        <f t="shared" ref="DR12" si="82">+DQ41</f>
        <v>370741236</v>
      </c>
      <c r="DS12" s="176">
        <f t="shared" ref="DS12" si="83">+DR41</f>
        <v>365489050</v>
      </c>
      <c r="DT12" s="176">
        <f t="shared" ref="DT12" si="84">+DS41</f>
        <v>360236864</v>
      </c>
      <c r="DU12" s="176">
        <f t="shared" ref="DU12" si="85">+DT41</f>
        <v>354984678</v>
      </c>
      <c r="DV12" s="176">
        <f t="shared" ref="DV12" si="86">+DU41</f>
        <v>349732492</v>
      </c>
      <c r="DW12" s="176">
        <f t="shared" ref="DW12" si="87">+DV41</f>
        <v>344480306</v>
      </c>
      <c r="DX12" s="176">
        <f t="shared" ref="DX12" si="88">+DW41</f>
        <v>339228120</v>
      </c>
      <c r="DY12" s="176">
        <f t="shared" ref="DY12" si="89">+DX41</f>
        <v>333975934</v>
      </c>
      <c r="DZ12" s="176">
        <f t="shared" ref="DZ12" si="90">+DY41</f>
        <v>328723748</v>
      </c>
      <c r="EA12" s="176">
        <f t="shared" ref="EA12" si="91">+DZ41</f>
        <v>323471562</v>
      </c>
      <c r="EB12" s="176">
        <f>+DO41</f>
        <v>318219375.58999991</v>
      </c>
      <c r="EC12" s="176">
        <f t="shared" ref="EC12" si="92">+EA41</f>
        <v>318219376</v>
      </c>
      <c r="ED12" s="176">
        <f t="shared" ref="ED12" si="93">+EC41</f>
        <v>313233044</v>
      </c>
      <c r="EE12" s="176">
        <f t="shared" ref="EE12" si="94">+ED41</f>
        <v>308246712</v>
      </c>
      <c r="EF12" s="176">
        <f t="shared" ref="EF12" si="95">+EE41</f>
        <v>303260380</v>
      </c>
      <c r="EG12" s="176">
        <f t="shared" ref="EG12" si="96">+EF41</f>
        <v>298274048</v>
      </c>
      <c r="EH12" s="176">
        <f t="shared" ref="EH12" si="97">+EG41</f>
        <v>293287716</v>
      </c>
      <c r="EI12" s="176">
        <f t="shared" ref="EI12" si="98">+EH41</f>
        <v>288301384</v>
      </c>
      <c r="EJ12" s="176">
        <f t="shared" ref="EJ12" si="99">+EI41</f>
        <v>283315052</v>
      </c>
      <c r="EK12" s="176">
        <f t="shared" ref="EK12" si="100">+EJ41</f>
        <v>278328720</v>
      </c>
      <c r="EL12" s="176">
        <f t="shared" ref="EL12" si="101">+EK41</f>
        <v>273342388</v>
      </c>
      <c r="EM12" s="176">
        <f t="shared" ref="EM12" si="102">+EL41</f>
        <v>268356056</v>
      </c>
      <c r="EN12" s="176">
        <f t="shared" ref="EN12" si="103">+EM41</f>
        <v>263369724</v>
      </c>
      <c r="EO12" s="176">
        <f>+EB41</f>
        <v>258383391.58999991</v>
      </c>
      <c r="EP12" s="176">
        <f t="shared" ref="EP12" si="104">+EN41</f>
        <v>258383392</v>
      </c>
      <c r="EQ12" s="176">
        <f t="shared" ref="EQ12" si="105">+EP41</f>
        <v>253707911</v>
      </c>
      <c r="ER12" s="176">
        <f t="shared" ref="ER12" si="106">+EQ41</f>
        <v>249032430</v>
      </c>
      <c r="ES12" s="176">
        <f t="shared" ref="ES12" si="107">+ER41</f>
        <v>244356949</v>
      </c>
      <c r="ET12" s="176">
        <f t="shared" ref="ET12" si="108">+ES41</f>
        <v>239681468</v>
      </c>
      <c r="EU12" s="176">
        <f t="shared" ref="EU12" si="109">+ET41</f>
        <v>235005987</v>
      </c>
      <c r="EV12" s="176">
        <f t="shared" ref="EV12" si="110">+EU41</f>
        <v>230330506</v>
      </c>
      <c r="EW12" s="176">
        <f t="shared" ref="EW12" si="111">+EV41</f>
        <v>225655025</v>
      </c>
      <c r="EX12" s="176">
        <f t="shared" ref="EX12" si="112">+EW41</f>
        <v>220979544</v>
      </c>
      <c r="EY12" s="176">
        <f t="shared" ref="EY12" si="113">+EX41</f>
        <v>216304063</v>
      </c>
      <c r="EZ12" s="176">
        <f t="shared" ref="EZ12" si="114">+EY41</f>
        <v>211628582</v>
      </c>
      <c r="FA12" s="176">
        <f t="shared" ref="FA12" si="115">+EZ41</f>
        <v>206953101</v>
      </c>
      <c r="FB12" s="176">
        <f>+EO41</f>
        <v>202277619.58999991</v>
      </c>
      <c r="FC12" s="176">
        <f t="shared" ref="FC12" si="116">+FA41</f>
        <v>202277620</v>
      </c>
      <c r="FD12" s="176">
        <f t="shared" ref="FD12" si="117">+FC41</f>
        <v>197962146</v>
      </c>
      <c r="FE12" s="176">
        <f t="shared" ref="FE12" si="118">+FD41</f>
        <v>193646672</v>
      </c>
      <c r="FF12" s="176">
        <f t="shared" ref="FF12" si="119">+FE41</f>
        <v>189331198</v>
      </c>
      <c r="FG12" s="176">
        <f t="shared" ref="FG12" si="120">+FF41</f>
        <v>185015724</v>
      </c>
      <c r="FH12" s="176">
        <f t="shared" ref="FH12" si="121">+FG41</f>
        <v>180700250</v>
      </c>
      <c r="FI12" s="176">
        <f t="shared" ref="FI12" si="122">+FH41</f>
        <v>176384776</v>
      </c>
      <c r="FJ12" s="176">
        <f t="shared" ref="FJ12" si="123">+FI41</f>
        <v>172069302</v>
      </c>
      <c r="FK12" s="176">
        <f t="shared" ref="FK12" si="124">+FJ41</f>
        <v>167753828</v>
      </c>
      <c r="FL12" s="176">
        <f t="shared" ref="FL12" si="125">+FK41</f>
        <v>163438354</v>
      </c>
      <c r="FM12" s="176">
        <f t="shared" ref="FM12" si="126">+FL41</f>
        <v>159122880</v>
      </c>
      <c r="FN12" s="176">
        <f t="shared" ref="FN12" si="127">+FM41</f>
        <v>154807406</v>
      </c>
      <c r="FO12" s="176">
        <f>+FB41</f>
        <v>150491931.58999991</v>
      </c>
      <c r="FP12" s="176">
        <f t="shared" ref="FP12" si="128">+FN41</f>
        <v>150491932</v>
      </c>
      <c r="FQ12" s="176">
        <f t="shared" ref="FQ12" si="129">+FP41</f>
        <v>146590091</v>
      </c>
      <c r="FR12" s="176">
        <f t="shared" ref="FR12" si="130">+FQ41</f>
        <v>142688250</v>
      </c>
      <c r="FS12" s="176">
        <f t="shared" ref="FS12" si="131">+FR41</f>
        <v>138786409</v>
      </c>
      <c r="FT12" s="176">
        <f t="shared" ref="FT12" si="132">+FS41</f>
        <v>134884568</v>
      </c>
      <c r="FU12" s="176">
        <f t="shared" ref="FU12" si="133">+FT41</f>
        <v>130982727</v>
      </c>
      <c r="FV12" s="176">
        <f t="shared" ref="FV12" si="134">+FU41</f>
        <v>127080886</v>
      </c>
      <c r="FW12" s="176">
        <f t="shared" ref="FW12" si="135">+FV41</f>
        <v>123179045</v>
      </c>
      <c r="FX12" s="176">
        <f t="shared" ref="FX12" si="136">+FW41</f>
        <v>119277204</v>
      </c>
      <c r="FY12" s="176">
        <f t="shared" ref="FY12" si="137">+FX41</f>
        <v>115375363</v>
      </c>
      <c r="FZ12" s="176">
        <f t="shared" ref="FZ12" si="138">+FY41</f>
        <v>111473522</v>
      </c>
      <c r="GA12" s="176">
        <f t="shared" ref="GA12" si="139">+FZ41</f>
        <v>107571681</v>
      </c>
      <c r="GB12" s="176">
        <f>+FO41</f>
        <v>103669839.58999991</v>
      </c>
      <c r="GC12" s="176">
        <f t="shared" ref="GC12" si="140">+GA41</f>
        <v>103669840</v>
      </c>
      <c r="GD12" s="176">
        <f t="shared" ref="GD12" si="141">+GC41</f>
        <v>100240079</v>
      </c>
      <c r="GE12" s="176">
        <f t="shared" ref="GE12" si="142">+GD41</f>
        <v>96810318</v>
      </c>
      <c r="GF12" s="176">
        <f t="shared" ref="GF12" si="143">+GE41</f>
        <v>93380557</v>
      </c>
      <c r="GG12" s="176">
        <f t="shared" ref="GG12" si="144">+GF41</f>
        <v>89950796</v>
      </c>
    </row>
    <row r="13" spans="1:189" s="175" customFormat="1" ht="16.5" customHeight="1" x14ac:dyDescent="0.25">
      <c r="A13" s="78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7"/>
      <c r="O13" s="177"/>
      <c r="P13" s="176"/>
      <c r="Q13" s="177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7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7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7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7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7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7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7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7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7"/>
      <c r="EP13" s="176"/>
      <c r="EQ13" s="176"/>
      <c r="ER13" s="176"/>
      <c r="ES13" s="176"/>
      <c r="ET13" s="176"/>
      <c r="EU13" s="176"/>
      <c r="EV13" s="176"/>
      <c r="EW13" s="176"/>
      <c r="EX13" s="176"/>
      <c r="EY13" s="176"/>
      <c r="EZ13" s="176"/>
      <c r="FA13" s="176"/>
      <c r="FB13" s="177"/>
      <c r="FC13" s="176"/>
      <c r="FD13" s="176"/>
      <c r="FE13" s="176"/>
      <c r="FF13" s="176"/>
      <c r="FG13" s="176"/>
      <c r="FH13" s="176"/>
      <c r="FI13" s="176"/>
      <c r="FJ13" s="176"/>
      <c r="FK13" s="176"/>
      <c r="FL13" s="176"/>
      <c r="FM13" s="176"/>
      <c r="FN13" s="176"/>
      <c r="FO13" s="177"/>
      <c r="FP13" s="176"/>
      <c r="FQ13" s="176"/>
      <c r="FR13" s="176"/>
      <c r="FS13" s="176"/>
      <c r="FT13" s="176"/>
      <c r="FU13" s="176"/>
      <c r="FV13" s="176"/>
      <c r="FW13" s="176"/>
      <c r="FX13" s="176"/>
      <c r="FY13" s="176"/>
      <c r="FZ13" s="176"/>
      <c r="GA13" s="176"/>
      <c r="GB13" s="177"/>
      <c r="GC13" s="176"/>
      <c r="GD13" s="176"/>
      <c r="GE13" s="176"/>
      <c r="GF13" s="176"/>
      <c r="GG13" s="176"/>
    </row>
    <row r="14" spans="1:189" s="181" customFormat="1" ht="16.5" customHeight="1" x14ac:dyDescent="0.25">
      <c r="A14" s="79" t="s">
        <v>79</v>
      </c>
      <c r="B14" s="178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80"/>
      <c r="O14" s="178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79"/>
      <c r="AB14" s="178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8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8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8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8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8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8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8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8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8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8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8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8"/>
      <c r="GC14" s="179"/>
      <c r="GD14" s="179"/>
      <c r="GE14" s="179"/>
      <c r="GF14" s="179"/>
      <c r="GG14" s="179"/>
    </row>
    <row r="15" spans="1:189" s="181" customFormat="1" ht="16.5" customHeight="1" x14ac:dyDescent="0.25">
      <c r="A15" s="83" t="s">
        <v>69</v>
      </c>
      <c r="B15" s="173">
        <f>+SUM(C15:N15)</f>
        <v>435860940</v>
      </c>
      <c r="C15" s="240">
        <f>+ROUND((INGRESOS!K5*(1-5%)),0)</f>
        <v>36321745</v>
      </c>
      <c r="D15" s="174">
        <f>+C15</f>
        <v>36321745</v>
      </c>
      <c r="E15" s="174">
        <f t="shared" ref="E15:N16" si="145">+D15</f>
        <v>36321745</v>
      </c>
      <c r="F15" s="174">
        <f t="shared" si="145"/>
        <v>36321745</v>
      </c>
      <c r="G15" s="174">
        <f t="shared" si="145"/>
        <v>36321745</v>
      </c>
      <c r="H15" s="174">
        <f>+G15</f>
        <v>36321745</v>
      </c>
      <c r="I15" s="174">
        <f t="shared" si="145"/>
        <v>36321745</v>
      </c>
      <c r="J15" s="174">
        <f t="shared" si="145"/>
        <v>36321745</v>
      </c>
      <c r="K15" s="174">
        <f t="shared" si="145"/>
        <v>36321745</v>
      </c>
      <c r="L15" s="174">
        <f t="shared" si="145"/>
        <v>36321745</v>
      </c>
      <c r="M15" s="174">
        <f t="shared" si="145"/>
        <v>36321745</v>
      </c>
      <c r="N15" s="174">
        <f t="shared" si="145"/>
        <v>36321745</v>
      </c>
      <c r="O15" s="173">
        <f>+SUM(P15:AA15)</f>
        <v>462012600</v>
      </c>
      <c r="P15" s="174">
        <f>+ROUND((N15*(1+P3)+(1*P4)),0)</f>
        <v>38501050</v>
      </c>
      <c r="Q15" s="174">
        <f>+P15</f>
        <v>38501050</v>
      </c>
      <c r="R15" s="174">
        <f>+Q15</f>
        <v>38501050</v>
      </c>
      <c r="S15" s="174">
        <f t="shared" ref="S15:AA16" si="146">+R15</f>
        <v>38501050</v>
      </c>
      <c r="T15" s="174">
        <f t="shared" si="146"/>
        <v>38501050</v>
      </c>
      <c r="U15" s="174">
        <f t="shared" si="146"/>
        <v>38501050</v>
      </c>
      <c r="V15" s="174">
        <f t="shared" si="146"/>
        <v>38501050</v>
      </c>
      <c r="W15" s="174">
        <f t="shared" si="146"/>
        <v>38501050</v>
      </c>
      <c r="X15" s="174">
        <f t="shared" si="146"/>
        <v>38501050</v>
      </c>
      <c r="Y15" s="174">
        <f t="shared" si="146"/>
        <v>38501050</v>
      </c>
      <c r="Z15" s="174">
        <f t="shared" si="146"/>
        <v>38501050</v>
      </c>
      <c r="AA15" s="174">
        <f t="shared" si="146"/>
        <v>38501050</v>
      </c>
      <c r="AB15" s="173">
        <f>+SUM(AC15:AN15)</f>
        <v>489733356</v>
      </c>
      <c r="AC15" s="174">
        <f>+ROUND((AA15*(1+AC3)+(1*AC4)),0)</f>
        <v>40811113</v>
      </c>
      <c r="AD15" s="174">
        <f>+AC15</f>
        <v>40811113</v>
      </c>
      <c r="AE15" s="174">
        <f t="shared" ref="AE15:AN16" si="147">+AD15</f>
        <v>40811113</v>
      </c>
      <c r="AF15" s="174">
        <f t="shared" si="147"/>
        <v>40811113</v>
      </c>
      <c r="AG15" s="174">
        <f t="shared" si="147"/>
        <v>40811113</v>
      </c>
      <c r="AH15" s="174">
        <f t="shared" si="147"/>
        <v>40811113</v>
      </c>
      <c r="AI15" s="174">
        <f t="shared" si="147"/>
        <v>40811113</v>
      </c>
      <c r="AJ15" s="174">
        <f t="shared" si="147"/>
        <v>40811113</v>
      </c>
      <c r="AK15" s="174">
        <f t="shared" si="147"/>
        <v>40811113</v>
      </c>
      <c r="AL15" s="174">
        <f t="shared" si="147"/>
        <v>40811113</v>
      </c>
      <c r="AM15" s="174">
        <f t="shared" si="147"/>
        <v>40811113</v>
      </c>
      <c r="AN15" s="174">
        <f t="shared" si="147"/>
        <v>40811113</v>
      </c>
      <c r="AO15" s="173">
        <f>+SUM(AP15:BA15)</f>
        <v>519117360</v>
      </c>
      <c r="AP15" s="174">
        <f>+ROUND((AN15*(1+AP3)+(1*AP4)),0)</f>
        <v>43259780</v>
      </c>
      <c r="AQ15" s="174">
        <f>+AP15</f>
        <v>43259780</v>
      </c>
      <c r="AR15" s="174">
        <f t="shared" ref="AR15:BA16" si="148">+AQ15</f>
        <v>43259780</v>
      </c>
      <c r="AS15" s="174">
        <f t="shared" si="148"/>
        <v>43259780</v>
      </c>
      <c r="AT15" s="174">
        <f t="shared" si="148"/>
        <v>43259780</v>
      </c>
      <c r="AU15" s="174">
        <f t="shared" si="148"/>
        <v>43259780</v>
      </c>
      <c r="AV15" s="174">
        <f t="shared" si="148"/>
        <v>43259780</v>
      </c>
      <c r="AW15" s="174">
        <f t="shared" si="148"/>
        <v>43259780</v>
      </c>
      <c r="AX15" s="174">
        <f t="shared" si="148"/>
        <v>43259780</v>
      </c>
      <c r="AY15" s="174">
        <f t="shared" si="148"/>
        <v>43259780</v>
      </c>
      <c r="AZ15" s="174">
        <f t="shared" si="148"/>
        <v>43259780</v>
      </c>
      <c r="BA15" s="174">
        <f t="shared" si="148"/>
        <v>43259780</v>
      </c>
      <c r="BB15" s="173">
        <f>+SUM(BC15:BN15)</f>
        <v>550264404</v>
      </c>
      <c r="BC15" s="174">
        <f>+ROUND((BA15*(1+BC3)+(1*BC4)),0)</f>
        <v>45855367</v>
      </c>
      <c r="BD15" s="174">
        <f>+BC15</f>
        <v>45855367</v>
      </c>
      <c r="BE15" s="174">
        <f t="shared" ref="BE15:BN16" si="149">+BD15</f>
        <v>45855367</v>
      </c>
      <c r="BF15" s="174">
        <f t="shared" si="149"/>
        <v>45855367</v>
      </c>
      <c r="BG15" s="174">
        <f t="shared" si="149"/>
        <v>45855367</v>
      </c>
      <c r="BH15" s="174">
        <f t="shared" si="149"/>
        <v>45855367</v>
      </c>
      <c r="BI15" s="174">
        <f t="shared" si="149"/>
        <v>45855367</v>
      </c>
      <c r="BJ15" s="174">
        <f t="shared" si="149"/>
        <v>45855367</v>
      </c>
      <c r="BK15" s="174">
        <f t="shared" si="149"/>
        <v>45855367</v>
      </c>
      <c r="BL15" s="174">
        <f t="shared" si="149"/>
        <v>45855367</v>
      </c>
      <c r="BM15" s="174">
        <f t="shared" si="149"/>
        <v>45855367</v>
      </c>
      <c r="BN15" s="174">
        <f t="shared" si="149"/>
        <v>45855367</v>
      </c>
      <c r="BO15" s="173">
        <f>+SUM(BP15:CA15)</f>
        <v>583280268</v>
      </c>
      <c r="BP15" s="174">
        <f>+ROUND((BN15*(1+BP3)+(1*BP4)),0)</f>
        <v>48606689</v>
      </c>
      <c r="BQ15" s="174">
        <f>+BP15</f>
        <v>48606689</v>
      </c>
      <c r="BR15" s="174">
        <f t="shared" ref="BR15:CA15" si="150">+BQ15</f>
        <v>48606689</v>
      </c>
      <c r="BS15" s="174">
        <f t="shared" si="150"/>
        <v>48606689</v>
      </c>
      <c r="BT15" s="174">
        <f t="shared" si="150"/>
        <v>48606689</v>
      </c>
      <c r="BU15" s="174">
        <f t="shared" si="150"/>
        <v>48606689</v>
      </c>
      <c r="BV15" s="174">
        <f t="shared" si="150"/>
        <v>48606689</v>
      </c>
      <c r="BW15" s="174">
        <f t="shared" si="150"/>
        <v>48606689</v>
      </c>
      <c r="BX15" s="174">
        <f t="shared" si="150"/>
        <v>48606689</v>
      </c>
      <c r="BY15" s="174">
        <f t="shared" si="150"/>
        <v>48606689</v>
      </c>
      <c r="BZ15" s="174">
        <f t="shared" si="150"/>
        <v>48606689</v>
      </c>
      <c r="CA15" s="174">
        <f t="shared" si="150"/>
        <v>48606689</v>
      </c>
      <c r="CB15" s="173">
        <f>+SUM(CC15:CN15)</f>
        <v>618277080</v>
      </c>
      <c r="CC15" s="174">
        <f>+ROUND((CA15*(1+CC3)+(1*CC4)),0)</f>
        <v>51523090</v>
      </c>
      <c r="CD15" s="174">
        <f>+CC15</f>
        <v>51523090</v>
      </c>
      <c r="CE15" s="174">
        <f t="shared" ref="CE15:CN15" si="151">+CD15</f>
        <v>51523090</v>
      </c>
      <c r="CF15" s="174">
        <f t="shared" si="151"/>
        <v>51523090</v>
      </c>
      <c r="CG15" s="174">
        <f t="shared" si="151"/>
        <v>51523090</v>
      </c>
      <c r="CH15" s="174">
        <f t="shared" si="151"/>
        <v>51523090</v>
      </c>
      <c r="CI15" s="174">
        <f t="shared" si="151"/>
        <v>51523090</v>
      </c>
      <c r="CJ15" s="174">
        <f t="shared" si="151"/>
        <v>51523090</v>
      </c>
      <c r="CK15" s="174">
        <f t="shared" si="151"/>
        <v>51523090</v>
      </c>
      <c r="CL15" s="174">
        <f t="shared" si="151"/>
        <v>51523090</v>
      </c>
      <c r="CM15" s="174">
        <f t="shared" si="151"/>
        <v>51523090</v>
      </c>
      <c r="CN15" s="174">
        <f t="shared" si="151"/>
        <v>51523090</v>
      </c>
      <c r="CO15" s="173">
        <f>+SUM(CP15:DA15)</f>
        <v>655373700</v>
      </c>
      <c r="CP15" s="174">
        <f>+ROUND((CN15*(1+CP3)+(1*CP4)),0)</f>
        <v>54614475</v>
      </c>
      <c r="CQ15" s="174">
        <f>+CP15</f>
        <v>54614475</v>
      </c>
      <c r="CR15" s="174">
        <f t="shared" ref="CR15:DA15" si="152">+CQ15</f>
        <v>54614475</v>
      </c>
      <c r="CS15" s="174">
        <f t="shared" si="152"/>
        <v>54614475</v>
      </c>
      <c r="CT15" s="174">
        <f t="shared" si="152"/>
        <v>54614475</v>
      </c>
      <c r="CU15" s="174">
        <f t="shared" si="152"/>
        <v>54614475</v>
      </c>
      <c r="CV15" s="174">
        <f t="shared" si="152"/>
        <v>54614475</v>
      </c>
      <c r="CW15" s="174">
        <f t="shared" si="152"/>
        <v>54614475</v>
      </c>
      <c r="CX15" s="174">
        <f t="shared" si="152"/>
        <v>54614475</v>
      </c>
      <c r="CY15" s="174">
        <f t="shared" si="152"/>
        <v>54614475</v>
      </c>
      <c r="CZ15" s="174">
        <f t="shared" si="152"/>
        <v>54614475</v>
      </c>
      <c r="DA15" s="174">
        <f t="shared" si="152"/>
        <v>54614475</v>
      </c>
      <c r="DB15" s="173">
        <f>+SUM(DC15:DN15)</f>
        <v>694696128</v>
      </c>
      <c r="DC15" s="174">
        <f>+ROUND((DA15*(1+DC3)+(1*DC4)),0)</f>
        <v>57891344</v>
      </c>
      <c r="DD15" s="174">
        <f>+DC15</f>
        <v>57891344</v>
      </c>
      <c r="DE15" s="174">
        <f t="shared" ref="DE15:DN15" si="153">+DD15</f>
        <v>57891344</v>
      </c>
      <c r="DF15" s="174">
        <f t="shared" si="153"/>
        <v>57891344</v>
      </c>
      <c r="DG15" s="174">
        <f t="shared" si="153"/>
        <v>57891344</v>
      </c>
      <c r="DH15" s="174">
        <f t="shared" si="153"/>
        <v>57891344</v>
      </c>
      <c r="DI15" s="174">
        <f t="shared" si="153"/>
        <v>57891344</v>
      </c>
      <c r="DJ15" s="174">
        <f t="shared" si="153"/>
        <v>57891344</v>
      </c>
      <c r="DK15" s="174">
        <f t="shared" si="153"/>
        <v>57891344</v>
      </c>
      <c r="DL15" s="174">
        <f t="shared" si="153"/>
        <v>57891344</v>
      </c>
      <c r="DM15" s="174">
        <f t="shared" si="153"/>
        <v>57891344</v>
      </c>
      <c r="DN15" s="174">
        <f t="shared" si="153"/>
        <v>57891344</v>
      </c>
      <c r="DO15" s="173">
        <f>+SUM(DP15:EA15)</f>
        <v>736377900</v>
      </c>
      <c r="DP15" s="174">
        <f>+ROUND((DN15*(1+DP3)+(1*DP4)),0)</f>
        <v>61364825</v>
      </c>
      <c r="DQ15" s="174">
        <f>+DP15</f>
        <v>61364825</v>
      </c>
      <c r="DR15" s="174">
        <f t="shared" ref="DR15:EA15" si="154">+DQ15</f>
        <v>61364825</v>
      </c>
      <c r="DS15" s="174">
        <f t="shared" si="154"/>
        <v>61364825</v>
      </c>
      <c r="DT15" s="174">
        <f t="shared" si="154"/>
        <v>61364825</v>
      </c>
      <c r="DU15" s="174">
        <f t="shared" si="154"/>
        <v>61364825</v>
      </c>
      <c r="DV15" s="174">
        <f t="shared" si="154"/>
        <v>61364825</v>
      </c>
      <c r="DW15" s="174">
        <f t="shared" si="154"/>
        <v>61364825</v>
      </c>
      <c r="DX15" s="174">
        <f t="shared" si="154"/>
        <v>61364825</v>
      </c>
      <c r="DY15" s="174">
        <f t="shared" si="154"/>
        <v>61364825</v>
      </c>
      <c r="DZ15" s="174">
        <f t="shared" si="154"/>
        <v>61364825</v>
      </c>
      <c r="EA15" s="174">
        <f t="shared" si="154"/>
        <v>61364825</v>
      </c>
      <c r="EB15" s="173">
        <f>+SUM(EC15:EN15)</f>
        <v>780560580</v>
      </c>
      <c r="EC15" s="174">
        <f>+ROUND((EA15*(1+EC3)+(1*EC4)),0)</f>
        <v>65046715</v>
      </c>
      <c r="ED15" s="174">
        <f>+EC15</f>
        <v>65046715</v>
      </c>
      <c r="EE15" s="174">
        <f t="shared" ref="EE15:EN15" si="155">+ED15</f>
        <v>65046715</v>
      </c>
      <c r="EF15" s="174">
        <f t="shared" si="155"/>
        <v>65046715</v>
      </c>
      <c r="EG15" s="174">
        <f t="shared" si="155"/>
        <v>65046715</v>
      </c>
      <c r="EH15" s="174">
        <f t="shared" si="155"/>
        <v>65046715</v>
      </c>
      <c r="EI15" s="174">
        <f t="shared" si="155"/>
        <v>65046715</v>
      </c>
      <c r="EJ15" s="174">
        <f t="shared" si="155"/>
        <v>65046715</v>
      </c>
      <c r="EK15" s="174">
        <f t="shared" si="155"/>
        <v>65046715</v>
      </c>
      <c r="EL15" s="174">
        <f t="shared" si="155"/>
        <v>65046715</v>
      </c>
      <c r="EM15" s="174">
        <f t="shared" si="155"/>
        <v>65046715</v>
      </c>
      <c r="EN15" s="174">
        <f t="shared" si="155"/>
        <v>65046715</v>
      </c>
      <c r="EO15" s="173">
        <f>+SUM(EP15:FA15)</f>
        <v>827394216</v>
      </c>
      <c r="EP15" s="174">
        <f>+ROUND((EN15*(1+EP3)+(1*EP4)),0)</f>
        <v>68949518</v>
      </c>
      <c r="EQ15" s="174">
        <f>+EP15</f>
        <v>68949518</v>
      </c>
      <c r="ER15" s="174">
        <f t="shared" ref="ER15:FA15" si="156">+EQ15</f>
        <v>68949518</v>
      </c>
      <c r="ES15" s="174">
        <f t="shared" si="156"/>
        <v>68949518</v>
      </c>
      <c r="ET15" s="174">
        <f t="shared" si="156"/>
        <v>68949518</v>
      </c>
      <c r="EU15" s="174">
        <f t="shared" si="156"/>
        <v>68949518</v>
      </c>
      <c r="EV15" s="174">
        <f t="shared" si="156"/>
        <v>68949518</v>
      </c>
      <c r="EW15" s="174">
        <f t="shared" si="156"/>
        <v>68949518</v>
      </c>
      <c r="EX15" s="174">
        <f t="shared" si="156"/>
        <v>68949518</v>
      </c>
      <c r="EY15" s="174">
        <f t="shared" si="156"/>
        <v>68949518</v>
      </c>
      <c r="EZ15" s="174">
        <f t="shared" si="156"/>
        <v>68949518</v>
      </c>
      <c r="FA15" s="174">
        <f t="shared" si="156"/>
        <v>68949518</v>
      </c>
      <c r="FB15" s="173">
        <f>+SUM(FC15:FN15)</f>
        <v>877037868</v>
      </c>
      <c r="FC15" s="174">
        <f>+ROUND((FA15*(1+FC3)+(1*FC4)),0)</f>
        <v>73086489</v>
      </c>
      <c r="FD15" s="174">
        <f>+FC15</f>
        <v>73086489</v>
      </c>
      <c r="FE15" s="174">
        <f t="shared" ref="FE15:FN15" si="157">+FD15</f>
        <v>73086489</v>
      </c>
      <c r="FF15" s="174">
        <f t="shared" si="157"/>
        <v>73086489</v>
      </c>
      <c r="FG15" s="174">
        <f t="shared" si="157"/>
        <v>73086489</v>
      </c>
      <c r="FH15" s="174">
        <f t="shared" si="157"/>
        <v>73086489</v>
      </c>
      <c r="FI15" s="174">
        <f t="shared" si="157"/>
        <v>73086489</v>
      </c>
      <c r="FJ15" s="174">
        <f t="shared" si="157"/>
        <v>73086489</v>
      </c>
      <c r="FK15" s="174">
        <f t="shared" si="157"/>
        <v>73086489</v>
      </c>
      <c r="FL15" s="174">
        <f t="shared" si="157"/>
        <v>73086489</v>
      </c>
      <c r="FM15" s="174">
        <f t="shared" si="157"/>
        <v>73086489</v>
      </c>
      <c r="FN15" s="174">
        <f t="shared" si="157"/>
        <v>73086489</v>
      </c>
      <c r="FO15" s="173">
        <f>+SUM(FP15:GA15)</f>
        <v>929660136</v>
      </c>
      <c r="FP15" s="174">
        <f>+ROUND((FN15*(1+FP3)+(1*FP4)),0)</f>
        <v>77471678</v>
      </c>
      <c r="FQ15" s="174">
        <f>+FP15</f>
        <v>77471678</v>
      </c>
      <c r="FR15" s="174">
        <f t="shared" ref="FR15:GA15" si="158">+FQ15</f>
        <v>77471678</v>
      </c>
      <c r="FS15" s="174">
        <f t="shared" si="158"/>
        <v>77471678</v>
      </c>
      <c r="FT15" s="174">
        <f t="shared" si="158"/>
        <v>77471678</v>
      </c>
      <c r="FU15" s="174">
        <f t="shared" si="158"/>
        <v>77471678</v>
      </c>
      <c r="FV15" s="174">
        <f t="shared" si="158"/>
        <v>77471678</v>
      </c>
      <c r="FW15" s="174">
        <f t="shared" si="158"/>
        <v>77471678</v>
      </c>
      <c r="FX15" s="174">
        <f t="shared" si="158"/>
        <v>77471678</v>
      </c>
      <c r="FY15" s="174">
        <f t="shared" si="158"/>
        <v>77471678</v>
      </c>
      <c r="FZ15" s="174">
        <f t="shared" si="158"/>
        <v>77471678</v>
      </c>
      <c r="GA15" s="174">
        <f t="shared" si="158"/>
        <v>77471678</v>
      </c>
      <c r="GB15" s="173">
        <f>+SUM(GC15:GG15)</f>
        <v>410599895</v>
      </c>
      <c r="GC15" s="174">
        <f>+ROUND((GA15*(1+GC3)+(1*GC4)),0)</f>
        <v>82119979</v>
      </c>
      <c r="GD15" s="174">
        <f>+GC15</f>
        <v>82119979</v>
      </c>
      <c r="GE15" s="174">
        <f t="shared" ref="GE15:GG15" si="159">+GD15</f>
        <v>82119979</v>
      </c>
      <c r="GF15" s="174">
        <f t="shared" si="159"/>
        <v>82119979</v>
      </c>
      <c r="GG15" s="174">
        <f t="shared" si="159"/>
        <v>82119979</v>
      </c>
    </row>
    <row r="16" spans="1:189" s="181" customFormat="1" ht="16.5" customHeight="1" x14ac:dyDescent="0.25">
      <c r="A16" s="83" t="s">
        <v>129</v>
      </c>
      <c r="B16" s="173">
        <f t="shared" ref="B16:B17" si="160">+SUM(C16:N16)</f>
        <v>160713440</v>
      </c>
      <c r="C16" s="240">
        <f>+ROUND(12755035.2075217,0)</f>
        <v>12755035</v>
      </c>
      <c r="D16" s="174">
        <f>+C16</f>
        <v>12755035</v>
      </c>
      <c r="E16" s="240">
        <f>+ROUND((D16*(1+E3)),0)</f>
        <v>13520337</v>
      </c>
      <c r="F16" s="174">
        <f>+E16</f>
        <v>13520337</v>
      </c>
      <c r="G16" s="174">
        <f t="shared" si="145"/>
        <v>13520337</v>
      </c>
      <c r="H16" s="174">
        <f t="shared" ref="H16" si="161">+G16</f>
        <v>13520337</v>
      </c>
      <c r="I16" s="174">
        <f t="shared" si="145"/>
        <v>13520337</v>
      </c>
      <c r="J16" s="174">
        <f t="shared" si="145"/>
        <v>13520337</v>
      </c>
      <c r="K16" s="174">
        <f t="shared" si="145"/>
        <v>13520337</v>
      </c>
      <c r="L16" s="174">
        <f t="shared" si="145"/>
        <v>13520337</v>
      </c>
      <c r="M16" s="174">
        <f t="shared" si="145"/>
        <v>13520337</v>
      </c>
      <c r="N16" s="174">
        <f t="shared" si="145"/>
        <v>13520337</v>
      </c>
      <c r="O16" s="173">
        <f t="shared" ref="O16:O17" si="162">+SUM(P16:AA16)</f>
        <v>170356244</v>
      </c>
      <c r="P16" s="174">
        <f>+N16</f>
        <v>13520337</v>
      </c>
      <c r="Q16" s="174">
        <f>+P16</f>
        <v>13520337</v>
      </c>
      <c r="R16" s="240">
        <f>+ROUND((Q16*(1+R3)),0)</f>
        <v>14331557</v>
      </c>
      <c r="S16" s="174">
        <f>+R16</f>
        <v>14331557</v>
      </c>
      <c r="T16" s="174">
        <f t="shared" si="146"/>
        <v>14331557</v>
      </c>
      <c r="U16" s="174">
        <f t="shared" si="146"/>
        <v>14331557</v>
      </c>
      <c r="V16" s="174">
        <f t="shared" si="146"/>
        <v>14331557</v>
      </c>
      <c r="W16" s="174">
        <f t="shared" si="146"/>
        <v>14331557</v>
      </c>
      <c r="X16" s="174">
        <f t="shared" si="146"/>
        <v>14331557</v>
      </c>
      <c r="Y16" s="174">
        <f t="shared" si="146"/>
        <v>14331557</v>
      </c>
      <c r="Z16" s="174">
        <f t="shared" si="146"/>
        <v>14331557</v>
      </c>
      <c r="AA16" s="174">
        <f t="shared" si="146"/>
        <v>14331557</v>
      </c>
      <c r="AB16" s="173">
        <f t="shared" ref="AB16:AB17" si="163">+SUM(AC16:AN16)</f>
        <v>180577614</v>
      </c>
      <c r="AC16" s="174">
        <f>+AA16</f>
        <v>14331557</v>
      </c>
      <c r="AD16" s="174">
        <f>+AC16</f>
        <v>14331557</v>
      </c>
      <c r="AE16" s="240">
        <f>+ROUND((AD16*(1+AE3)),0)</f>
        <v>15191450</v>
      </c>
      <c r="AF16" s="174">
        <f>+AE16</f>
        <v>15191450</v>
      </c>
      <c r="AG16" s="174">
        <f t="shared" si="147"/>
        <v>15191450</v>
      </c>
      <c r="AH16" s="174">
        <f t="shared" si="147"/>
        <v>15191450</v>
      </c>
      <c r="AI16" s="174">
        <f t="shared" si="147"/>
        <v>15191450</v>
      </c>
      <c r="AJ16" s="174">
        <f t="shared" si="147"/>
        <v>15191450</v>
      </c>
      <c r="AK16" s="174">
        <f t="shared" si="147"/>
        <v>15191450</v>
      </c>
      <c r="AL16" s="174">
        <f t="shared" si="147"/>
        <v>15191450</v>
      </c>
      <c r="AM16" s="174">
        <f t="shared" si="147"/>
        <v>15191450</v>
      </c>
      <c r="AN16" s="174">
        <f t="shared" si="147"/>
        <v>15191450</v>
      </c>
      <c r="AO16" s="173">
        <f t="shared" ref="AO16:AO17" si="164">+SUM(AP16:BA16)</f>
        <v>191412270</v>
      </c>
      <c r="AP16" s="174">
        <f>+AN16</f>
        <v>15191450</v>
      </c>
      <c r="AQ16" s="174">
        <f>+AP16</f>
        <v>15191450</v>
      </c>
      <c r="AR16" s="240">
        <f>+ROUND((AQ16*(1+AR3)),0)</f>
        <v>16102937</v>
      </c>
      <c r="AS16" s="174">
        <f>+AR16</f>
        <v>16102937</v>
      </c>
      <c r="AT16" s="174">
        <f t="shared" si="148"/>
        <v>16102937</v>
      </c>
      <c r="AU16" s="174">
        <f t="shared" si="148"/>
        <v>16102937</v>
      </c>
      <c r="AV16" s="174">
        <f t="shared" si="148"/>
        <v>16102937</v>
      </c>
      <c r="AW16" s="174">
        <f t="shared" si="148"/>
        <v>16102937</v>
      </c>
      <c r="AX16" s="174">
        <f t="shared" si="148"/>
        <v>16102937</v>
      </c>
      <c r="AY16" s="174">
        <f t="shared" si="148"/>
        <v>16102937</v>
      </c>
      <c r="AZ16" s="174">
        <f t="shared" si="148"/>
        <v>16102937</v>
      </c>
      <c r="BA16" s="174">
        <f t="shared" si="148"/>
        <v>16102937</v>
      </c>
      <c r="BB16" s="173">
        <f t="shared" ref="BB16:BB17" si="165">+SUM(BC16:BN16)</f>
        <v>83413213</v>
      </c>
      <c r="BC16" s="174">
        <f>+BA16</f>
        <v>16102937</v>
      </c>
      <c r="BD16" s="174">
        <f>+BC16</f>
        <v>16102937</v>
      </c>
      <c r="BE16" s="240">
        <f>+ROUND((BD16*(1+BE3)),0)</f>
        <v>17069113</v>
      </c>
      <c r="BF16" s="174">
        <f>+BE16</f>
        <v>17069113</v>
      </c>
      <c r="BG16" s="174">
        <f t="shared" si="149"/>
        <v>17069113</v>
      </c>
      <c r="BH16" s="174">
        <v>0</v>
      </c>
      <c r="BI16" s="174">
        <v>0</v>
      </c>
      <c r="BJ16" s="174">
        <v>0</v>
      </c>
      <c r="BK16" s="174">
        <v>0</v>
      </c>
      <c r="BL16" s="174">
        <v>0</v>
      </c>
      <c r="BM16" s="174">
        <v>0</v>
      </c>
      <c r="BN16" s="174">
        <v>0</v>
      </c>
      <c r="BO16" s="173">
        <f t="shared" ref="BO16:BO17" si="166">+SUM(BP16:CA16)</f>
        <v>0</v>
      </c>
      <c r="BP16" s="174">
        <v>0</v>
      </c>
      <c r="BQ16" s="174">
        <v>0</v>
      </c>
      <c r="BR16" s="174">
        <v>0</v>
      </c>
      <c r="BS16" s="174">
        <v>0</v>
      </c>
      <c r="BT16" s="174">
        <v>0</v>
      </c>
      <c r="BU16" s="174">
        <v>0</v>
      </c>
      <c r="BV16" s="174">
        <v>0</v>
      </c>
      <c r="BW16" s="174">
        <v>0</v>
      </c>
      <c r="BX16" s="174">
        <v>0</v>
      </c>
      <c r="BY16" s="174">
        <v>0</v>
      </c>
      <c r="BZ16" s="174">
        <v>0</v>
      </c>
      <c r="CA16" s="174">
        <v>0</v>
      </c>
      <c r="CB16" s="173">
        <f t="shared" ref="CB16:CB17" si="167">+SUM(CC16:CN16)</f>
        <v>0</v>
      </c>
      <c r="CC16" s="174">
        <v>0</v>
      </c>
      <c r="CD16" s="174">
        <v>0</v>
      </c>
      <c r="CE16" s="174">
        <v>0</v>
      </c>
      <c r="CF16" s="174">
        <v>0</v>
      </c>
      <c r="CG16" s="174">
        <v>0</v>
      </c>
      <c r="CH16" s="174">
        <v>0</v>
      </c>
      <c r="CI16" s="174">
        <v>0</v>
      </c>
      <c r="CJ16" s="174">
        <v>0</v>
      </c>
      <c r="CK16" s="174">
        <v>0</v>
      </c>
      <c r="CL16" s="174">
        <v>0</v>
      </c>
      <c r="CM16" s="174">
        <v>0</v>
      </c>
      <c r="CN16" s="174">
        <v>0</v>
      </c>
      <c r="CO16" s="173">
        <f t="shared" ref="CO16:CO17" si="168">+SUM(CP16:DA16)</f>
        <v>0</v>
      </c>
      <c r="CP16" s="174">
        <v>0</v>
      </c>
      <c r="CQ16" s="174">
        <v>0</v>
      </c>
      <c r="CR16" s="174">
        <v>0</v>
      </c>
      <c r="CS16" s="174">
        <v>0</v>
      </c>
      <c r="CT16" s="174">
        <v>0</v>
      </c>
      <c r="CU16" s="174">
        <v>0</v>
      </c>
      <c r="CV16" s="174">
        <v>0</v>
      </c>
      <c r="CW16" s="174">
        <v>0</v>
      </c>
      <c r="CX16" s="174">
        <v>0</v>
      </c>
      <c r="CY16" s="174">
        <v>0</v>
      </c>
      <c r="CZ16" s="174">
        <v>0</v>
      </c>
      <c r="DA16" s="174">
        <v>0</v>
      </c>
      <c r="DB16" s="173">
        <f t="shared" ref="DB16:DB17" si="169">+SUM(DC16:DN16)</f>
        <v>0</v>
      </c>
      <c r="DC16" s="174">
        <v>0</v>
      </c>
      <c r="DD16" s="174">
        <v>0</v>
      </c>
      <c r="DE16" s="174">
        <v>0</v>
      </c>
      <c r="DF16" s="174">
        <v>0</v>
      </c>
      <c r="DG16" s="174">
        <v>0</v>
      </c>
      <c r="DH16" s="174">
        <v>0</v>
      </c>
      <c r="DI16" s="174">
        <v>0</v>
      </c>
      <c r="DJ16" s="174">
        <v>0</v>
      </c>
      <c r="DK16" s="174">
        <v>0</v>
      </c>
      <c r="DL16" s="174">
        <v>0</v>
      </c>
      <c r="DM16" s="174">
        <v>0</v>
      </c>
      <c r="DN16" s="174">
        <v>0</v>
      </c>
      <c r="DO16" s="173">
        <f t="shared" ref="DO16:DO17" si="170">+SUM(DP16:EA16)</f>
        <v>0</v>
      </c>
      <c r="DP16" s="174">
        <v>0</v>
      </c>
      <c r="DQ16" s="174">
        <v>0</v>
      </c>
      <c r="DR16" s="174">
        <v>0</v>
      </c>
      <c r="DS16" s="174">
        <v>0</v>
      </c>
      <c r="DT16" s="174">
        <v>0</v>
      </c>
      <c r="DU16" s="174">
        <v>0</v>
      </c>
      <c r="DV16" s="174">
        <v>0</v>
      </c>
      <c r="DW16" s="174">
        <v>0</v>
      </c>
      <c r="DX16" s="174">
        <v>0</v>
      </c>
      <c r="DY16" s="174">
        <v>0</v>
      </c>
      <c r="DZ16" s="174">
        <v>0</v>
      </c>
      <c r="EA16" s="174">
        <v>0</v>
      </c>
      <c r="EB16" s="173">
        <f t="shared" ref="EB16:EB17" si="171">+SUM(EC16:EN16)</f>
        <v>0</v>
      </c>
      <c r="EC16" s="174">
        <v>0</v>
      </c>
      <c r="ED16" s="174">
        <v>0</v>
      </c>
      <c r="EE16" s="174">
        <v>0</v>
      </c>
      <c r="EF16" s="174">
        <v>0</v>
      </c>
      <c r="EG16" s="174">
        <v>0</v>
      </c>
      <c r="EH16" s="174">
        <v>0</v>
      </c>
      <c r="EI16" s="174">
        <v>0</v>
      </c>
      <c r="EJ16" s="174">
        <v>0</v>
      </c>
      <c r="EK16" s="174">
        <v>0</v>
      </c>
      <c r="EL16" s="174">
        <v>0</v>
      </c>
      <c r="EM16" s="174">
        <v>0</v>
      </c>
      <c r="EN16" s="174">
        <v>0</v>
      </c>
      <c r="EO16" s="173">
        <f t="shared" ref="EO16:EO17" si="172">+SUM(EP16:FA16)</f>
        <v>0</v>
      </c>
      <c r="EP16" s="174">
        <v>0</v>
      </c>
      <c r="EQ16" s="174">
        <v>0</v>
      </c>
      <c r="ER16" s="174">
        <v>0</v>
      </c>
      <c r="ES16" s="174">
        <v>0</v>
      </c>
      <c r="ET16" s="174">
        <v>0</v>
      </c>
      <c r="EU16" s="174">
        <v>0</v>
      </c>
      <c r="EV16" s="174">
        <v>0</v>
      </c>
      <c r="EW16" s="174">
        <v>0</v>
      </c>
      <c r="EX16" s="174">
        <v>0</v>
      </c>
      <c r="EY16" s="174">
        <v>0</v>
      </c>
      <c r="EZ16" s="174">
        <v>0</v>
      </c>
      <c r="FA16" s="174">
        <v>0</v>
      </c>
      <c r="FB16" s="173">
        <f t="shared" ref="FB16:FB17" si="173">+SUM(FC16:FN16)</f>
        <v>0</v>
      </c>
      <c r="FC16" s="174">
        <v>0</v>
      </c>
      <c r="FD16" s="174">
        <v>0</v>
      </c>
      <c r="FE16" s="174">
        <v>0</v>
      </c>
      <c r="FF16" s="174">
        <v>0</v>
      </c>
      <c r="FG16" s="174">
        <v>0</v>
      </c>
      <c r="FH16" s="174">
        <v>0</v>
      </c>
      <c r="FI16" s="174">
        <v>0</v>
      </c>
      <c r="FJ16" s="174">
        <v>0</v>
      </c>
      <c r="FK16" s="174">
        <v>0</v>
      </c>
      <c r="FL16" s="174">
        <v>0</v>
      </c>
      <c r="FM16" s="174">
        <v>0</v>
      </c>
      <c r="FN16" s="174">
        <v>0</v>
      </c>
      <c r="FO16" s="173">
        <f t="shared" ref="FO16:FO17" si="174">+SUM(FP16:GA16)</f>
        <v>0</v>
      </c>
      <c r="FP16" s="174">
        <v>0</v>
      </c>
      <c r="FQ16" s="174">
        <v>0</v>
      </c>
      <c r="FR16" s="174">
        <v>0</v>
      </c>
      <c r="FS16" s="174">
        <v>0</v>
      </c>
      <c r="FT16" s="174">
        <v>0</v>
      </c>
      <c r="FU16" s="174">
        <v>0</v>
      </c>
      <c r="FV16" s="174">
        <v>0</v>
      </c>
      <c r="FW16" s="174">
        <v>0</v>
      </c>
      <c r="FX16" s="174">
        <v>0</v>
      </c>
      <c r="FY16" s="174">
        <v>0</v>
      </c>
      <c r="FZ16" s="174">
        <v>0</v>
      </c>
      <c r="GA16" s="174">
        <v>0</v>
      </c>
      <c r="GB16" s="173">
        <f>+SUM(GC16:GG16)</f>
        <v>0</v>
      </c>
      <c r="GC16" s="174">
        <v>0</v>
      </c>
      <c r="GD16" s="174">
        <v>0</v>
      </c>
      <c r="GE16" s="174">
        <v>0</v>
      </c>
      <c r="GF16" s="174">
        <v>0</v>
      </c>
      <c r="GG16" s="174">
        <v>0</v>
      </c>
    </row>
    <row r="17" spans="1:189" s="175" customFormat="1" ht="16.5" customHeight="1" x14ac:dyDescent="0.25">
      <c r="A17" s="78" t="s">
        <v>62</v>
      </c>
      <c r="B17" s="173">
        <f t="shared" si="160"/>
        <v>441780</v>
      </c>
      <c r="C17" s="174">
        <f>+ROUND(((C15-C22)*'DATOS ENTRADA'!$B$44),0)</f>
        <v>36815</v>
      </c>
      <c r="D17" s="174">
        <f>+ROUND(((D15-D22)*'DATOS ENTRADA'!$B$44),0)</f>
        <v>36815</v>
      </c>
      <c r="E17" s="174">
        <f>+ROUND(((E15-E22)*'DATOS ENTRADA'!$B$44),0)</f>
        <v>36815</v>
      </c>
      <c r="F17" s="174">
        <f>+ROUND(((F15-F22)*'DATOS ENTRADA'!$B$44),0)</f>
        <v>36815</v>
      </c>
      <c r="G17" s="174">
        <f>+ROUND(((G15-G22)*'DATOS ENTRADA'!$B$44),0)</f>
        <v>36815</v>
      </c>
      <c r="H17" s="174">
        <f>+ROUND(((H15-H22)*'DATOS ENTRADA'!$B$44),0)</f>
        <v>36815</v>
      </c>
      <c r="I17" s="174">
        <f>+ROUND(((I15-I22)*'DATOS ENTRADA'!$B$44),0)</f>
        <v>36815</v>
      </c>
      <c r="J17" s="174">
        <f>+ROUND(((J15-J22)*'DATOS ENTRADA'!$B$44),0)</f>
        <v>36815</v>
      </c>
      <c r="K17" s="174">
        <f>+ROUND(((K15-K22)*'DATOS ENTRADA'!$B$44),0)</f>
        <v>36815</v>
      </c>
      <c r="L17" s="174">
        <f>+ROUND(((L15-L22)*'DATOS ENTRADA'!$B$44),0)</f>
        <v>36815</v>
      </c>
      <c r="M17" s="174">
        <f>+ROUND(((M15-M22)*'DATOS ENTRADA'!$B$44),0)</f>
        <v>36815</v>
      </c>
      <c r="N17" s="174">
        <f>+ROUND(((N15-N22)*'DATOS ENTRADA'!$B$44),0)</f>
        <v>36815</v>
      </c>
      <c r="O17" s="173">
        <f t="shared" si="162"/>
        <v>582012</v>
      </c>
      <c r="P17" s="174">
        <f>+ROUND(((P15-P22)*'DATOS ENTRADA'!$B$44),0)</f>
        <v>48501</v>
      </c>
      <c r="Q17" s="174">
        <f>+ROUND(((Q15-Q22)*'DATOS ENTRADA'!$B$44),0)</f>
        <v>48501</v>
      </c>
      <c r="R17" s="174">
        <f>+ROUND(((R15-R22)*'DATOS ENTRADA'!$B$44),0)</f>
        <v>48501</v>
      </c>
      <c r="S17" s="174">
        <f>+ROUND(((S15-S22)*'DATOS ENTRADA'!$B$44),0)</f>
        <v>48501</v>
      </c>
      <c r="T17" s="174">
        <f>+ROUND(((T15-T22)*'DATOS ENTRADA'!$B$44),0)</f>
        <v>48501</v>
      </c>
      <c r="U17" s="174">
        <f>+ROUND(((U15-U22)*'DATOS ENTRADA'!$B$44),0)</f>
        <v>48501</v>
      </c>
      <c r="V17" s="174">
        <f>+ROUND(((V15-V22)*'DATOS ENTRADA'!$B$44),0)</f>
        <v>48501</v>
      </c>
      <c r="W17" s="174">
        <f>+ROUND(((W15-W22)*'DATOS ENTRADA'!$B$44),0)</f>
        <v>48501</v>
      </c>
      <c r="X17" s="174">
        <f>+ROUND(((X15-X22)*'DATOS ENTRADA'!$B$44),0)</f>
        <v>48501</v>
      </c>
      <c r="Y17" s="174">
        <f>+ROUND(((Y15-Y22)*'DATOS ENTRADA'!$B$44),0)</f>
        <v>48501</v>
      </c>
      <c r="Z17" s="174">
        <f>+ROUND(((Z15-Z22)*'DATOS ENTRADA'!$B$44),0)</f>
        <v>48501</v>
      </c>
      <c r="AA17" s="174">
        <f>+ROUND(((AA15-AA22)*'DATOS ENTRADA'!$B$44),0)</f>
        <v>48501</v>
      </c>
      <c r="AB17" s="173">
        <f t="shared" si="163"/>
        <v>620364</v>
      </c>
      <c r="AC17" s="174">
        <f>+ROUND(((AC15-AC22)*'DATOS ENTRADA'!$B$44),0)</f>
        <v>51697</v>
      </c>
      <c r="AD17" s="174">
        <f>+ROUND(((AD15-AD22)*'DATOS ENTRADA'!$B$44),0)</f>
        <v>51697</v>
      </c>
      <c r="AE17" s="174">
        <f>+ROUND(((AE15-AE22)*'DATOS ENTRADA'!$B$44),0)</f>
        <v>51697</v>
      </c>
      <c r="AF17" s="174">
        <f>+ROUND(((AF15-AF22)*'DATOS ENTRADA'!$B$44),0)</f>
        <v>51697</v>
      </c>
      <c r="AG17" s="174">
        <f>+ROUND(((AG15-AG22)*'DATOS ENTRADA'!$B$44),0)</f>
        <v>51697</v>
      </c>
      <c r="AH17" s="174">
        <f>+ROUND(((AH15-AH22)*'DATOS ENTRADA'!$B$44),0)</f>
        <v>51697</v>
      </c>
      <c r="AI17" s="174">
        <f>+ROUND(((AI15-AI22)*'DATOS ENTRADA'!$B$44),0)</f>
        <v>51697</v>
      </c>
      <c r="AJ17" s="174">
        <f>+ROUND(((AJ15-AJ22)*'DATOS ENTRADA'!$B$44),0)</f>
        <v>51697</v>
      </c>
      <c r="AK17" s="174">
        <f>+ROUND(((AK15-AK22)*'DATOS ENTRADA'!$B$44),0)</f>
        <v>51697</v>
      </c>
      <c r="AL17" s="174">
        <f>+ROUND(((AL15-AL22)*'DATOS ENTRADA'!$B$44),0)</f>
        <v>51697</v>
      </c>
      <c r="AM17" s="174">
        <f>+ROUND(((AM15-AM22)*'DATOS ENTRADA'!$B$44),0)</f>
        <v>51697</v>
      </c>
      <c r="AN17" s="174">
        <f>+ROUND(((AN15-AN22)*'DATOS ENTRADA'!$B$44),0)</f>
        <v>51697</v>
      </c>
      <c r="AO17" s="173">
        <f t="shared" si="164"/>
        <v>661176</v>
      </c>
      <c r="AP17" s="174">
        <f>+ROUND(((AP15-AP22)*'DATOS ENTRADA'!$B$44),0)</f>
        <v>55098</v>
      </c>
      <c r="AQ17" s="174">
        <f>+ROUND(((AQ15-AQ22)*'DATOS ENTRADA'!$B$44),0)</f>
        <v>55098</v>
      </c>
      <c r="AR17" s="174">
        <f>+ROUND(((AR15-AR22)*'DATOS ENTRADA'!$B$44),0)</f>
        <v>55098</v>
      </c>
      <c r="AS17" s="174">
        <f>+ROUND(((AS15-AS22)*'DATOS ENTRADA'!$B$44),0)</f>
        <v>55098</v>
      </c>
      <c r="AT17" s="174">
        <f>+ROUND(((AT15-AT22)*'DATOS ENTRADA'!$B$44),0)</f>
        <v>55098</v>
      </c>
      <c r="AU17" s="174">
        <f>+ROUND(((AU15-AU22)*'DATOS ENTRADA'!$B$44),0)</f>
        <v>55098</v>
      </c>
      <c r="AV17" s="174">
        <f>+ROUND(((AV15-AV22)*'DATOS ENTRADA'!$B$44),0)</f>
        <v>55098</v>
      </c>
      <c r="AW17" s="174">
        <f>+ROUND(((AW15-AW22)*'DATOS ENTRADA'!$B$44),0)</f>
        <v>55098</v>
      </c>
      <c r="AX17" s="174">
        <f>+ROUND(((AX15-AX22)*'DATOS ENTRADA'!$B$44),0)</f>
        <v>55098</v>
      </c>
      <c r="AY17" s="174">
        <f>+ROUND(((AY15-AY22)*'DATOS ENTRADA'!$B$44),0)</f>
        <v>55098</v>
      </c>
      <c r="AZ17" s="174">
        <f>+ROUND(((AZ15-AZ22)*'DATOS ENTRADA'!$B$44),0)</f>
        <v>55098</v>
      </c>
      <c r="BA17" s="174">
        <f>+ROUND(((BA15-BA22)*'DATOS ENTRADA'!$B$44),0)</f>
        <v>55098</v>
      </c>
      <c r="BB17" s="173">
        <f t="shared" si="165"/>
        <v>704616</v>
      </c>
      <c r="BC17" s="174">
        <f>+ROUND(((BC15-BC22)*'DATOS ENTRADA'!$B$44),0)</f>
        <v>58718</v>
      </c>
      <c r="BD17" s="174">
        <f>+ROUND(((BD15-BD22)*'DATOS ENTRADA'!$B$44),0)</f>
        <v>58718</v>
      </c>
      <c r="BE17" s="174">
        <f>+ROUND(((BE15-BE22)*'DATOS ENTRADA'!$B$44),0)</f>
        <v>58718</v>
      </c>
      <c r="BF17" s="174">
        <f>+ROUND(((BF15-BF22)*'DATOS ENTRADA'!$B$44),0)</f>
        <v>58718</v>
      </c>
      <c r="BG17" s="174">
        <f>+ROUND(((BG15-BG22)*'DATOS ENTRADA'!$B$44),0)</f>
        <v>58718</v>
      </c>
      <c r="BH17" s="174">
        <f>+ROUND(((BH15-BH22)*'DATOS ENTRADA'!$B$44),0)</f>
        <v>58718</v>
      </c>
      <c r="BI17" s="174">
        <f>+ROUND(((BI15-BI22)*'DATOS ENTRADA'!$B$44),0)</f>
        <v>58718</v>
      </c>
      <c r="BJ17" s="174">
        <f>+ROUND(((BJ15-BJ22)*'DATOS ENTRADA'!$B$44),0)</f>
        <v>58718</v>
      </c>
      <c r="BK17" s="174">
        <f>+ROUND(((BK15-BK22)*'DATOS ENTRADA'!$B$44),0)</f>
        <v>58718</v>
      </c>
      <c r="BL17" s="174">
        <f>+ROUND(((BL15-BL22)*'DATOS ENTRADA'!$B$44),0)</f>
        <v>58718</v>
      </c>
      <c r="BM17" s="174">
        <f>+ROUND(((BM15-BM22)*'DATOS ENTRADA'!$B$44),0)</f>
        <v>58718</v>
      </c>
      <c r="BN17" s="174">
        <f>+ROUND(((BN15-BN22)*'DATOS ENTRADA'!$B$44),0)</f>
        <v>58718</v>
      </c>
      <c r="BO17" s="173">
        <f t="shared" si="166"/>
        <v>750852</v>
      </c>
      <c r="BP17" s="174">
        <f>+ROUND(((BP15-BP22)*'DATOS ENTRADA'!$B$44),0)</f>
        <v>62571</v>
      </c>
      <c r="BQ17" s="174">
        <f>+ROUND(((BQ15-BQ22)*'DATOS ENTRADA'!$B$44),0)</f>
        <v>62571</v>
      </c>
      <c r="BR17" s="174">
        <f>+ROUND(((BR15-BR22)*'DATOS ENTRADA'!$B$44),0)</f>
        <v>62571</v>
      </c>
      <c r="BS17" s="174">
        <f>+ROUND(((BS15-BS22)*'DATOS ENTRADA'!$B$44),0)</f>
        <v>62571</v>
      </c>
      <c r="BT17" s="174">
        <f>+ROUND(((BT15-BT22)*'DATOS ENTRADA'!$B$44),0)</f>
        <v>62571</v>
      </c>
      <c r="BU17" s="174">
        <f>+ROUND(((BU15-BU22)*'DATOS ENTRADA'!$B$44),0)</f>
        <v>62571</v>
      </c>
      <c r="BV17" s="174">
        <f>+ROUND(((BV15-BV22)*'DATOS ENTRADA'!$B$44),0)</f>
        <v>62571</v>
      </c>
      <c r="BW17" s="174">
        <f>+ROUND(((BW15-BW22)*'DATOS ENTRADA'!$B$44),0)</f>
        <v>62571</v>
      </c>
      <c r="BX17" s="174">
        <f>+ROUND(((BX15-BX22)*'DATOS ENTRADA'!$B$44),0)</f>
        <v>62571</v>
      </c>
      <c r="BY17" s="174">
        <f>+ROUND(((BY15-BY22)*'DATOS ENTRADA'!$B$44),0)</f>
        <v>62571</v>
      </c>
      <c r="BZ17" s="174">
        <f>+ROUND(((BZ15-BZ22)*'DATOS ENTRADA'!$B$44),0)</f>
        <v>62571</v>
      </c>
      <c r="CA17" s="174">
        <f>+ROUND(((CA15-CA22)*'DATOS ENTRADA'!$B$44),0)</f>
        <v>62571</v>
      </c>
      <c r="CB17" s="173">
        <f t="shared" si="167"/>
        <v>800052</v>
      </c>
      <c r="CC17" s="174">
        <f>+ROUND(((CC15-CC22)*'DATOS ENTRADA'!$B$44),0)</f>
        <v>66671</v>
      </c>
      <c r="CD17" s="174">
        <f>+ROUND(((CD15-CD22)*'DATOS ENTRADA'!$B$44),0)</f>
        <v>66671</v>
      </c>
      <c r="CE17" s="174">
        <f>+ROUND(((CE15-CE22)*'DATOS ENTRADA'!$B$44),0)</f>
        <v>66671</v>
      </c>
      <c r="CF17" s="174">
        <f>+ROUND(((CF15-CF22)*'DATOS ENTRADA'!$B$44),0)</f>
        <v>66671</v>
      </c>
      <c r="CG17" s="174">
        <f>+ROUND(((CG15-CG22)*'DATOS ENTRADA'!$B$44),0)</f>
        <v>66671</v>
      </c>
      <c r="CH17" s="174">
        <f>+ROUND(((CH15-CH22)*'DATOS ENTRADA'!$B$44),0)</f>
        <v>66671</v>
      </c>
      <c r="CI17" s="174">
        <f>+ROUND(((CI15-CI22)*'DATOS ENTRADA'!$B$44),0)</f>
        <v>66671</v>
      </c>
      <c r="CJ17" s="174">
        <f>+ROUND(((CJ15-CJ22)*'DATOS ENTRADA'!$B$44),0)</f>
        <v>66671</v>
      </c>
      <c r="CK17" s="174">
        <f>+ROUND(((CK15-CK22)*'DATOS ENTRADA'!$B$44),0)</f>
        <v>66671</v>
      </c>
      <c r="CL17" s="174">
        <f>+ROUND(((CL15-CL22)*'DATOS ENTRADA'!$B$44),0)</f>
        <v>66671</v>
      </c>
      <c r="CM17" s="174">
        <f>+ROUND(((CM15-CM22)*'DATOS ENTRADA'!$B$44),0)</f>
        <v>66671</v>
      </c>
      <c r="CN17" s="174">
        <f>+ROUND(((CN15-CN22)*'DATOS ENTRADA'!$B$44),0)</f>
        <v>66671</v>
      </c>
      <c r="CO17" s="173">
        <f t="shared" si="168"/>
        <v>852420</v>
      </c>
      <c r="CP17" s="174">
        <f>+ROUND(((CP15-CP22)*'DATOS ENTRADA'!$B$44),0)</f>
        <v>71035</v>
      </c>
      <c r="CQ17" s="174">
        <f>+ROUND(((CQ15-CQ22)*'DATOS ENTRADA'!$B$44),0)</f>
        <v>71035</v>
      </c>
      <c r="CR17" s="174">
        <f>+ROUND(((CR15-CR22)*'DATOS ENTRADA'!$B$44),0)</f>
        <v>71035</v>
      </c>
      <c r="CS17" s="174">
        <f>+ROUND(((CS15-CS22)*'DATOS ENTRADA'!$B$44),0)</f>
        <v>71035</v>
      </c>
      <c r="CT17" s="174">
        <f>+ROUND(((CT15-CT22)*'DATOS ENTRADA'!$B$44),0)</f>
        <v>71035</v>
      </c>
      <c r="CU17" s="174">
        <f>+ROUND(((CU15-CU22)*'DATOS ENTRADA'!$B$44),0)</f>
        <v>71035</v>
      </c>
      <c r="CV17" s="174">
        <f>+ROUND(((CV15-CV22)*'DATOS ENTRADA'!$B$44),0)</f>
        <v>71035</v>
      </c>
      <c r="CW17" s="174">
        <f>+ROUND(((CW15-CW22)*'DATOS ENTRADA'!$B$44),0)</f>
        <v>71035</v>
      </c>
      <c r="CX17" s="174">
        <f>+ROUND(((CX15-CX22)*'DATOS ENTRADA'!$B$44),0)</f>
        <v>71035</v>
      </c>
      <c r="CY17" s="174">
        <f>+ROUND(((CY15-CY22)*'DATOS ENTRADA'!$B$44),0)</f>
        <v>71035</v>
      </c>
      <c r="CZ17" s="174">
        <f>+ROUND(((CZ15-CZ22)*'DATOS ENTRADA'!$B$44),0)</f>
        <v>71035</v>
      </c>
      <c r="DA17" s="174">
        <f>+ROUND(((DA15-DA22)*'DATOS ENTRADA'!$B$44),0)</f>
        <v>71035</v>
      </c>
      <c r="DB17" s="173">
        <f t="shared" si="169"/>
        <v>908148</v>
      </c>
      <c r="DC17" s="174">
        <f>+ROUND(((DC15-DC22)*'DATOS ENTRADA'!$B$44),0)</f>
        <v>75679</v>
      </c>
      <c r="DD17" s="174">
        <f>+ROUND(((DD15-DD22)*'DATOS ENTRADA'!$B$44),0)</f>
        <v>75679</v>
      </c>
      <c r="DE17" s="174">
        <f>+ROUND(((DE15-DE22)*'DATOS ENTRADA'!$B$44),0)</f>
        <v>75679</v>
      </c>
      <c r="DF17" s="174">
        <f>+ROUND(((DF15-DF22)*'DATOS ENTRADA'!$B$44),0)</f>
        <v>75679</v>
      </c>
      <c r="DG17" s="174">
        <f>+ROUND(((DG15-DG22)*'DATOS ENTRADA'!$B$44),0)</f>
        <v>75679</v>
      </c>
      <c r="DH17" s="174">
        <f>+ROUND(((DH15-DH22)*'DATOS ENTRADA'!$B$44),0)</f>
        <v>75679</v>
      </c>
      <c r="DI17" s="174">
        <f>+ROUND(((DI15-DI22)*'DATOS ENTRADA'!$B$44),0)</f>
        <v>75679</v>
      </c>
      <c r="DJ17" s="174">
        <f>+ROUND(((DJ15-DJ22)*'DATOS ENTRADA'!$B$44),0)</f>
        <v>75679</v>
      </c>
      <c r="DK17" s="174">
        <f>+ROUND(((DK15-DK22)*'DATOS ENTRADA'!$B$44),0)</f>
        <v>75679</v>
      </c>
      <c r="DL17" s="174">
        <f>+ROUND(((DL15-DL22)*'DATOS ENTRADA'!$B$44),0)</f>
        <v>75679</v>
      </c>
      <c r="DM17" s="174">
        <f>+ROUND(((DM15-DM22)*'DATOS ENTRADA'!$B$44),0)</f>
        <v>75679</v>
      </c>
      <c r="DN17" s="174">
        <f>+ROUND(((DN15-DN22)*'DATOS ENTRADA'!$B$44),0)</f>
        <v>75679</v>
      </c>
      <c r="DO17" s="173">
        <f t="shared" si="170"/>
        <v>967452</v>
      </c>
      <c r="DP17" s="174">
        <f>+ROUND(((DP15-DP22)*'DATOS ENTRADA'!$B$44),0)</f>
        <v>80621</v>
      </c>
      <c r="DQ17" s="174">
        <f>+ROUND(((DQ15-DQ22)*'DATOS ENTRADA'!$B$44),0)</f>
        <v>80621</v>
      </c>
      <c r="DR17" s="174">
        <f>+ROUND(((DR15-DR22)*'DATOS ENTRADA'!$B$44),0)</f>
        <v>80621</v>
      </c>
      <c r="DS17" s="174">
        <f>+ROUND(((DS15-DS22)*'DATOS ENTRADA'!$B$44),0)</f>
        <v>80621</v>
      </c>
      <c r="DT17" s="174">
        <f>+ROUND(((DT15-DT22)*'DATOS ENTRADA'!$B$44),0)</f>
        <v>80621</v>
      </c>
      <c r="DU17" s="174">
        <f>+ROUND(((DU15-DU22)*'DATOS ENTRADA'!$B$44),0)</f>
        <v>80621</v>
      </c>
      <c r="DV17" s="174">
        <f>+ROUND(((DV15-DV22)*'DATOS ENTRADA'!$B$44),0)</f>
        <v>80621</v>
      </c>
      <c r="DW17" s="174">
        <f>+ROUND(((DW15-DW22)*'DATOS ENTRADA'!$B$44),0)</f>
        <v>80621</v>
      </c>
      <c r="DX17" s="174">
        <f>+ROUND(((DX15-DX22)*'DATOS ENTRADA'!$B$44),0)</f>
        <v>80621</v>
      </c>
      <c r="DY17" s="174">
        <f>+ROUND(((DY15-DY22)*'DATOS ENTRADA'!$B$44),0)</f>
        <v>80621</v>
      </c>
      <c r="DZ17" s="174">
        <f>+ROUND(((DZ15-DZ22)*'DATOS ENTRADA'!$B$44),0)</f>
        <v>80621</v>
      </c>
      <c r="EA17" s="174">
        <f>+ROUND(((EA15-EA22)*'DATOS ENTRADA'!$B$44),0)</f>
        <v>80621</v>
      </c>
      <c r="EB17" s="173">
        <f t="shared" si="171"/>
        <v>1030560</v>
      </c>
      <c r="EC17" s="174">
        <f>+ROUND(((EC15-EC22)*'DATOS ENTRADA'!$B$44),0)</f>
        <v>85880</v>
      </c>
      <c r="ED17" s="174">
        <f>+ROUND(((ED15-ED22)*'DATOS ENTRADA'!$B$44),0)</f>
        <v>85880</v>
      </c>
      <c r="EE17" s="174">
        <f>+ROUND(((EE15-EE22)*'DATOS ENTRADA'!$B$44),0)</f>
        <v>85880</v>
      </c>
      <c r="EF17" s="174">
        <f>+ROUND(((EF15-EF22)*'DATOS ENTRADA'!$B$44),0)</f>
        <v>85880</v>
      </c>
      <c r="EG17" s="174">
        <f>+ROUND(((EG15-EG22)*'DATOS ENTRADA'!$B$44),0)</f>
        <v>85880</v>
      </c>
      <c r="EH17" s="174">
        <f>+ROUND(((EH15-EH22)*'DATOS ENTRADA'!$B$44),0)</f>
        <v>85880</v>
      </c>
      <c r="EI17" s="174">
        <f>+ROUND(((EI15-EI22)*'DATOS ENTRADA'!$B$44),0)</f>
        <v>85880</v>
      </c>
      <c r="EJ17" s="174">
        <f>+ROUND(((EJ15-EJ22)*'DATOS ENTRADA'!$B$44),0)</f>
        <v>85880</v>
      </c>
      <c r="EK17" s="174">
        <f>+ROUND(((EK15-EK22)*'DATOS ENTRADA'!$B$44),0)</f>
        <v>85880</v>
      </c>
      <c r="EL17" s="174">
        <f>+ROUND(((EL15-EL22)*'DATOS ENTRADA'!$B$44),0)</f>
        <v>85880</v>
      </c>
      <c r="EM17" s="174">
        <f>+ROUND(((EM15-EM22)*'DATOS ENTRADA'!$B$44),0)</f>
        <v>85880</v>
      </c>
      <c r="EN17" s="174">
        <f>+ROUND(((EN15-EN22)*'DATOS ENTRADA'!$B$44),0)</f>
        <v>85880</v>
      </c>
      <c r="EO17" s="173">
        <f t="shared" si="172"/>
        <v>1097688</v>
      </c>
      <c r="EP17" s="174">
        <f>+ROUND(((EP15-EP22)*'DATOS ENTRADA'!$B$44),0)</f>
        <v>91474</v>
      </c>
      <c r="EQ17" s="174">
        <f>+ROUND(((EQ15-EQ22)*'DATOS ENTRADA'!$B$44),0)</f>
        <v>91474</v>
      </c>
      <c r="ER17" s="174">
        <f>+ROUND(((ER15-ER22)*'DATOS ENTRADA'!$B$44),0)</f>
        <v>91474</v>
      </c>
      <c r="ES17" s="174">
        <f>+ROUND(((ES15-ES22)*'DATOS ENTRADA'!$B$44),0)</f>
        <v>91474</v>
      </c>
      <c r="ET17" s="174">
        <f>+ROUND(((ET15-ET22)*'DATOS ENTRADA'!$B$44),0)</f>
        <v>91474</v>
      </c>
      <c r="EU17" s="174">
        <f>+ROUND(((EU15-EU22)*'DATOS ENTRADA'!$B$44),0)</f>
        <v>91474</v>
      </c>
      <c r="EV17" s="174">
        <f>+ROUND(((EV15-EV22)*'DATOS ENTRADA'!$B$44),0)</f>
        <v>91474</v>
      </c>
      <c r="EW17" s="174">
        <f>+ROUND(((EW15-EW22)*'DATOS ENTRADA'!$B$44),0)</f>
        <v>91474</v>
      </c>
      <c r="EX17" s="174">
        <f>+ROUND(((EX15-EX22)*'DATOS ENTRADA'!$B$44),0)</f>
        <v>91474</v>
      </c>
      <c r="EY17" s="174">
        <f>+ROUND(((EY15-EY22)*'DATOS ENTRADA'!$B$44),0)</f>
        <v>91474</v>
      </c>
      <c r="EZ17" s="174">
        <f>+ROUND(((EZ15-EZ22)*'DATOS ENTRADA'!$B$44),0)</f>
        <v>91474</v>
      </c>
      <c r="FA17" s="174">
        <f>+ROUND(((FA15-FA22)*'DATOS ENTRADA'!$B$44),0)</f>
        <v>91474</v>
      </c>
      <c r="FB17" s="173">
        <f t="shared" si="173"/>
        <v>1169124</v>
      </c>
      <c r="FC17" s="174">
        <f>+ROUND(((FC15-FC22)*'DATOS ENTRADA'!$B$44),0)</f>
        <v>97427</v>
      </c>
      <c r="FD17" s="174">
        <f>+ROUND(((FD15-FD22)*'DATOS ENTRADA'!$B$44),0)</f>
        <v>97427</v>
      </c>
      <c r="FE17" s="174">
        <f>+ROUND(((FE15-FE22)*'DATOS ENTRADA'!$B$44),0)</f>
        <v>97427</v>
      </c>
      <c r="FF17" s="174">
        <f>+ROUND(((FF15-FF22)*'DATOS ENTRADA'!$B$44),0)</f>
        <v>97427</v>
      </c>
      <c r="FG17" s="174">
        <f>+ROUND(((FG15-FG22)*'DATOS ENTRADA'!$B$44),0)</f>
        <v>97427</v>
      </c>
      <c r="FH17" s="174">
        <f>+ROUND(((FH15-FH22)*'DATOS ENTRADA'!$B$44),0)</f>
        <v>97427</v>
      </c>
      <c r="FI17" s="174">
        <f>+ROUND(((FI15-FI22)*'DATOS ENTRADA'!$B$44),0)</f>
        <v>97427</v>
      </c>
      <c r="FJ17" s="174">
        <f>+ROUND(((FJ15-FJ22)*'DATOS ENTRADA'!$B$44),0)</f>
        <v>97427</v>
      </c>
      <c r="FK17" s="174">
        <f>+ROUND(((FK15-FK22)*'DATOS ENTRADA'!$B$44),0)</f>
        <v>97427</v>
      </c>
      <c r="FL17" s="174">
        <f>+ROUND(((FL15-FL22)*'DATOS ENTRADA'!$B$44),0)</f>
        <v>97427</v>
      </c>
      <c r="FM17" s="174">
        <f>+ROUND(((FM15-FM22)*'DATOS ENTRADA'!$B$44),0)</f>
        <v>97427</v>
      </c>
      <c r="FN17" s="174">
        <f>+ROUND(((FN15-FN22)*'DATOS ENTRADA'!$B$44),0)</f>
        <v>97427</v>
      </c>
      <c r="FO17" s="173">
        <f t="shared" si="174"/>
        <v>1245120</v>
      </c>
      <c r="FP17" s="174">
        <f>+ROUND(((FP15-FP22)*'DATOS ENTRADA'!$B$44),0)</f>
        <v>103760</v>
      </c>
      <c r="FQ17" s="174">
        <f>+ROUND(((FQ15-FQ22)*'DATOS ENTRADA'!$B$44),0)</f>
        <v>103760</v>
      </c>
      <c r="FR17" s="174">
        <f>+ROUND(((FR15-FR22)*'DATOS ENTRADA'!$B$44),0)</f>
        <v>103760</v>
      </c>
      <c r="FS17" s="174">
        <f>+ROUND(((FS15-FS22)*'DATOS ENTRADA'!$B$44),0)</f>
        <v>103760</v>
      </c>
      <c r="FT17" s="174">
        <f>+ROUND(((FT15-FT22)*'DATOS ENTRADA'!$B$44),0)</f>
        <v>103760</v>
      </c>
      <c r="FU17" s="174">
        <f>+ROUND(((FU15-FU22)*'DATOS ENTRADA'!$B$44),0)</f>
        <v>103760</v>
      </c>
      <c r="FV17" s="174">
        <f>+ROUND(((FV15-FV22)*'DATOS ENTRADA'!$B$44),0)</f>
        <v>103760</v>
      </c>
      <c r="FW17" s="174">
        <f>+ROUND(((FW15-FW22)*'DATOS ENTRADA'!$B$44),0)</f>
        <v>103760</v>
      </c>
      <c r="FX17" s="174">
        <f>+ROUND(((FX15-FX22)*'DATOS ENTRADA'!$B$44),0)</f>
        <v>103760</v>
      </c>
      <c r="FY17" s="174">
        <f>+ROUND(((FY15-FY22)*'DATOS ENTRADA'!$B$44),0)</f>
        <v>103760</v>
      </c>
      <c r="FZ17" s="174">
        <f>+ROUND(((FZ15-FZ22)*'DATOS ENTRADA'!$B$44),0)</f>
        <v>103760</v>
      </c>
      <c r="GA17" s="174">
        <f>+ROUND(((GA15-GA22)*'DATOS ENTRADA'!$B$44),0)</f>
        <v>103760</v>
      </c>
      <c r="GB17" s="173">
        <f>+SUM(GC17:GG17)</f>
        <v>552490</v>
      </c>
      <c r="GC17" s="174">
        <f>+ROUND(((GC15-GC22)*'DATOS ENTRADA'!$B$44),0)</f>
        <v>110498</v>
      </c>
      <c r="GD17" s="174">
        <f>+ROUND(((GD15-GD22)*'DATOS ENTRADA'!$B$44),0)</f>
        <v>110498</v>
      </c>
      <c r="GE17" s="174">
        <f>+ROUND(((GE15-GE22)*'DATOS ENTRADA'!$B$44),0)</f>
        <v>110498</v>
      </c>
      <c r="GF17" s="174">
        <f>+ROUND(((GF15-GF22)*'DATOS ENTRADA'!$B$44),0)</f>
        <v>110498</v>
      </c>
      <c r="GG17" s="174">
        <f>+ROUND(((GG15-GG22)*'DATOS ENTRADA'!$B$44),0)</f>
        <v>110498</v>
      </c>
    </row>
    <row r="18" spans="1:189" s="182" customFormat="1" ht="16.5" customHeight="1" x14ac:dyDescent="0.25">
      <c r="A18" s="246" t="s">
        <v>65</v>
      </c>
      <c r="B18" s="247">
        <f>+SUM(B15:B17)</f>
        <v>597016160</v>
      </c>
      <c r="C18" s="247">
        <f>+SUM(C15:C17)</f>
        <v>49113595</v>
      </c>
      <c r="D18" s="247">
        <f>+SUM(D15:D17)</f>
        <v>49113595</v>
      </c>
      <c r="E18" s="247">
        <f t="shared" ref="E18:BM18" si="175">+SUM(E15:E17)</f>
        <v>49878897</v>
      </c>
      <c r="F18" s="247">
        <f t="shared" si="175"/>
        <v>49878897</v>
      </c>
      <c r="G18" s="247">
        <f t="shared" si="175"/>
        <v>49878897</v>
      </c>
      <c r="H18" s="247">
        <f t="shared" si="175"/>
        <v>49878897</v>
      </c>
      <c r="I18" s="247">
        <f t="shared" si="175"/>
        <v>49878897</v>
      </c>
      <c r="J18" s="247">
        <f t="shared" si="175"/>
        <v>49878897</v>
      </c>
      <c r="K18" s="247">
        <f t="shared" si="175"/>
        <v>49878897</v>
      </c>
      <c r="L18" s="247">
        <f t="shared" si="175"/>
        <v>49878897</v>
      </c>
      <c r="M18" s="247">
        <f t="shared" si="175"/>
        <v>49878897</v>
      </c>
      <c r="N18" s="247">
        <f t="shared" si="175"/>
        <v>49878897</v>
      </c>
      <c r="O18" s="247">
        <f t="shared" ref="O18" si="176">+SUM(O15:O17)</f>
        <v>632950856</v>
      </c>
      <c r="P18" s="247">
        <f t="shared" si="175"/>
        <v>52069888</v>
      </c>
      <c r="Q18" s="247">
        <f t="shared" si="175"/>
        <v>52069888</v>
      </c>
      <c r="R18" s="247">
        <f t="shared" si="175"/>
        <v>52881108</v>
      </c>
      <c r="S18" s="247">
        <f t="shared" si="175"/>
        <v>52881108</v>
      </c>
      <c r="T18" s="247">
        <f t="shared" si="175"/>
        <v>52881108</v>
      </c>
      <c r="U18" s="247">
        <f t="shared" si="175"/>
        <v>52881108</v>
      </c>
      <c r="V18" s="247">
        <f t="shared" si="175"/>
        <v>52881108</v>
      </c>
      <c r="W18" s="247">
        <f t="shared" si="175"/>
        <v>52881108</v>
      </c>
      <c r="X18" s="247">
        <f t="shared" si="175"/>
        <v>52881108</v>
      </c>
      <c r="Y18" s="247">
        <f t="shared" si="175"/>
        <v>52881108</v>
      </c>
      <c r="Z18" s="247">
        <f t="shared" si="175"/>
        <v>52881108</v>
      </c>
      <c r="AA18" s="247">
        <f t="shared" si="175"/>
        <v>52881108</v>
      </c>
      <c r="AB18" s="247">
        <f t="shared" si="175"/>
        <v>670931334</v>
      </c>
      <c r="AC18" s="247">
        <f t="shared" si="175"/>
        <v>55194367</v>
      </c>
      <c r="AD18" s="247">
        <f t="shared" si="175"/>
        <v>55194367</v>
      </c>
      <c r="AE18" s="247">
        <f t="shared" si="175"/>
        <v>56054260</v>
      </c>
      <c r="AF18" s="247">
        <f t="shared" si="175"/>
        <v>56054260</v>
      </c>
      <c r="AG18" s="247">
        <f t="shared" si="175"/>
        <v>56054260</v>
      </c>
      <c r="AH18" s="247">
        <f t="shared" si="175"/>
        <v>56054260</v>
      </c>
      <c r="AI18" s="247">
        <f t="shared" si="175"/>
        <v>56054260</v>
      </c>
      <c r="AJ18" s="247">
        <f t="shared" si="175"/>
        <v>56054260</v>
      </c>
      <c r="AK18" s="247">
        <f t="shared" si="175"/>
        <v>56054260</v>
      </c>
      <c r="AL18" s="247">
        <f t="shared" si="175"/>
        <v>56054260</v>
      </c>
      <c r="AM18" s="247">
        <f t="shared" si="175"/>
        <v>56054260</v>
      </c>
      <c r="AN18" s="247">
        <f t="shared" si="175"/>
        <v>56054260</v>
      </c>
      <c r="AO18" s="247">
        <f t="shared" ref="AO18" si="177">+SUM(AO15:AO17)</f>
        <v>711190806</v>
      </c>
      <c r="AP18" s="247">
        <f t="shared" si="175"/>
        <v>58506328</v>
      </c>
      <c r="AQ18" s="247">
        <f t="shared" si="175"/>
        <v>58506328</v>
      </c>
      <c r="AR18" s="247">
        <f t="shared" si="175"/>
        <v>59417815</v>
      </c>
      <c r="AS18" s="247">
        <f t="shared" si="175"/>
        <v>59417815</v>
      </c>
      <c r="AT18" s="247">
        <f t="shared" si="175"/>
        <v>59417815</v>
      </c>
      <c r="AU18" s="247">
        <f t="shared" si="175"/>
        <v>59417815</v>
      </c>
      <c r="AV18" s="247">
        <f t="shared" si="175"/>
        <v>59417815</v>
      </c>
      <c r="AW18" s="247">
        <f t="shared" si="175"/>
        <v>59417815</v>
      </c>
      <c r="AX18" s="247">
        <f t="shared" si="175"/>
        <v>59417815</v>
      </c>
      <c r="AY18" s="247">
        <f t="shared" si="175"/>
        <v>59417815</v>
      </c>
      <c r="AZ18" s="247">
        <f t="shared" si="175"/>
        <v>59417815</v>
      </c>
      <c r="BA18" s="247">
        <f t="shared" si="175"/>
        <v>59417815</v>
      </c>
      <c r="BB18" s="247">
        <f t="shared" ref="BB18" si="178">+SUM(BB15:BB17)</f>
        <v>634382233</v>
      </c>
      <c r="BC18" s="247">
        <f t="shared" si="175"/>
        <v>62017022</v>
      </c>
      <c r="BD18" s="247">
        <f t="shared" si="175"/>
        <v>62017022</v>
      </c>
      <c r="BE18" s="247">
        <f t="shared" si="175"/>
        <v>62983198</v>
      </c>
      <c r="BF18" s="247">
        <f t="shared" si="175"/>
        <v>62983198</v>
      </c>
      <c r="BG18" s="247">
        <f t="shared" si="175"/>
        <v>62983198</v>
      </c>
      <c r="BH18" s="247">
        <f t="shared" si="175"/>
        <v>45914085</v>
      </c>
      <c r="BI18" s="247">
        <f t="shared" si="175"/>
        <v>45914085</v>
      </c>
      <c r="BJ18" s="247">
        <f t="shared" si="175"/>
        <v>45914085</v>
      </c>
      <c r="BK18" s="247">
        <f t="shared" si="175"/>
        <v>45914085</v>
      </c>
      <c r="BL18" s="247">
        <f t="shared" si="175"/>
        <v>45914085</v>
      </c>
      <c r="BM18" s="247">
        <f t="shared" si="175"/>
        <v>45914085</v>
      </c>
      <c r="BN18" s="247">
        <f t="shared" ref="BN18:DY18" si="179">+SUM(BN15:BN17)</f>
        <v>45914085</v>
      </c>
      <c r="BO18" s="247">
        <f t="shared" si="179"/>
        <v>584031120</v>
      </c>
      <c r="BP18" s="247">
        <f t="shared" si="179"/>
        <v>48669260</v>
      </c>
      <c r="BQ18" s="247">
        <f t="shared" si="179"/>
        <v>48669260</v>
      </c>
      <c r="BR18" s="247">
        <f t="shared" si="179"/>
        <v>48669260</v>
      </c>
      <c r="BS18" s="247">
        <f t="shared" si="179"/>
        <v>48669260</v>
      </c>
      <c r="BT18" s="247">
        <f t="shared" si="179"/>
        <v>48669260</v>
      </c>
      <c r="BU18" s="247">
        <f t="shared" si="179"/>
        <v>48669260</v>
      </c>
      <c r="BV18" s="247">
        <f t="shared" si="179"/>
        <v>48669260</v>
      </c>
      <c r="BW18" s="247">
        <f t="shared" si="179"/>
        <v>48669260</v>
      </c>
      <c r="BX18" s="247">
        <f t="shared" si="179"/>
        <v>48669260</v>
      </c>
      <c r="BY18" s="247">
        <f t="shared" si="179"/>
        <v>48669260</v>
      </c>
      <c r="BZ18" s="247">
        <f t="shared" si="179"/>
        <v>48669260</v>
      </c>
      <c r="CA18" s="247">
        <f t="shared" si="179"/>
        <v>48669260</v>
      </c>
      <c r="CB18" s="247">
        <f t="shared" si="179"/>
        <v>619077132</v>
      </c>
      <c r="CC18" s="247">
        <f>+SUM(CC15:CC17)</f>
        <v>51589761</v>
      </c>
      <c r="CD18" s="247">
        <f t="shared" si="179"/>
        <v>51589761</v>
      </c>
      <c r="CE18" s="247">
        <f t="shared" si="179"/>
        <v>51589761</v>
      </c>
      <c r="CF18" s="247">
        <f t="shared" si="179"/>
        <v>51589761</v>
      </c>
      <c r="CG18" s="247">
        <f t="shared" si="179"/>
        <v>51589761</v>
      </c>
      <c r="CH18" s="247">
        <f t="shared" si="179"/>
        <v>51589761</v>
      </c>
      <c r="CI18" s="247">
        <f t="shared" si="179"/>
        <v>51589761</v>
      </c>
      <c r="CJ18" s="247">
        <f t="shared" si="179"/>
        <v>51589761</v>
      </c>
      <c r="CK18" s="247">
        <f t="shared" si="179"/>
        <v>51589761</v>
      </c>
      <c r="CL18" s="247">
        <f t="shared" si="179"/>
        <v>51589761</v>
      </c>
      <c r="CM18" s="247">
        <f t="shared" si="179"/>
        <v>51589761</v>
      </c>
      <c r="CN18" s="247">
        <f t="shared" si="179"/>
        <v>51589761</v>
      </c>
      <c r="CO18" s="247">
        <f t="shared" si="179"/>
        <v>656226120</v>
      </c>
      <c r="CP18" s="247">
        <f t="shared" si="179"/>
        <v>54685510</v>
      </c>
      <c r="CQ18" s="247">
        <f t="shared" si="179"/>
        <v>54685510</v>
      </c>
      <c r="CR18" s="247">
        <f t="shared" si="179"/>
        <v>54685510</v>
      </c>
      <c r="CS18" s="247">
        <f t="shared" si="179"/>
        <v>54685510</v>
      </c>
      <c r="CT18" s="247">
        <f t="shared" si="179"/>
        <v>54685510</v>
      </c>
      <c r="CU18" s="247">
        <f t="shared" si="179"/>
        <v>54685510</v>
      </c>
      <c r="CV18" s="247">
        <f t="shared" si="179"/>
        <v>54685510</v>
      </c>
      <c r="CW18" s="247">
        <f t="shared" si="179"/>
        <v>54685510</v>
      </c>
      <c r="CX18" s="247">
        <f t="shared" si="179"/>
        <v>54685510</v>
      </c>
      <c r="CY18" s="247">
        <f t="shared" si="179"/>
        <v>54685510</v>
      </c>
      <c r="CZ18" s="247">
        <f t="shared" si="179"/>
        <v>54685510</v>
      </c>
      <c r="DA18" s="247">
        <f t="shared" si="179"/>
        <v>54685510</v>
      </c>
      <c r="DB18" s="247">
        <f t="shared" si="179"/>
        <v>695604276</v>
      </c>
      <c r="DC18" s="247">
        <f t="shared" si="179"/>
        <v>57967023</v>
      </c>
      <c r="DD18" s="247">
        <f t="shared" si="179"/>
        <v>57967023</v>
      </c>
      <c r="DE18" s="247">
        <f t="shared" si="179"/>
        <v>57967023</v>
      </c>
      <c r="DF18" s="247">
        <f t="shared" si="179"/>
        <v>57967023</v>
      </c>
      <c r="DG18" s="247">
        <f t="shared" si="179"/>
        <v>57967023</v>
      </c>
      <c r="DH18" s="247">
        <f t="shared" si="179"/>
        <v>57967023</v>
      </c>
      <c r="DI18" s="247">
        <f t="shared" si="179"/>
        <v>57967023</v>
      </c>
      <c r="DJ18" s="247">
        <f t="shared" si="179"/>
        <v>57967023</v>
      </c>
      <c r="DK18" s="247">
        <f t="shared" si="179"/>
        <v>57967023</v>
      </c>
      <c r="DL18" s="247">
        <f t="shared" si="179"/>
        <v>57967023</v>
      </c>
      <c r="DM18" s="247">
        <f t="shared" si="179"/>
        <v>57967023</v>
      </c>
      <c r="DN18" s="247">
        <f t="shared" si="179"/>
        <v>57967023</v>
      </c>
      <c r="DO18" s="247">
        <f t="shared" si="179"/>
        <v>737345352</v>
      </c>
      <c r="DP18" s="247">
        <f t="shared" si="179"/>
        <v>61445446</v>
      </c>
      <c r="DQ18" s="247">
        <f t="shared" si="179"/>
        <v>61445446</v>
      </c>
      <c r="DR18" s="247">
        <f t="shared" si="179"/>
        <v>61445446</v>
      </c>
      <c r="DS18" s="247">
        <f t="shared" si="179"/>
        <v>61445446</v>
      </c>
      <c r="DT18" s="247">
        <f t="shared" si="179"/>
        <v>61445446</v>
      </c>
      <c r="DU18" s="247">
        <f t="shared" si="179"/>
        <v>61445446</v>
      </c>
      <c r="DV18" s="247">
        <f t="shared" si="179"/>
        <v>61445446</v>
      </c>
      <c r="DW18" s="247">
        <f t="shared" si="179"/>
        <v>61445446</v>
      </c>
      <c r="DX18" s="247">
        <f t="shared" si="179"/>
        <v>61445446</v>
      </c>
      <c r="DY18" s="247">
        <f t="shared" si="179"/>
        <v>61445446</v>
      </c>
      <c r="DZ18" s="247">
        <f t="shared" ref="DZ18:GG18" si="180">+SUM(DZ15:DZ17)</f>
        <v>61445446</v>
      </c>
      <c r="EA18" s="247">
        <f t="shared" si="180"/>
        <v>61445446</v>
      </c>
      <c r="EB18" s="247">
        <f t="shared" si="180"/>
        <v>781591140</v>
      </c>
      <c r="EC18" s="247">
        <f t="shared" si="180"/>
        <v>65132595</v>
      </c>
      <c r="ED18" s="247">
        <f t="shared" si="180"/>
        <v>65132595</v>
      </c>
      <c r="EE18" s="247">
        <f t="shared" si="180"/>
        <v>65132595</v>
      </c>
      <c r="EF18" s="247">
        <f t="shared" si="180"/>
        <v>65132595</v>
      </c>
      <c r="EG18" s="247">
        <f t="shared" si="180"/>
        <v>65132595</v>
      </c>
      <c r="EH18" s="247">
        <f t="shared" si="180"/>
        <v>65132595</v>
      </c>
      <c r="EI18" s="247">
        <f t="shared" si="180"/>
        <v>65132595</v>
      </c>
      <c r="EJ18" s="247">
        <f t="shared" si="180"/>
        <v>65132595</v>
      </c>
      <c r="EK18" s="247">
        <f t="shared" si="180"/>
        <v>65132595</v>
      </c>
      <c r="EL18" s="247">
        <f t="shared" si="180"/>
        <v>65132595</v>
      </c>
      <c r="EM18" s="247">
        <f t="shared" si="180"/>
        <v>65132595</v>
      </c>
      <c r="EN18" s="247">
        <f t="shared" si="180"/>
        <v>65132595</v>
      </c>
      <c r="EO18" s="247">
        <f t="shared" si="180"/>
        <v>828491904</v>
      </c>
      <c r="EP18" s="247">
        <f t="shared" si="180"/>
        <v>69040992</v>
      </c>
      <c r="EQ18" s="247">
        <f t="shared" si="180"/>
        <v>69040992</v>
      </c>
      <c r="ER18" s="247">
        <f t="shared" si="180"/>
        <v>69040992</v>
      </c>
      <c r="ES18" s="247">
        <f t="shared" si="180"/>
        <v>69040992</v>
      </c>
      <c r="ET18" s="247">
        <f t="shared" si="180"/>
        <v>69040992</v>
      </c>
      <c r="EU18" s="247">
        <f t="shared" si="180"/>
        <v>69040992</v>
      </c>
      <c r="EV18" s="247">
        <f t="shared" si="180"/>
        <v>69040992</v>
      </c>
      <c r="EW18" s="247">
        <f t="shared" si="180"/>
        <v>69040992</v>
      </c>
      <c r="EX18" s="247">
        <f t="shared" si="180"/>
        <v>69040992</v>
      </c>
      <c r="EY18" s="247">
        <f t="shared" si="180"/>
        <v>69040992</v>
      </c>
      <c r="EZ18" s="247">
        <f t="shared" si="180"/>
        <v>69040992</v>
      </c>
      <c r="FA18" s="247">
        <f t="shared" si="180"/>
        <v>69040992</v>
      </c>
      <c r="FB18" s="247">
        <f t="shared" si="180"/>
        <v>878206992</v>
      </c>
      <c r="FC18" s="247">
        <f t="shared" si="180"/>
        <v>73183916</v>
      </c>
      <c r="FD18" s="247">
        <f t="shared" si="180"/>
        <v>73183916</v>
      </c>
      <c r="FE18" s="247">
        <f t="shared" si="180"/>
        <v>73183916</v>
      </c>
      <c r="FF18" s="247">
        <f t="shared" si="180"/>
        <v>73183916</v>
      </c>
      <c r="FG18" s="247">
        <f t="shared" si="180"/>
        <v>73183916</v>
      </c>
      <c r="FH18" s="247">
        <f t="shared" si="180"/>
        <v>73183916</v>
      </c>
      <c r="FI18" s="247">
        <f t="shared" si="180"/>
        <v>73183916</v>
      </c>
      <c r="FJ18" s="247">
        <f t="shared" si="180"/>
        <v>73183916</v>
      </c>
      <c r="FK18" s="247">
        <f t="shared" si="180"/>
        <v>73183916</v>
      </c>
      <c r="FL18" s="247">
        <f t="shared" si="180"/>
        <v>73183916</v>
      </c>
      <c r="FM18" s="247">
        <f t="shared" si="180"/>
        <v>73183916</v>
      </c>
      <c r="FN18" s="247">
        <f t="shared" si="180"/>
        <v>73183916</v>
      </c>
      <c r="FO18" s="247">
        <f t="shared" si="180"/>
        <v>930905256</v>
      </c>
      <c r="FP18" s="247">
        <f t="shared" si="180"/>
        <v>77575438</v>
      </c>
      <c r="FQ18" s="247">
        <f t="shared" si="180"/>
        <v>77575438</v>
      </c>
      <c r="FR18" s="247">
        <f t="shared" si="180"/>
        <v>77575438</v>
      </c>
      <c r="FS18" s="247">
        <f t="shared" si="180"/>
        <v>77575438</v>
      </c>
      <c r="FT18" s="247">
        <f t="shared" si="180"/>
        <v>77575438</v>
      </c>
      <c r="FU18" s="247">
        <f t="shared" si="180"/>
        <v>77575438</v>
      </c>
      <c r="FV18" s="247">
        <f t="shared" si="180"/>
        <v>77575438</v>
      </c>
      <c r="FW18" s="247">
        <f t="shared" si="180"/>
        <v>77575438</v>
      </c>
      <c r="FX18" s="247">
        <f t="shared" si="180"/>
        <v>77575438</v>
      </c>
      <c r="FY18" s="247">
        <f t="shared" si="180"/>
        <v>77575438</v>
      </c>
      <c r="FZ18" s="247">
        <f t="shared" si="180"/>
        <v>77575438</v>
      </c>
      <c r="GA18" s="247">
        <f t="shared" si="180"/>
        <v>77575438</v>
      </c>
      <c r="GB18" s="247">
        <f t="shared" si="180"/>
        <v>411152385</v>
      </c>
      <c r="GC18" s="247">
        <f t="shared" si="180"/>
        <v>82230477</v>
      </c>
      <c r="GD18" s="247">
        <f t="shared" si="180"/>
        <v>82230477</v>
      </c>
      <c r="GE18" s="247">
        <f t="shared" si="180"/>
        <v>82230477</v>
      </c>
      <c r="GF18" s="247">
        <f t="shared" si="180"/>
        <v>82230477</v>
      </c>
      <c r="GG18" s="247">
        <f t="shared" si="180"/>
        <v>82230477</v>
      </c>
    </row>
    <row r="19" spans="1:189" s="175" customFormat="1" ht="16.5" customHeight="1" x14ac:dyDescent="0.25">
      <c r="A19" s="78"/>
      <c r="B19" s="176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6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6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6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6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6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6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6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  <c r="CZ19" s="174"/>
      <c r="DA19" s="174"/>
      <c r="DB19" s="176"/>
      <c r="DC19" s="174"/>
      <c r="DD19" s="174"/>
      <c r="DE19" s="174"/>
      <c r="DF19" s="174"/>
      <c r="DG19" s="174"/>
      <c r="DH19" s="174"/>
      <c r="DI19" s="174"/>
      <c r="DJ19" s="174"/>
      <c r="DK19" s="174"/>
      <c r="DL19" s="174"/>
      <c r="DM19" s="174"/>
      <c r="DN19" s="174"/>
      <c r="DO19" s="176"/>
      <c r="DP19" s="174"/>
      <c r="DQ19" s="174"/>
      <c r="DR19" s="174"/>
      <c r="DS19" s="174"/>
      <c r="DT19" s="174"/>
      <c r="DU19" s="174"/>
      <c r="DV19" s="174"/>
      <c r="DW19" s="174"/>
      <c r="DX19" s="174"/>
      <c r="DY19" s="174"/>
      <c r="DZ19" s="174"/>
      <c r="EA19" s="174"/>
      <c r="EB19" s="176"/>
      <c r="EC19" s="174"/>
      <c r="ED19" s="174"/>
      <c r="EE19" s="174"/>
      <c r="EF19" s="174"/>
      <c r="EG19" s="174"/>
      <c r="EH19" s="174"/>
      <c r="EI19" s="174"/>
      <c r="EJ19" s="174"/>
      <c r="EK19" s="174"/>
      <c r="EL19" s="174"/>
      <c r="EM19" s="174"/>
      <c r="EN19" s="174"/>
      <c r="EO19" s="176"/>
      <c r="EP19" s="174"/>
      <c r="EQ19" s="174"/>
      <c r="ER19" s="174"/>
      <c r="ES19" s="174"/>
      <c r="ET19" s="174"/>
      <c r="EU19" s="174"/>
      <c r="EV19" s="174"/>
      <c r="EW19" s="174"/>
      <c r="EX19" s="174"/>
      <c r="EY19" s="174"/>
      <c r="EZ19" s="174"/>
      <c r="FA19" s="174"/>
      <c r="FB19" s="176"/>
      <c r="FC19" s="174"/>
      <c r="FD19" s="174"/>
      <c r="FE19" s="174"/>
      <c r="FF19" s="174"/>
      <c r="FG19" s="174"/>
      <c r="FH19" s="174"/>
      <c r="FI19" s="174"/>
      <c r="FJ19" s="174"/>
      <c r="FK19" s="174"/>
      <c r="FL19" s="174"/>
      <c r="FM19" s="174"/>
      <c r="FN19" s="174"/>
      <c r="FO19" s="176"/>
      <c r="FP19" s="174"/>
      <c r="FQ19" s="174"/>
      <c r="FR19" s="174"/>
      <c r="FS19" s="174"/>
      <c r="FT19" s="174"/>
      <c r="FU19" s="174"/>
      <c r="FV19" s="174"/>
      <c r="FW19" s="174"/>
      <c r="FX19" s="174"/>
      <c r="FY19" s="174"/>
      <c r="FZ19" s="174"/>
      <c r="GA19" s="174"/>
      <c r="GB19" s="176"/>
      <c r="GC19" s="174"/>
      <c r="GD19" s="174"/>
      <c r="GE19" s="174"/>
      <c r="GF19" s="174"/>
      <c r="GG19" s="174"/>
    </row>
    <row r="20" spans="1:189" s="175" customFormat="1" ht="16.5" customHeight="1" x14ac:dyDescent="0.25">
      <c r="A20" s="79" t="s">
        <v>80</v>
      </c>
      <c r="B20" s="178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8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8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8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8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8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8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8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8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8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8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8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8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8"/>
      <c r="FP20" s="179"/>
      <c r="FQ20" s="179"/>
      <c r="FR20" s="179"/>
      <c r="FS20" s="179"/>
      <c r="FT20" s="179"/>
      <c r="FU20" s="179"/>
      <c r="FV20" s="179"/>
      <c r="FW20" s="179"/>
      <c r="FX20" s="179"/>
      <c r="FY20" s="179"/>
      <c r="FZ20" s="179"/>
      <c r="GA20" s="179"/>
      <c r="GB20" s="178"/>
      <c r="GC20" s="179"/>
      <c r="GD20" s="179"/>
      <c r="GE20" s="179"/>
      <c r="GF20" s="179"/>
      <c r="GG20" s="179"/>
    </row>
    <row r="21" spans="1:189" s="182" customFormat="1" ht="16.5" customHeight="1" x14ac:dyDescent="0.25">
      <c r="A21" s="249" t="s">
        <v>70</v>
      </c>
      <c r="B21" s="250">
        <f>+SUM(B22:B23)</f>
        <v>230235576</v>
      </c>
      <c r="C21" s="250">
        <f>+SUM(C22:C23)</f>
        <v>19160788</v>
      </c>
      <c r="D21" s="250">
        <f t="shared" ref="D21:BM21" si="181">+SUM(D22:D23)</f>
        <v>19160788</v>
      </c>
      <c r="E21" s="250">
        <f t="shared" si="181"/>
        <v>19191400</v>
      </c>
      <c r="F21" s="250">
        <f t="shared" si="181"/>
        <v>19191400</v>
      </c>
      <c r="G21" s="250">
        <f t="shared" si="181"/>
        <v>19191400</v>
      </c>
      <c r="H21" s="250">
        <f t="shared" si="181"/>
        <v>19191400</v>
      </c>
      <c r="I21" s="250">
        <f t="shared" si="181"/>
        <v>19191400</v>
      </c>
      <c r="J21" s="250">
        <f t="shared" si="181"/>
        <v>19191400</v>
      </c>
      <c r="K21" s="250">
        <f t="shared" si="181"/>
        <v>19191400</v>
      </c>
      <c r="L21" s="250">
        <f t="shared" si="181"/>
        <v>19191400</v>
      </c>
      <c r="M21" s="250">
        <f t="shared" si="181"/>
        <v>19191400</v>
      </c>
      <c r="N21" s="250">
        <f t="shared" si="181"/>
        <v>19191400</v>
      </c>
      <c r="O21" s="250">
        <f t="shared" ref="O21" si="182">+SUM(O22:O23)</f>
        <v>189458554</v>
      </c>
      <c r="P21" s="250">
        <f t="shared" si="181"/>
        <v>15761172</v>
      </c>
      <c r="Q21" s="250">
        <f t="shared" si="181"/>
        <v>15761172</v>
      </c>
      <c r="R21" s="250">
        <f t="shared" si="181"/>
        <v>15793621</v>
      </c>
      <c r="S21" s="250">
        <f t="shared" si="181"/>
        <v>15793621</v>
      </c>
      <c r="T21" s="250">
        <f t="shared" si="181"/>
        <v>15793621</v>
      </c>
      <c r="U21" s="250">
        <f t="shared" si="181"/>
        <v>15793621</v>
      </c>
      <c r="V21" s="250">
        <f t="shared" si="181"/>
        <v>15793621</v>
      </c>
      <c r="W21" s="250">
        <f t="shared" si="181"/>
        <v>15793621</v>
      </c>
      <c r="X21" s="250">
        <f t="shared" si="181"/>
        <v>15793621</v>
      </c>
      <c r="Y21" s="250">
        <f t="shared" si="181"/>
        <v>15793621</v>
      </c>
      <c r="Z21" s="250">
        <f t="shared" si="181"/>
        <v>15793621</v>
      </c>
      <c r="AA21" s="250">
        <f t="shared" si="181"/>
        <v>15793621</v>
      </c>
      <c r="AB21" s="250">
        <f t="shared" si="181"/>
        <v>199184440</v>
      </c>
      <c r="AC21" s="250">
        <f t="shared" si="181"/>
        <v>16570040</v>
      </c>
      <c r="AD21" s="250">
        <f t="shared" si="181"/>
        <v>16570040</v>
      </c>
      <c r="AE21" s="250">
        <f t="shared" si="181"/>
        <v>16604436</v>
      </c>
      <c r="AF21" s="250">
        <f t="shared" si="181"/>
        <v>16604436</v>
      </c>
      <c r="AG21" s="250">
        <f t="shared" si="181"/>
        <v>16604436</v>
      </c>
      <c r="AH21" s="250">
        <f t="shared" si="181"/>
        <v>16604436</v>
      </c>
      <c r="AI21" s="250">
        <f t="shared" si="181"/>
        <v>16604436</v>
      </c>
      <c r="AJ21" s="250">
        <f t="shared" si="181"/>
        <v>16604436</v>
      </c>
      <c r="AK21" s="250">
        <f t="shared" si="181"/>
        <v>16604436</v>
      </c>
      <c r="AL21" s="250">
        <f t="shared" si="181"/>
        <v>16604436</v>
      </c>
      <c r="AM21" s="250">
        <f t="shared" si="181"/>
        <v>16604436</v>
      </c>
      <c r="AN21" s="250">
        <f t="shared" si="181"/>
        <v>16604436</v>
      </c>
      <c r="AO21" s="250">
        <f t="shared" ref="AO21" si="183">+SUM(AO22:AO23)</f>
        <v>209411778</v>
      </c>
      <c r="AP21" s="250">
        <f t="shared" si="181"/>
        <v>17420599</v>
      </c>
      <c r="AQ21" s="250">
        <f t="shared" si="181"/>
        <v>17420599</v>
      </c>
      <c r="AR21" s="250">
        <f t="shared" si="181"/>
        <v>17457058</v>
      </c>
      <c r="AS21" s="250">
        <f t="shared" si="181"/>
        <v>17457058</v>
      </c>
      <c r="AT21" s="250">
        <f t="shared" si="181"/>
        <v>17457058</v>
      </c>
      <c r="AU21" s="250">
        <f t="shared" si="181"/>
        <v>17457058</v>
      </c>
      <c r="AV21" s="250">
        <f t="shared" si="181"/>
        <v>17457058</v>
      </c>
      <c r="AW21" s="250">
        <f t="shared" si="181"/>
        <v>17457058</v>
      </c>
      <c r="AX21" s="250">
        <f t="shared" si="181"/>
        <v>17457058</v>
      </c>
      <c r="AY21" s="250">
        <f t="shared" si="181"/>
        <v>17457058</v>
      </c>
      <c r="AZ21" s="250">
        <f t="shared" si="181"/>
        <v>17457058</v>
      </c>
      <c r="BA21" s="250">
        <f t="shared" si="181"/>
        <v>17457058</v>
      </c>
      <c r="BB21" s="250">
        <f t="shared" ref="BB21" si="184">+SUM(BB22:BB23)</f>
        <v>215387223</v>
      </c>
      <c r="BC21" s="250">
        <f t="shared" si="181"/>
        <v>18315009</v>
      </c>
      <c r="BD21" s="250">
        <f t="shared" si="181"/>
        <v>18315009</v>
      </c>
      <c r="BE21" s="250">
        <f t="shared" si="181"/>
        <v>18353656</v>
      </c>
      <c r="BF21" s="250">
        <f t="shared" si="181"/>
        <v>18353656</v>
      </c>
      <c r="BG21" s="250">
        <f>+SUM(BG22:BG23)</f>
        <v>18353656</v>
      </c>
      <c r="BH21" s="250">
        <f>+SUM(BH22:BH23)</f>
        <v>17670891</v>
      </c>
      <c r="BI21" s="250">
        <f t="shared" si="181"/>
        <v>17670891</v>
      </c>
      <c r="BJ21" s="250">
        <f t="shared" si="181"/>
        <v>17670891</v>
      </c>
      <c r="BK21" s="250">
        <f t="shared" si="181"/>
        <v>17670891</v>
      </c>
      <c r="BL21" s="250">
        <f t="shared" si="181"/>
        <v>17670891</v>
      </c>
      <c r="BM21" s="250">
        <f t="shared" si="181"/>
        <v>17670891</v>
      </c>
      <c r="BN21" s="250">
        <f t="shared" ref="BN21:DY21" si="185">+SUM(BN22:BN23)</f>
        <v>17670891</v>
      </c>
      <c r="BO21" s="250">
        <f t="shared" si="185"/>
        <v>222873336</v>
      </c>
      <c r="BP21" s="250">
        <f t="shared" si="185"/>
        <v>18572778</v>
      </c>
      <c r="BQ21" s="250">
        <f t="shared" si="185"/>
        <v>18572778</v>
      </c>
      <c r="BR21" s="250">
        <f t="shared" si="185"/>
        <v>18572778</v>
      </c>
      <c r="BS21" s="250">
        <f t="shared" si="185"/>
        <v>18572778</v>
      </c>
      <c r="BT21" s="250">
        <f t="shared" si="185"/>
        <v>18572778</v>
      </c>
      <c r="BU21" s="250">
        <f t="shared" si="185"/>
        <v>18572778</v>
      </c>
      <c r="BV21" s="250">
        <f t="shared" si="185"/>
        <v>18572778</v>
      </c>
      <c r="BW21" s="250">
        <f t="shared" si="185"/>
        <v>18572778</v>
      </c>
      <c r="BX21" s="250">
        <f t="shared" si="185"/>
        <v>18572778</v>
      </c>
      <c r="BY21" s="250">
        <f t="shared" si="185"/>
        <v>18572778</v>
      </c>
      <c r="BZ21" s="250">
        <f t="shared" si="185"/>
        <v>18572778</v>
      </c>
      <c r="CA21" s="250">
        <f t="shared" si="185"/>
        <v>18572778</v>
      </c>
      <c r="CB21" s="250">
        <f t="shared" si="185"/>
        <v>234250308</v>
      </c>
      <c r="CC21" s="250">
        <f t="shared" si="185"/>
        <v>19520859</v>
      </c>
      <c r="CD21" s="250">
        <f t="shared" si="185"/>
        <v>19520859</v>
      </c>
      <c r="CE21" s="250">
        <f t="shared" si="185"/>
        <v>19520859</v>
      </c>
      <c r="CF21" s="250">
        <f t="shared" si="185"/>
        <v>19520859</v>
      </c>
      <c r="CG21" s="250">
        <f t="shared" si="185"/>
        <v>19520859</v>
      </c>
      <c r="CH21" s="250">
        <f t="shared" si="185"/>
        <v>19520859</v>
      </c>
      <c r="CI21" s="250">
        <f t="shared" si="185"/>
        <v>19520859</v>
      </c>
      <c r="CJ21" s="250">
        <f t="shared" si="185"/>
        <v>19520859</v>
      </c>
      <c r="CK21" s="250">
        <f t="shared" si="185"/>
        <v>19520859</v>
      </c>
      <c r="CL21" s="250">
        <f t="shared" si="185"/>
        <v>19520859</v>
      </c>
      <c r="CM21" s="250">
        <f t="shared" si="185"/>
        <v>19520859</v>
      </c>
      <c r="CN21" s="250">
        <f t="shared" si="185"/>
        <v>19520859</v>
      </c>
      <c r="CO21" s="250">
        <f t="shared" si="185"/>
        <v>246210144</v>
      </c>
      <c r="CP21" s="250">
        <f t="shared" si="185"/>
        <v>20517512</v>
      </c>
      <c r="CQ21" s="250">
        <f t="shared" si="185"/>
        <v>20517512</v>
      </c>
      <c r="CR21" s="250">
        <f t="shared" si="185"/>
        <v>20517512</v>
      </c>
      <c r="CS21" s="250">
        <f t="shared" si="185"/>
        <v>20517512</v>
      </c>
      <c r="CT21" s="250">
        <f t="shared" si="185"/>
        <v>20517512</v>
      </c>
      <c r="CU21" s="250">
        <f t="shared" si="185"/>
        <v>20517512</v>
      </c>
      <c r="CV21" s="250">
        <f t="shared" si="185"/>
        <v>20517512</v>
      </c>
      <c r="CW21" s="250">
        <f t="shared" si="185"/>
        <v>20517512</v>
      </c>
      <c r="CX21" s="250">
        <f t="shared" si="185"/>
        <v>20517512</v>
      </c>
      <c r="CY21" s="250">
        <f t="shared" si="185"/>
        <v>20517512</v>
      </c>
      <c r="CZ21" s="250">
        <f t="shared" si="185"/>
        <v>20517512</v>
      </c>
      <c r="DA21" s="250">
        <f t="shared" si="185"/>
        <v>20517512</v>
      </c>
      <c r="DB21" s="250">
        <f t="shared" si="185"/>
        <v>258782796</v>
      </c>
      <c r="DC21" s="250">
        <f t="shared" si="185"/>
        <v>21565233</v>
      </c>
      <c r="DD21" s="250">
        <f t="shared" si="185"/>
        <v>21565233</v>
      </c>
      <c r="DE21" s="250">
        <f t="shared" si="185"/>
        <v>21565233</v>
      </c>
      <c r="DF21" s="250">
        <f t="shared" si="185"/>
        <v>21565233</v>
      </c>
      <c r="DG21" s="250">
        <f t="shared" si="185"/>
        <v>21565233</v>
      </c>
      <c r="DH21" s="250">
        <f t="shared" si="185"/>
        <v>21565233</v>
      </c>
      <c r="DI21" s="250">
        <f t="shared" si="185"/>
        <v>21565233</v>
      </c>
      <c r="DJ21" s="250">
        <f t="shared" si="185"/>
        <v>21565233</v>
      </c>
      <c r="DK21" s="250">
        <f t="shared" si="185"/>
        <v>21565233</v>
      </c>
      <c r="DL21" s="250">
        <f t="shared" si="185"/>
        <v>21565233</v>
      </c>
      <c r="DM21" s="250">
        <f t="shared" si="185"/>
        <v>21565233</v>
      </c>
      <c r="DN21" s="250">
        <f t="shared" si="185"/>
        <v>21565233</v>
      </c>
      <c r="DO21" s="250">
        <f t="shared" si="185"/>
        <v>271999812</v>
      </c>
      <c r="DP21" s="250">
        <f t="shared" si="185"/>
        <v>22666651</v>
      </c>
      <c r="DQ21" s="250">
        <f t="shared" si="185"/>
        <v>22666651</v>
      </c>
      <c r="DR21" s="250">
        <f t="shared" si="185"/>
        <v>22666651</v>
      </c>
      <c r="DS21" s="250">
        <f t="shared" si="185"/>
        <v>22666651</v>
      </c>
      <c r="DT21" s="250">
        <f t="shared" si="185"/>
        <v>22666651</v>
      </c>
      <c r="DU21" s="250">
        <f t="shared" si="185"/>
        <v>22666651</v>
      </c>
      <c r="DV21" s="250">
        <f t="shared" si="185"/>
        <v>22666651</v>
      </c>
      <c r="DW21" s="250">
        <f t="shared" si="185"/>
        <v>22666651</v>
      </c>
      <c r="DX21" s="250">
        <f t="shared" si="185"/>
        <v>22666651</v>
      </c>
      <c r="DY21" s="250">
        <f t="shared" si="185"/>
        <v>22666651</v>
      </c>
      <c r="DZ21" s="250">
        <f t="shared" ref="DZ21:GG21" si="186">+SUM(DZ22:DZ23)</f>
        <v>22666651</v>
      </c>
      <c r="EA21" s="250">
        <f t="shared" si="186"/>
        <v>22666651</v>
      </c>
      <c r="EB21" s="250">
        <f t="shared" si="186"/>
        <v>285894348</v>
      </c>
      <c r="EC21" s="250">
        <f t="shared" si="186"/>
        <v>23824529</v>
      </c>
      <c r="ED21" s="250">
        <f t="shared" si="186"/>
        <v>23824529</v>
      </c>
      <c r="EE21" s="250">
        <f t="shared" si="186"/>
        <v>23824529</v>
      </c>
      <c r="EF21" s="250">
        <f t="shared" si="186"/>
        <v>23824529</v>
      </c>
      <c r="EG21" s="250">
        <f t="shared" si="186"/>
        <v>23824529</v>
      </c>
      <c r="EH21" s="250">
        <f t="shared" si="186"/>
        <v>23824529</v>
      </c>
      <c r="EI21" s="250">
        <f t="shared" si="186"/>
        <v>23824529</v>
      </c>
      <c r="EJ21" s="250">
        <f t="shared" si="186"/>
        <v>23824529</v>
      </c>
      <c r="EK21" s="250">
        <f t="shared" si="186"/>
        <v>23824529</v>
      </c>
      <c r="EL21" s="250">
        <f t="shared" si="186"/>
        <v>23824529</v>
      </c>
      <c r="EM21" s="250">
        <f t="shared" si="186"/>
        <v>23824529</v>
      </c>
      <c r="EN21" s="250">
        <f t="shared" si="186"/>
        <v>23824529</v>
      </c>
      <c r="EO21" s="250">
        <f t="shared" si="186"/>
        <v>300501288</v>
      </c>
      <c r="EP21" s="250">
        <f t="shared" si="186"/>
        <v>25041774</v>
      </c>
      <c r="EQ21" s="250">
        <f t="shared" si="186"/>
        <v>25041774</v>
      </c>
      <c r="ER21" s="250">
        <f t="shared" si="186"/>
        <v>25041774</v>
      </c>
      <c r="ES21" s="250">
        <f t="shared" si="186"/>
        <v>25041774</v>
      </c>
      <c r="ET21" s="250">
        <f t="shared" si="186"/>
        <v>25041774</v>
      </c>
      <c r="EU21" s="250">
        <f t="shared" si="186"/>
        <v>25041774</v>
      </c>
      <c r="EV21" s="250">
        <f t="shared" si="186"/>
        <v>25041774</v>
      </c>
      <c r="EW21" s="250">
        <f t="shared" si="186"/>
        <v>25041774</v>
      </c>
      <c r="EX21" s="250">
        <f t="shared" si="186"/>
        <v>25041774</v>
      </c>
      <c r="EY21" s="250">
        <f t="shared" si="186"/>
        <v>25041774</v>
      </c>
      <c r="EZ21" s="250">
        <f t="shared" si="186"/>
        <v>25041774</v>
      </c>
      <c r="FA21" s="250">
        <f t="shared" si="186"/>
        <v>25041774</v>
      </c>
      <c r="FB21" s="250">
        <f t="shared" si="186"/>
        <v>315857316</v>
      </c>
      <c r="FC21" s="250">
        <f t="shared" si="186"/>
        <v>26321443</v>
      </c>
      <c r="FD21" s="250">
        <f t="shared" si="186"/>
        <v>26321443</v>
      </c>
      <c r="FE21" s="250">
        <f t="shared" si="186"/>
        <v>26321443</v>
      </c>
      <c r="FF21" s="250">
        <f t="shared" si="186"/>
        <v>26321443</v>
      </c>
      <c r="FG21" s="250">
        <f t="shared" si="186"/>
        <v>26321443</v>
      </c>
      <c r="FH21" s="250">
        <f t="shared" si="186"/>
        <v>26321443</v>
      </c>
      <c r="FI21" s="250">
        <f t="shared" si="186"/>
        <v>26321443</v>
      </c>
      <c r="FJ21" s="250">
        <f t="shared" si="186"/>
        <v>26321443</v>
      </c>
      <c r="FK21" s="250">
        <f t="shared" si="186"/>
        <v>26321443</v>
      </c>
      <c r="FL21" s="250">
        <f t="shared" si="186"/>
        <v>26321443</v>
      </c>
      <c r="FM21" s="250">
        <f t="shared" si="186"/>
        <v>26321443</v>
      </c>
      <c r="FN21" s="250">
        <f t="shared" si="186"/>
        <v>26321443</v>
      </c>
      <c r="FO21" s="250">
        <f t="shared" si="186"/>
        <v>332000988</v>
      </c>
      <c r="FP21" s="250">
        <f t="shared" si="186"/>
        <v>27666749</v>
      </c>
      <c r="FQ21" s="250">
        <f t="shared" si="186"/>
        <v>27666749</v>
      </c>
      <c r="FR21" s="250">
        <f t="shared" si="186"/>
        <v>27666749</v>
      </c>
      <c r="FS21" s="250">
        <f t="shared" si="186"/>
        <v>27666749</v>
      </c>
      <c r="FT21" s="250">
        <f t="shared" si="186"/>
        <v>27666749</v>
      </c>
      <c r="FU21" s="250">
        <f t="shared" si="186"/>
        <v>27666749</v>
      </c>
      <c r="FV21" s="250">
        <f t="shared" si="186"/>
        <v>27666749</v>
      </c>
      <c r="FW21" s="250">
        <f t="shared" si="186"/>
        <v>27666749</v>
      </c>
      <c r="FX21" s="250">
        <f t="shared" si="186"/>
        <v>27666749</v>
      </c>
      <c r="FY21" s="250">
        <f t="shared" si="186"/>
        <v>27666749</v>
      </c>
      <c r="FZ21" s="250">
        <f t="shared" si="186"/>
        <v>27666749</v>
      </c>
      <c r="GA21" s="250">
        <f t="shared" si="186"/>
        <v>27666749</v>
      </c>
      <c r="GB21" s="250">
        <f t="shared" si="186"/>
        <v>145405375</v>
      </c>
      <c r="GC21" s="250">
        <f t="shared" si="186"/>
        <v>29081075</v>
      </c>
      <c r="GD21" s="250">
        <f t="shared" si="186"/>
        <v>29081075</v>
      </c>
      <c r="GE21" s="250">
        <f t="shared" si="186"/>
        <v>29081075</v>
      </c>
      <c r="GF21" s="250">
        <f t="shared" si="186"/>
        <v>29081075</v>
      </c>
      <c r="GG21" s="250">
        <f t="shared" si="186"/>
        <v>29081075</v>
      </c>
    </row>
    <row r="22" spans="1:189" s="175" customFormat="1" ht="16.5" customHeight="1" x14ac:dyDescent="0.25">
      <c r="A22" s="80" t="s">
        <v>72</v>
      </c>
      <c r="B22" s="173">
        <f>+SUM(C22:N22)</f>
        <v>214971456</v>
      </c>
      <c r="C22" s="174">
        <f>+'CENSO ACTUAL'!F16</f>
        <v>17914288</v>
      </c>
      <c r="D22" s="174">
        <f>+C22</f>
        <v>17914288</v>
      </c>
      <c r="E22" s="174">
        <f t="shared" ref="E22:N22" si="187">+D22</f>
        <v>17914288</v>
      </c>
      <c r="F22" s="174">
        <f t="shared" si="187"/>
        <v>17914288</v>
      </c>
      <c r="G22" s="174">
        <f t="shared" si="187"/>
        <v>17914288</v>
      </c>
      <c r="H22" s="174">
        <f t="shared" si="187"/>
        <v>17914288</v>
      </c>
      <c r="I22" s="174">
        <f>+H22</f>
        <v>17914288</v>
      </c>
      <c r="J22" s="174">
        <f t="shared" si="187"/>
        <v>17914288</v>
      </c>
      <c r="K22" s="174">
        <f t="shared" si="187"/>
        <v>17914288</v>
      </c>
      <c r="L22" s="174">
        <f t="shared" si="187"/>
        <v>17914288</v>
      </c>
      <c r="M22" s="174">
        <f t="shared" si="187"/>
        <v>17914288</v>
      </c>
      <c r="N22" s="174">
        <f t="shared" si="187"/>
        <v>17914288</v>
      </c>
      <c r="O22" s="173">
        <f>+SUM(P22:AA22)</f>
        <v>171003960</v>
      </c>
      <c r="P22" s="174">
        <f>+'CENSO FUTURO '!F11</f>
        <v>14250330</v>
      </c>
      <c r="Q22" s="174">
        <f>+P22</f>
        <v>14250330</v>
      </c>
      <c r="R22" s="174">
        <f t="shared" ref="R22:AA22" si="188">+Q22</f>
        <v>14250330</v>
      </c>
      <c r="S22" s="174">
        <f t="shared" si="188"/>
        <v>14250330</v>
      </c>
      <c r="T22" s="174">
        <f t="shared" si="188"/>
        <v>14250330</v>
      </c>
      <c r="U22" s="174">
        <f t="shared" si="188"/>
        <v>14250330</v>
      </c>
      <c r="V22" s="174">
        <f t="shared" si="188"/>
        <v>14250330</v>
      </c>
      <c r="W22" s="174">
        <f t="shared" si="188"/>
        <v>14250330</v>
      </c>
      <c r="X22" s="174">
        <f t="shared" si="188"/>
        <v>14250330</v>
      </c>
      <c r="Y22" s="174">
        <f t="shared" si="188"/>
        <v>14250330</v>
      </c>
      <c r="Z22" s="174">
        <f t="shared" si="188"/>
        <v>14250330</v>
      </c>
      <c r="AA22" s="174">
        <f t="shared" si="188"/>
        <v>14250330</v>
      </c>
      <c r="AB22" s="173">
        <f>+SUM(AC22:AN22)</f>
        <v>179554164</v>
      </c>
      <c r="AC22" s="174">
        <f>+ROUND((AA22*(1+AC5)),0)</f>
        <v>14962847</v>
      </c>
      <c r="AD22" s="174">
        <f>+AC22</f>
        <v>14962847</v>
      </c>
      <c r="AE22" s="174">
        <f t="shared" ref="AE22:AN22" si="189">+AD22</f>
        <v>14962847</v>
      </c>
      <c r="AF22" s="174">
        <f t="shared" si="189"/>
        <v>14962847</v>
      </c>
      <c r="AG22" s="174">
        <f t="shared" si="189"/>
        <v>14962847</v>
      </c>
      <c r="AH22" s="174">
        <f t="shared" si="189"/>
        <v>14962847</v>
      </c>
      <c r="AI22" s="174">
        <f t="shared" si="189"/>
        <v>14962847</v>
      </c>
      <c r="AJ22" s="174">
        <f t="shared" si="189"/>
        <v>14962847</v>
      </c>
      <c r="AK22" s="174">
        <f t="shared" si="189"/>
        <v>14962847</v>
      </c>
      <c r="AL22" s="174">
        <f t="shared" si="189"/>
        <v>14962847</v>
      </c>
      <c r="AM22" s="174">
        <f t="shared" si="189"/>
        <v>14962847</v>
      </c>
      <c r="AN22" s="174">
        <f t="shared" si="189"/>
        <v>14962847</v>
      </c>
      <c r="AO22" s="173">
        <f>+SUM(AP22:BA22)</f>
        <v>188531868</v>
      </c>
      <c r="AP22" s="174">
        <f>+ROUND((AN22*(1+AP5)),0)</f>
        <v>15710989</v>
      </c>
      <c r="AQ22" s="174">
        <f>+AP22</f>
        <v>15710989</v>
      </c>
      <c r="AR22" s="174">
        <f t="shared" ref="AR22:BA22" si="190">+AQ22</f>
        <v>15710989</v>
      </c>
      <c r="AS22" s="174">
        <f t="shared" si="190"/>
        <v>15710989</v>
      </c>
      <c r="AT22" s="174">
        <f t="shared" si="190"/>
        <v>15710989</v>
      </c>
      <c r="AU22" s="174">
        <f t="shared" si="190"/>
        <v>15710989</v>
      </c>
      <c r="AV22" s="174">
        <f t="shared" si="190"/>
        <v>15710989</v>
      </c>
      <c r="AW22" s="174">
        <f t="shared" si="190"/>
        <v>15710989</v>
      </c>
      <c r="AX22" s="174">
        <f t="shared" si="190"/>
        <v>15710989</v>
      </c>
      <c r="AY22" s="174">
        <f t="shared" si="190"/>
        <v>15710989</v>
      </c>
      <c r="AZ22" s="174">
        <f t="shared" si="190"/>
        <v>15710989</v>
      </c>
      <c r="BA22" s="174">
        <f t="shared" si="190"/>
        <v>15710989</v>
      </c>
      <c r="BB22" s="173">
        <f>+SUM(BC22:BN22)</f>
        <v>197958456</v>
      </c>
      <c r="BC22" s="174">
        <f>+ROUND((BA22*(1+BC5)),0)</f>
        <v>16496538</v>
      </c>
      <c r="BD22" s="174">
        <f>+BC22</f>
        <v>16496538</v>
      </c>
      <c r="BE22" s="174">
        <f t="shared" ref="BE22:BN22" si="191">+BD22</f>
        <v>16496538</v>
      </c>
      <c r="BF22" s="174">
        <f t="shared" si="191"/>
        <v>16496538</v>
      </c>
      <c r="BG22" s="174">
        <f t="shared" si="191"/>
        <v>16496538</v>
      </c>
      <c r="BH22" s="174">
        <f t="shared" si="191"/>
        <v>16496538</v>
      </c>
      <c r="BI22" s="174">
        <f t="shared" si="191"/>
        <v>16496538</v>
      </c>
      <c r="BJ22" s="174">
        <f t="shared" si="191"/>
        <v>16496538</v>
      </c>
      <c r="BK22" s="174">
        <f t="shared" si="191"/>
        <v>16496538</v>
      </c>
      <c r="BL22" s="174">
        <f t="shared" si="191"/>
        <v>16496538</v>
      </c>
      <c r="BM22" s="174">
        <f t="shared" si="191"/>
        <v>16496538</v>
      </c>
      <c r="BN22" s="174">
        <f t="shared" si="191"/>
        <v>16496538</v>
      </c>
      <c r="BO22" s="173">
        <f>+SUM(BP22:CA22)</f>
        <v>207856380</v>
      </c>
      <c r="BP22" s="174">
        <f>+ROUND((BN22*(1+BP5)),0)</f>
        <v>17321365</v>
      </c>
      <c r="BQ22" s="174">
        <f>+BP22</f>
        <v>17321365</v>
      </c>
      <c r="BR22" s="174">
        <f t="shared" ref="BR22:CA22" si="192">+BQ22</f>
        <v>17321365</v>
      </c>
      <c r="BS22" s="174">
        <f t="shared" si="192"/>
        <v>17321365</v>
      </c>
      <c r="BT22" s="174">
        <f t="shared" si="192"/>
        <v>17321365</v>
      </c>
      <c r="BU22" s="174">
        <f t="shared" si="192"/>
        <v>17321365</v>
      </c>
      <c r="BV22" s="174">
        <f t="shared" si="192"/>
        <v>17321365</v>
      </c>
      <c r="BW22" s="174">
        <f t="shared" si="192"/>
        <v>17321365</v>
      </c>
      <c r="BX22" s="174">
        <f t="shared" si="192"/>
        <v>17321365</v>
      </c>
      <c r="BY22" s="174">
        <f t="shared" si="192"/>
        <v>17321365</v>
      </c>
      <c r="BZ22" s="174">
        <f t="shared" si="192"/>
        <v>17321365</v>
      </c>
      <c r="CA22" s="174">
        <f t="shared" si="192"/>
        <v>17321365</v>
      </c>
      <c r="CB22" s="173">
        <f>+SUM(CC22:CN22)</f>
        <v>218249196</v>
      </c>
      <c r="CC22" s="174">
        <f>+ROUND((CA22*(1+CC5)),0)</f>
        <v>18187433</v>
      </c>
      <c r="CD22" s="174">
        <f>+CC22</f>
        <v>18187433</v>
      </c>
      <c r="CE22" s="174">
        <f t="shared" ref="CE22:CN22" si="193">+CD22</f>
        <v>18187433</v>
      </c>
      <c r="CF22" s="174">
        <f t="shared" si="193"/>
        <v>18187433</v>
      </c>
      <c r="CG22" s="174">
        <f t="shared" si="193"/>
        <v>18187433</v>
      </c>
      <c r="CH22" s="174">
        <f t="shared" si="193"/>
        <v>18187433</v>
      </c>
      <c r="CI22" s="174">
        <f t="shared" si="193"/>
        <v>18187433</v>
      </c>
      <c r="CJ22" s="174">
        <f t="shared" si="193"/>
        <v>18187433</v>
      </c>
      <c r="CK22" s="174">
        <f t="shared" si="193"/>
        <v>18187433</v>
      </c>
      <c r="CL22" s="174">
        <f t="shared" si="193"/>
        <v>18187433</v>
      </c>
      <c r="CM22" s="174">
        <f t="shared" si="193"/>
        <v>18187433</v>
      </c>
      <c r="CN22" s="174">
        <f t="shared" si="193"/>
        <v>18187433</v>
      </c>
      <c r="CO22" s="173">
        <f>+SUM(CP22:DA22)</f>
        <v>229161660</v>
      </c>
      <c r="CP22" s="174">
        <f>+ROUND((CN22*(1+CP5)),0)</f>
        <v>19096805</v>
      </c>
      <c r="CQ22" s="174">
        <f>+CP22</f>
        <v>19096805</v>
      </c>
      <c r="CR22" s="174">
        <f t="shared" ref="CR22:DA22" si="194">+CQ22</f>
        <v>19096805</v>
      </c>
      <c r="CS22" s="174">
        <f t="shared" si="194"/>
        <v>19096805</v>
      </c>
      <c r="CT22" s="174">
        <f t="shared" si="194"/>
        <v>19096805</v>
      </c>
      <c r="CU22" s="174">
        <f t="shared" si="194"/>
        <v>19096805</v>
      </c>
      <c r="CV22" s="174">
        <f t="shared" si="194"/>
        <v>19096805</v>
      </c>
      <c r="CW22" s="174">
        <f t="shared" si="194"/>
        <v>19096805</v>
      </c>
      <c r="CX22" s="174">
        <f t="shared" si="194"/>
        <v>19096805</v>
      </c>
      <c r="CY22" s="174">
        <f t="shared" si="194"/>
        <v>19096805</v>
      </c>
      <c r="CZ22" s="174">
        <f t="shared" si="194"/>
        <v>19096805</v>
      </c>
      <c r="DA22" s="174">
        <f t="shared" si="194"/>
        <v>19096805</v>
      </c>
      <c r="DB22" s="173">
        <f>+SUM(DC22:DN22)</f>
        <v>240619740</v>
      </c>
      <c r="DC22" s="174">
        <f>+ROUND((DA22*(1+DC5)),0)</f>
        <v>20051645</v>
      </c>
      <c r="DD22" s="174">
        <f>+DC22</f>
        <v>20051645</v>
      </c>
      <c r="DE22" s="174">
        <f t="shared" ref="DE22:DN22" si="195">+DD22</f>
        <v>20051645</v>
      </c>
      <c r="DF22" s="174">
        <f t="shared" si="195"/>
        <v>20051645</v>
      </c>
      <c r="DG22" s="174">
        <f t="shared" si="195"/>
        <v>20051645</v>
      </c>
      <c r="DH22" s="174">
        <f t="shared" si="195"/>
        <v>20051645</v>
      </c>
      <c r="DI22" s="174">
        <f t="shared" si="195"/>
        <v>20051645</v>
      </c>
      <c r="DJ22" s="174">
        <f t="shared" si="195"/>
        <v>20051645</v>
      </c>
      <c r="DK22" s="174">
        <f t="shared" si="195"/>
        <v>20051645</v>
      </c>
      <c r="DL22" s="174">
        <f t="shared" si="195"/>
        <v>20051645</v>
      </c>
      <c r="DM22" s="174">
        <f t="shared" si="195"/>
        <v>20051645</v>
      </c>
      <c r="DN22" s="174">
        <f t="shared" si="195"/>
        <v>20051645</v>
      </c>
      <c r="DO22" s="173">
        <f>+SUM(DP22:EA22)</f>
        <v>252650724</v>
      </c>
      <c r="DP22" s="174">
        <f>+ROUND((DN22*(1+DP5)),0)</f>
        <v>21054227</v>
      </c>
      <c r="DQ22" s="174">
        <f>+DP22</f>
        <v>21054227</v>
      </c>
      <c r="DR22" s="174">
        <f t="shared" ref="DR22:EA22" si="196">+DQ22</f>
        <v>21054227</v>
      </c>
      <c r="DS22" s="174">
        <f t="shared" si="196"/>
        <v>21054227</v>
      </c>
      <c r="DT22" s="174">
        <f t="shared" si="196"/>
        <v>21054227</v>
      </c>
      <c r="DU22" s="174">
        <f t="shared" si="196"/>
        <v>21054227</v>
      </c>
      <c r="DV22" s="174">
        <f t="shared" si="196"/>
        <v>21054227</v>
      </c>
      <c r="DW22" s="174">
        <f t="shared" si="196"/>
        <v>21054227</v>
      </c>
      <c r="DX22" s="174">
        <f t="shared" si="196"/>
        <v>21054227</v>
      </c>
      <c r="DY22" s="174">
        <f t="shared" si="196"/>
        <v>21054227</v>
      </c>
      <c r="DZ22" s="174">
        <f t="shared" si="196"/>
        <v>21054227</v>
      </c>
      <c r="EA22" s="174">
        <f t="shared" si="196"/>
        <v>21054227</v>
      </c>
      <c r="EB22" s="173">
        <f>+SUM(EC22:EN22)</f>
        <v>265283256</v>
      </c>
      <c r="EC22" s="174">
        <f>+ROUND((EA22*(1+EC5)),0)</f>
        <v>22106938</v>
      </c>
      <c r="ED22" s="174">
        <f>+EC22</f>
        <v>22106938</v>
      </c>
      <c r="EE22" s="174">
        <f t="shared" ref="EE22:EN22" si="197">+ED22</f>
        <v>22106938</v>
      </c>
      <c r="EF22" s="174">
        <f t="shared" si="197"/>
        <v>22106938</v>
      </c>
      <c r="EG22" s="174">
        <f t="shared" si="197"/>
        <v>22106938</v>
      </c>
      <c r="EH22" s="174">
        <f t="shared" si="197"/>
        <v>22106938</v>
      </c>
      <c r="EI22" s="174">
        <f t="shared" si="197"/>
        <v>22106938</v>
      </c>
      <c r="EJ22" s="174">
        <f t="shared" si="197"/>
        <v>22106938</v>
      </c>
      <c r="EK22" s="174">
        <f t="shared" si="197"/>
        <v>22106938</v>
      </c>
      <c r="EL22" s="174">
        <f t="shared" si="197"/>
        <v>22106938</v>
      </c>
      <c r="EM22" s="174">
        <f t="shared" si="197"/>
        <v>22106938</v>
      </c>
      <c r="EN22" s="174">
        <f t="shared" si="197"/>
        <v>22106938</v>
      </c>
      <c r="EO22" s="173">
        <f>+SUM(EP22:FA22)</f>
        <v>278547420</v>
      </c>
      <c r="EP22" s="174">
        <f>+ROUND((EN22*(1+EP5)),0)</f>
        <v>23212285</v>
      </c>
      <c r="EQ22" s="174">
        <f>+EP22</f>
        <v>23212285</v>
      </c>
      <c r="ER22" s="174">
        <f t="shared" ref="ER22:FA22" si="198">+EQ22</f>
        <v>23212285</v>
      </c>
      <c r="ES22" s="174">
        <f t="shared" si="198"/>
        <v>23212285</v>
      </c>
      <c r="ET22" s="174">
        <f t="shared" si="198"/>
        <v>23212285</v>
      </c>
      <c r="EU22" s="174">
        <f t="shared" si="198"/>
        <v>23212285</v>
      </c>
      <c r="EV22" s="174">
        <f t="shared" si="198"/>
        <v>23212285</v>
      </c>
      <c r="EW22" s="174">
        <f t="shared" si="198"/>
        <v>23212285</v>
      </c>
      <c r="EX22" s="174">
        <f t="shared" si="198"/>
        <v>23212285</v>
      </c>
      <c r="EY22" s="174">
        <f t="shared" si="198"/>
        <v>23212285</v>
      </c>
      <c r="EZ22" s="174">
        <f t="shared" si="198"/>
        <v>23212285</v>
      </c>
      <c r="FA22" s="174">
        <f t="shared" si="198"/>
        <v>23212285</v>
      </c>
      <c r="FB22" s="173">
        <f>+SUM(FC22:FN22)</f>
        <v>292474788</v>
      </c>
      <c r="FC22" s="174">
        <f>+ROUND((FA22*(1+FC5)),0)</f>
        <v>24372899</v>
      </c>
      <c r="FD22" s="174">
        <f>+FC22</f>
        <v>24372899</v>
      </c>
      <c r="FE22" s="174">
        <f t="shared" ref="FE22:FN22" si="199">+FD22</f>
        <v>24372899</v>
      </c>
      <c r="FF22" s="174">
        <f t="shared" si="199"/>
        <v>24372899</v>
      </c>
      <c r="FG22" s="174">
        <f t="shared" si="199"/>
        <v>24372899</v>
      </c>
      <c r="FH22" s="174">
        <f t="shared" si="199"/>
        <v>24372899</v>
      </c>
      <c r="FI22" s="174">
        <f t="shared" si="199"/>
        <v>24372899</v>
      </c>
      <c r="FJ22" s="174">
        <f t="shared" si="199"/>
        <v>24372899</v>
      </c>
      <c r="FK22" s="174">
        <f t="shared" si="199"/>
        <v>24372899</v>
      </c>
      <c r="FL22" s="174">
        <f t="shared" si="199"/>
        <v>24372899</v>
      </c>
      <c r="FM22" s="174">
        <f t="shared" si="199"/>
        <v>24372899</v>
      </c>
      <c r="FN22" s="174">
        <f t="shared" si="199"/>
        <v>24372899</v>
      </c>
      <c r="FO22" s="173">
        <f>+SUM(FP22:GA22)</f>
        <v>307098528</v>
      </c>
      <c r="FP22" s="174">
        <f>+ROUND((FN22*(1+FP5)),0)</f>
        <v>25591544</v>
      </c>
      <c r="FQ22" s="174">
        <f>+FP22</f>
        <v>25591544</v>
      </c>
      <c r="FR22" s="174">
        <f t="shared" ref="FR22:GA22" si="200">+FQ22</f>
        <v>25591544</v>
      </c>
      <c r="FS22" s="174">
        <f t="shared" si="200"/>
        <v>25591544</v>
      </c>
      <c r="FT22" s="174">
        <f t="shared" si="200"/>
        <v>25591544</v>
      </c>
      <c r="FU22" s="174">
        <f t="shared" si="200"/>
        <v>25591544</v>
      </c>
      <c r="FV22" s="174">
        <f t="shared" si="200"/>
        <v>25591544</v>
      </c>
      <c r="FW22" s="174">
        <f t="shared" si="200"/>
        <v>25591544</v>
      </c>
      <c r="FX22" s="174">
        <f t="shared" si="200"/>
        <v>25591544</v>
      </c>
      <c r="FY22" s="174">
        <f t="shared" si="200"/>
        <v>25591544</v>
      </c>
      <c r="FZ22" s="174">
        <f t="shared" si="200"/>
        <v>25591544</v>
      </c>
      <c r="GA22" s="174">
        <f t="shared" si="200"/>
        <v>25591544</v>
      </c>
      <c r="GB22" s="173">
        <f>+SUM(GC22:GG22)</f>
        <v>134355605</v>
      </c>
      <c r="GC22" s="174">
        <f>+ROUND((GA22*(1+GC5)),0)</f>
        <v>26871121</v>
      </c>
      <c r="GD22" s="174">
        <f>+GC22</f>
        <v>26871121</v>
      </c>
      <c r="GE22" s="174">
        <f t="shared" ref="GE22:GG22" si="201">+GD22</f>
        <v>26871121</v>
      </c>
      <c r="GF22" s="174">
        <f t="shared" si="201"/>
        <v>26871121</v>
      </c>
      <c r="GG22" s="174">
        <f t="shared" si="201"/>
        <v>26871121</v>
      </c>
    </row>
    <row r="23" spans="1:189" s="175" customFormat="1" ht="16.5" customHeight="1" x14ac:dyDescent="0.25">
      <c r="A23" s="80" t="s">
        <v>58</v>
      </c>
      <c r="B23" s="173">
        <f>+SUM(C23:N23)</f>
        <v>15264120</v>
      </c>
      <c r="C23" s="174">
        <f>+ROUND(((C15+C16-C22)*'DATOS ENTRADA'!$B$41),0)</f>
        <v>1246500</v>
      </c>
      <c r="D23" s="174">
        <f>+ROUND(((D15+D16-D22)*'DATOS ENTRADA'!$B$41),0)</f>
        <v>1246500</v>
      </c>
      <c r="E23" s="174">
        <f>+ROUND(((E15+E16-E22)*'DATOS ENTRADA'!$B$41),0)</f>
        <v>1277112</v>
      </c>
      <c r="F23" s="174">
        <f>+ROUND(((F15+F16-F22)*'DATOS ENTRADA'!$B$41),0)</f>
        <v>1277112</v>
      </c>
      <c r="G23" s="174">
        <f>+ROUND(((G15+G16-G22)*'DATOS ENTRADA'!$B$41),0)</f>
        <v>1277112</v>
      </c>
      <c r="H23" s="174">
        <f>+ROUND(((H15+H16-H22)*'DATOS ENTRADA'!$B$41),0)</f>
        <v>1277112</v>
      </c>
      <c r="I23" s="174">
        <f>+ROUND(((I15+I16-I22)*'DATOS ENTRADA'!$B$41),0)</f>
        <v>1277112</v>
      </c>
      <c r="J23" s="174">
        <f>+ROUND(((J15+J16-J22)*'DATOS ENTRADA'!$B$41),0)</f>
        <v>1277112</v>
      </c>
      <c r="K23" s="174">
        <f>+ROUND(((K15+K16-K22)*'DATOS ENTRADA'!$B$41),0)</f>
        <v>1277112</v>
      </c>
      <c r="L23" s="174">
        <f>+ROUND(((L15+L16-L22)*'DATOS ENTRADA'!$B$41),0)</f>
        <v>1277112</v>
      </c>
      <c r="M23" s="174">
        <f>+ROUND(((M15+M16-M22)*'DATOS ENTRADA'!$B$41),0)</f>
        <v>1277112</v>
      </c>
      <c r="N23" s="174">
        <f>+ROUND(((N15+N16-N22)*'DATOS ENTRADA'!$B$41),0)</f>
        <v>1277112</v>
      </c>
      <c r="O23" s="173">
        <f>+SUM(P23:AA23)</f>
        <v>18454594</v>
      </c>
      <c r="P23" s="174">
        <f>+ROUND(((P15+P16-P22)*'DATOS ENTRADA'!$B$41),0)</f>
        <v>1510842</v>
      </c>
      <c r="Q23" s="174">
        <f>+ROUND(((Q15+Q16-Q22)*'DATOS ENTRADA'!$B$41),0)</f>
        <v>1510842</v>
      </c>
      <c r="R23" s="174">
        <f>+ROUND(((R15+R16-R22)*'DATOS ENTRADA'!$B$41),0)</f>
        <v>1543291</v>
      </c>
      <c r="S23" s="174">
        <f>+ROUND(((S15+S16-S22)*'DATOS ENTRADA'!$B$41),0)</f>
        <v>1543291</v>
      </c>
      <c r="T23" s="174">
        <f>+ROUND(((T15+T16-T22)*'DATOS ENTRADA'!$B$41),0)</f>
        <v>1543291</v>
      </c>
      <c r="U23" s="174">
        <f>+ROUND(((U15+U16-U22)*'DATOS ENTRADA'!$B$41),0)</f>
        <v>1543291</v>
      </c>
      <c r="V23" s="174">
        <f>+ROUND(((V15+V16-V22)*'DATOS ENTRADA'!$B$41),0)</f>
        <v>1543291</v>
      </c>
      <c r="W23" s="174">
        <f>+ROUND(((W15+W16-W22)*'DATOS ENTRADA'!$B$41),0)</f>
        <v>1543291</v>
      </c>
      <c r="X23" s="174">
        <f>+ROUND(((X15+X16-X22)*'DATOS ENTRADA'!$B$41),0)</f>
        <v>1543291</v>
      </c>
      <c r="Y23" s="174">
        <f>+ROUND(((Y15+Y16-Y22)*'DATOS ENTRADA'!$B$41),0)</f>
        <v>1543291</v>
      </c>
      <c r="Z23" s="174">
        <f>+ROUND(((Z15+Z16-Z22)*'DATOS ENTRADA'!$B$41),0)</f>
        <v>1543291</v>
      </c>
      <c r="AA23" s="174">
        <f>+ROUND(((AA15+AA16-AA22)*'DATOS ENTRADA'!$B$41),0)</f>
        <v>1543291</v>
      </c>
      <c r="AB23" s="173">
        <f>+SUM(AC23:AN23)</f>
        <v>19630276</v>
      </c>
      <c r="AC23" s="174">
        <f>+ROUND(((AC15+AC16-AC22)*'DATOS ENTRADA'!$B$41),0)</f>
        <v>1607193</v>
      </c>
      <c r="AD23" s="174">
        <f>+ROUND(((AD15+AD16-AD22)*'DATOS ENTRADA'!$B$41),0)</f>
        <v>1607193</v>
      </c>
      <c r="AE23" s="174">
        <f>+ROUND(((AE15+AE16-AE22)*'DATOS ENTRADA'!$B$41),0)</f>
        <v>1641589</v>
      </c>
      <c r="AF23" s="174">
        <f>+ROUND(((AF15+AF16-AF22)*'DATOS ENTRADA'!$B$41),0)</f>
        <v>1641589</v>
      </c>
      <c r="AG23" s="174">
        <f>+ROUND(((AG15+AG16-AG22)*'DATOS ENTRADA'!$B$41),0)</f>
        <v>1641589</v>
      </c>
      <c r="AH23" s="174">
        <f>+ROUND(((AH15+AH16-AH22)*'DATOS ENTRADA'!$B$41),0)</f>
        <v>1641589</v>
      </c>
      <c r="AI23" s="174">
        <f>+ROUND(((AI15+AI16-AI22)*'DATOS ENTRADA'!$B$41),0)</f>
        <v>1641589</v>
      </c>
      <c r="AJ23" s="174">
        <f>+ROUND(((AJ15+AJ16-AJ22)*'DATOS ENTRADA'!$B$41),0)</f>
        <v>1641589</v>
      </c>
      <c r="AK23" s="174">
        <f>+ROUND(((AK15+AK16-AK22)*'DATOS ENTRADA'!$B$41),0)</f>
        <v>1641589</v>
      </c>
      <c r="AL23" s="174">
        <f>+ROUND(((AL15+AL16-AL22)*'DATOS ENTRADA'!$B$41),0)</f>
        <v>1641589</v>
      </c>
      <c r="AM23" s="174">
        <f>+ROUND(((AM15+AM16-AM22)*'DATOS ENTRADA'!$B$41),0)</f>
        <v>1641589</v>
      </c>
      <c r="AN23" s="174">
        <f>+ROUND(((AN15+AN16-AN22)*'DATOS ENTRADA'!$B$41),0)</f>
        <v>1641589</v>
      </c>
      <c r="AO23" s="173">
        <f>+SUM(AP23:BA23)</f>
        <v>20879910</v>
      </c>
      <c r="AP23" s="174">
        <f>+ROUND(((AP15+AP16-AP22)*'DATOS ENTRADA'!$B$41),0)</f>
        <v>1709610</v>
      </c>
      <c r="AQ23" s="174">
        <f>+ROUND(((AQ15+AQ16-AQ22)*'DATOS ENTRADA'!$B$41),0)</f>
        <v>1709610</v>
      </c>
      <c r="AR23" s="174">
        <f>+ROUND(((AR15+AR16-AR22)*'DATOS ENTRADA'!$B$41),0)</f>
        <v>1746069</v>
      </c>
      <c r="AS23" s="174">
        <f>+ROUND(((AS15+AS16-AS22)*'DATOS ENTRADA'!$B$41),0)</f>
        <v>1746069</v>
      </c>
      <c r="AT23" s="174">
        <f>+ROUND(((AT15+AT16-AT22)*'DATOS ENTRADA'!$B$41),0)</f>
        <v>1746069</v>
      </c>
      <c r="AU23" s="174">
        <f>+ROUND(((AU15+AU16-AU22)*'DATOS ENTRADA'!$B$41),0)</f>
        <v>1746069</v>
      </c>
      <c r="AV23" s="174">
        <f>+ROUND(((AV15+AV16-AV22)*'DATOS ENTRADA'!$B$41),0)</f>
        <v>1746069</v>
      </c>
      <c r="AW23" s="174">
        <f>+ROUND(((AW15+AW16-AW22)*'DATOS ENTRADA'!$B$41),0)</f>
        <v>1746069</v>
      </c>
      <c r="AX23" s="174">
        <f>+ROUND(((AX15+AX16-AX22)*'DATOS ENTRADA'!$B$41),0)</f>
        <v>1746069</v>
      </c>
      <c r="AY23" s="174">
        <f>+ROUND(((AY15+AY16-AY22)*'DATOS ENTRADA'!$B$41),0)</f>
        <v>1746069</v>
      </c>
      <c r="AZ23" s="174">
        <f>+ROUND(((AZ15+AZ16-AZ22)*'DATOS ENTRADA'!$B$41),0)</f>
        <v>1746069</v>
      </c>
      <c r="BA23" s="174">
        <f>+ROUND(((BA15+BA16-BA22)*'DATOS ENTRADA'!$B$41),0)</f>
        <v>1746069</v>
      </c>
      <c r="BB23" s="173">
        <f>+SUM(BC23:BN23)</f>
        <v>17428767</v>
      </c>
      <c r="BC23" s="174">
        <f>+ROUND(((BC15+BC16-BC22)*'DATOS ENTRADA'!$B$41),0)</f>
        <v>1818471</v>
      </c>
      <c r="BD23" s="174">
        <f>+ROUND(((BD15+BD16-BD22)*'DATOS ENTRADA'!$B$41),0)</f>
        <v>1818471</v>
      </c>
      <c r="BE23" s="174">
        <f>+ROUND(((BE15+BE16-BE22)*'DATOS ENTRADA'!$B$41),0)</f>
        <v>1857118</v>
      </c>
      <c r="BF23" s="174">
        <f>+ROUND(((BF15+BF16-BF22)*'DATOS ENTRADA'!$B$41),0)</f>
        <v>1857118</v>
      </c>
      <c r="BG23" s="174">
        <f>+ROUND(((BG15+BG16-BG22)*'DATOS ENTRADA'!$B$41),0)</f>
        <v>1857118</v>
      </c>
      <c r="BH23" s="174">
        <f>+ROUND(((BH15+BH16-BH22)*'DATOS ENTRADA'!$B$41),0)</f>
        <v>1174353</v>
      </c>
      <c r="BI23" s="174">
        <f>+ROUND(((BI15+BI16-BI22)*'DATOS ENTRADA'!$B$41),0)</f>
        <v>1174353</v>
      </c>
      <c r="BJ23" s="174">
        <f>+ROUND(((BJ15+BJ16-BJ22)*'DATOS ENTRADA'!$B$41),0)</f>
        <v>1174353</v>
      </c>
      <c r="BK23" s="174">
        <f>+ROUND(((BK15+BK16-BK22)*'DATOS ENTRADA'!$B$41),0)</f>
        <v>1174353</v>
      </c>
      <c r="BL23" s="174">
        <f>+ROUND(((BL15+BL16-BL22)*'DATOS ENTRADA'!$B$41),0)</f>
        <v>1174353</v>
      </c>
      <c r="BM23" s="174">
        <f>+ROUND(((BM15+BM16-BM22)*'DATOS ENTRADA'!$B$41),0)</f>
        <v>1174353</v>
      </c>
      <c r="BN23" s="174">
        <f>+ROUND(((BN15+BN16-BN22)*'DATOS ENTRADA'!$B$41),0)</f>
        <v>1174353</v>
      </c>
      <c r="BO23" s="173">
        <f>+SUM(BP23:CA23)</f>
        <v>15016956</v>
      </c>
      <c r="BP23" s="174">
        <f>+ROUND(((BP15+BP16-BP22)*'DATOS ENTRADA'!$B$41),0)</f>
        <v>1251413</v>
      </c>
      <c r="BQ23" s="174">
        <f>+ROUND(((BQ15+BQ16-BQ22)*'DATOS ENTRADA'!$B$41),0)</f>
        <v>1251413</v>
      </c>
      <c r="BR23" s="174">
        <f>+ROUND(((BR15+BR16-BR22)*'DATOS ENTRADA'!$B$41),0)</f>
        <v>1251413</v>
      </c>
      <c r="BS23" s="174">
        <f>+ROUND(((BS15+BS16-BS22)*'DATOS ENTRADA'!$B$41),0)</f>
        <v>1251413</v>
      </c>
      <c r="BT23" s="174">
        <f>+ROUND(((BT15+BT16-BT22)*'DATOS ENTRADA'!$B$41),0)</f>
        <v>1251413</v>
      </c>
      <c r="BU23" s="174">
        <f>+ROUND(((BU15+BU16-BU22)*'DATOS ENTRADA'!$B$41),0)</f>
        <v>1251413</v>
      </c>
      <c r="BV23" s="174">
        <f>+ROUND(((BV15+BV16-BV22)*'DATOS ENTRADA'!$B$41),0)</f>
        <v>1251413</v>
      </c>
      <c r="BW23" s="174">
        <f>+ROUND(((BW15+BW16-BW22)*'DATOS ENTRADA'!$B$41),0)</f>
        <v>1251413</v>
      </c>
      <c r="BX23" s="174">
        <f>+ROUND(((BX15+BX16-BX22)*'DATOS ENTRADA'!$B$41),0)</f>
        <v>1251413</v>
      </c>
      <c r="BY23" s="174">
        <f>+ROUND(((BY15+BY16-BY22)*'DATOS ENTRADA'!$B$41),0)</f>
        <v>1251413</v>
      </c>
      <c r="BZ23" s="174">
        <f>+ROUND(((BZ15+BZ16-BZ22)*'DATOS ENTRADA'!$B$41),0)</f>
        <v>1251413</v>
      </c>
      <c r="CA23" s="174">
        <f>+ROUND(((CA15+CA16-CA22)*'DATOS ENTRADA'!$B$41),0)</f>
        <v>1251413</v>
      </c>
      <c r="CB23" s="173">
        <f>+SUM(CC23:CN23)</f>
        <v>16001112</v>
      </c>
      <c r="CC23" s="174">
        <f>+ROUND(((CC15+CC16-CC22)*'DATOS ENTRADA'!$B$41),0)</f>
        <v>1333426</v>
      </c>
      <c r="CD23" s="174">
        <f>+ROUND(((CD15+CD16-CD22)*'DATOS ENTRADA'!$B$41),0)</f>
        <v>1333426</v>
      </c>
      <c r="CE23" s="174">
        <f>+ROUND(((CE15+CE16-CE22)*'DATOS ENTRADA'!$B$41),0)</f>
        <v>1333426</v>
      </c>
      <c r="CF23" s="174">
        <f>+ROUND(((CF15+CF16-CF22)*'DATOS ENTRADA'!$B$41),0)</f>
        <v>1333426</v>
      </c>
      <c r="CG23" s="174">
        <f>+ROUND(((CG15+CG16-CG22)*'DATOS ENTRADA'!$B$41),0)</f>
        <v>1333426</v>
      </c>
      <c r="CH23" s="174">
        <f>+ROUND(((CH15+CH16-CH22)*'DATOS ENTRADA'!$B$41),0)</f>
        <v>1333426</v>
      </c>
      <c r="CI23" s="174">
        <f>+ROUND(((CI15+CI16-CI22)*'DATOS ENTRADA'!$B$41),0)</f>
        <v>1333426</v>
      </c>
      <c r="CJ23" s="174">
        <f>+ROUND(((CJ15+CJ16-CJ22)*'DATOS ENTRADA'!$B$41),0)</f>
        <v>1333426</v>
      </c>
      <c r="CK23" s="174">
        <f>+ROUND(((CK15+CK16-CK22)*'DATOS ENTRADA'!$B$41),0)</f>
        <v>1333426</v>
      </c>
      <c r="CL23" s="174">
        <f>+ROUND(((CL15+CL16-CL22)*'DATOS ENTRADA'!$B$41),0)</f>
        <v>1333426</v>
      </c>
      <c r="CM23" s="174">
        <f>+ROUND(((CM15+CM16-CM22)*'DATOS ENTRADA'!$B$41),0)</f>
        <v>1333426</v>
      </c>
      <c r="CN23" s="174">
        <f>+ROUND(((CN15+CN16-CN22)*'DATOS ENTRADA'!$B$41),0)</f>
        <v>1333426</v>
      </c>
      <c r="CO23" s="173">
        <f>+SUM(CP23:DA23)</f>
        <v>17048484</v>
      </c>
      <c r="CP23" s="174">
        <f>+ROUND(((CP15+CP16-CP22)*'DATOS ENTRADA'!$B$41),0)</f>
        <v>1420707</v>
      </c>
      <c r="CQ23" s="174">
        <f>+ROUND(((CQ15+CQ16-CQ22)*'DATOS ENTRADA'!$B$41),0)</f>
        <v>1420707</v>
      </c>
      <c r="CR23" s="174">
        <f>+ROUND(((CR15+CR16-CR22)*'DATOS ENTRADA'!$B$41),0)</f>
        <v>1420707</v>
      </c>
      <c r="CS23" s="174">
        <f>+ROUND(((CS15+CS16-CS22)*'DATOS ENTRADA'!$B$41),0)</f>
        <v>1420707</v>
      </c>
      <c r="CT23" s="174">
        <f>+ROUND(((CT15+CT16-CT22)*'DATOS ENTRADA'!$B$41),0)</f>
        <v>1420707</v>
      </c>
      <c r="CU23" s="174">
        <f>+ROUND(((CU15+CU16-CU22)*'DATOS ENTRADA'!$B$41),0)</f>
        <v>1420707</v>
      </c>
      <c r="CV23" s="174">
        <f>+ROUND(((CV15+CV16-CV22)*'DATOS ENTRADA'!$B$41),0)</f>
        <v>1420707</v>
      </c>
      <c r="CW23" s="174">
        <f>+ROUND(((CW15+CW16-CW22)*'DATOS ENTRADA'!$B$41),0)</f>
        <v>1420707</v>
      </c>
      <c r="CX23" s="174">
        <f>+ROUND(((CX15+CX16-CX22)*'DATOS ENTRADA'!$B$41),0)</f>
        <v>1420707</v>
      </c>
      <c r="CY23" s="174">
        <f>+ROUND(((CY15+CY16-CY22)*'DATOS ENTRADA'!$B$41),0)</f>
        <v>1420707</v>
      </c>
      <c r="CZ23" s="174">
        <f>+ROUND(((CZ15+CZ16-CZ22)*'DATOS ENTRADA'!$B$41),0)</f>
        <v>1420707</v>
      </c>
      <c r="DA23" s="174">
        <f>+ROUND(((DA15+DA16-DA22)*'DATOS ENTRADA'!$B$41),0)</f>
        <v>1420707</v>
      </c>
      <c r="DB23" s="173">
        <f>+SUM(DC23:DN23)</f>
        <v>18163056</v>
      </c>
      <c r="DC23" s="174">
        <f>+ROUND(((DC15+DC16-DC22)*'DATOS ENTRADA'!$B$41),0)</f>
        <v>1513588</v>
      </c>
      <c r="DD23" s="174">
        <f>+ROUND(((DD15+DD16-DD22)*'DATOS ENTRADA'!$B$41),0)</f>
        <v>1513588</v>
      </c>
      <c r="DE23" s="174">
        <f>+ROUND(((DE15+DE16-DE22)*'DATOS ENTRADA'!$B$41),0)</f>
        <v>1513588</v>
      </c>
      <c r="DF23" s="174">
        <f>+ROUND(((DF15+DF16-DF22)*'DATOS ENTRADA'!$B$41),0)</f>
        <v>1513588</v>
      </c>
      <c r="DG23" s="174">
        <f>+ROUND(((DG15+DG16-DG22)*'DATOS ENTRADA'!$B$41),0)</f>
        <v>1513588</v>
      </c>
      <c r="DH23" s="174">
        <f>+ROUND(((DH15+DH16-DH22)*'DATOS ENTRADA'!$B$41),0)</f>
        <v>1513588</v>
      </c>
      <c r="DI23" s="174">
        <f>+ROUND(((DI15+DI16-DI22)*'DATOS ENTRADA'!$B$41),0)</f>
        <v>1513588</v>
      </c>
      <c r="DJ23" s="174">
        <f>+ROUND(((DJ15+DJ16-DJ22)*'DATOS ENTRADA'!$B$41),0)</f>
        <v>1513588</v>
      </c>
      <c r="DK23" s="174">
        <f>+ROUND(((DK15+DK16-DK22)*'DATOS ENTRADA'!$B$41),0)</f>
        <v>1513588</v>
      </c>
      <c r="DL23" s="174">
        <f>+ROUND(((DL15+DL16-DL22)*'DATOS ENTRADA'!$B$41),0)</f>
        <v>1513588</v>
      </c>
      <c r="DM23" s="174">
        <f>+ROUND(((DM15+DM16-DM22)*'DATOS ENTRADA'!$B$41),0)</f>
        <v>1513588</v>
      </c>
      <c r="DN23" s="174">
        <f>+ROUND(((DN15+DN16-DN22)*'DATOS ENTRADA'!$B$41),0)</f>
        <v>1513588</v>
      </c>
      <c r="DO23" s="173">
        <f>+SUM(DP23:EA23)</f>
        <v>19349088</v>
      </c>
      <c r="DP23" s="174">
        <f>+ROUND(((DP15+DP16-DP22)*'DATOS ENTRADA'!$B$41),0)</f>
        <v>1612424</v>
      </c>
      <c r="DQ23" s="174">
        <f>+ROUND(((DQ15+DQ16-DQ22)*'DATOS ENTRADA'!$B$41),0)</f>
        <v>1612424</v>
      </c>
      <c r="DR23" s="174">
        <f>+ROUND(((DR15+DR16-DR22)*'DATOS ENTRADA'!$B$41),0)</f>
        <v>1612424</v>
      </c>
      <c r="DS23" s="174">
        <f>+ROUND(((DS15+DS16-DS22)*'DATOS ENTRADA'!$B$41),0)</f>
        <v>1612424</v>
      </c>
      <c r="DT23" s="174">
        <f>+ROUND(((DT15+DT16-DT22)*'DATOS ENTRADA'!$B$41),0)</f>
        <v>1612424</v>
      </c>
      <c r="DU23" s="174">
        <f>+ROUND(((DU15+DU16-DU22)*'DATOS ENTRADA'!$B$41),0)</f>
        <v>1612424</v>
      </c>
      <c r="DV23" s="174">
        <f>+ROUND(((DV15+DV16-DV22)*'DATOS ENTRADA'!$B$41),0)</f>
        <v>1612424</v>
      </c>
      <c r="DW23" s="174">
        <f>+ROUND(((DW15+DW16-DW22)*'DATOS ENTRADA'!$B$41),0)</f>
        <v>1612424</v>
      </c>
      <c r="DX23" s="174">
        <f>+ROUND(((DX15+DX16-DX22)*'DATOS ENTRADA'!$B$41),0)</f>
        <v>1612424</v>
      </c>
      <c r="DY23" s="174">
        <f>+ROUND(((DY15+DY16-DY22)*'DATOS ENTRADA'!$B$41),0)</f>
        <v>1612424</v>
      </c>
      <c r="DZ23" s="174">
        <f>+ROUND(((DZ15+DZ16-DZ22)*'DATOS ENTRADA'!$B$41),0)</f>
        <v>1612424</v>
      </c>
      <c r="EA23" s="174">
        <f>+ROUND(((EA15+EA16-EA22)*'DATOS ENTRADA'!$B$41),0)</f>
        <v>1612424</v>
      </c>
      <c r="EB23" s="173">
        <f>+SUM(EC23:EN23)</f>
        <v>20611092</v>
      </c>
      <c r="EC23" s="174">
        <f>+ROUND(((EC15+EC16-EC22)*'DATOS ENTRADA'!$B$41),0)</f>
        <v>1717591</v>
      </c>
      <c r="ED23" s="174">
        <f>+ROUND(((ED15+ED16-ED22)*'DATOS ENTRADA'!$B$41),0)</f>
        <v>1717591</v>
      </c>
      <c r="EE23" s="174">
        <f>+ROUND(((EE15+EE16-EE22)*'DATOS ENTRADA'!$B$41),0)</f>
        <v>1717591</v>
      </c>
      <c r="EF23" s="174">
        <f>+ROUND(((EF15+EF16-EF22)*'DATOS ENTRADA'!$B$41),0)</f>
        <v>1717591</v>
      </c>
      <c r="EG23" s="174">
        <f>+ROUND(((EG15+EG16-EG22)*'DATOS ENTRADA'!$B$41),0)</f>
        <v>1717591</v>
      </c>
      <c r="EH23" s="174">
        <f>+ROUND(((EH15+EH16-EH22)*'DATOS ENTRADA'!$B$41),0)</f>
        <v>1717591</v>
      </c>
      <c r="EI23" s="174">
        <f>+ROUND(((EI15+EI16-EI22)*'DATOS ENTRADA'!$B$41),0)</f>
        <v>1717591</v>
      </c>
      <c r="EJ23" s="174">
        <f>+ROUND(((EJ15+EJ16-EJ22)*'DATOS ENTRADA'!$B$41),0)</f>
        <v>1717591</v>
      </c>
      <c r="EK23" s="174">
        <f>+ROUND(((EK15+EK16-EK22)*'DATOS ENTRADA'!$B$41),0)</f>
        <v>1717591</v>
      </c>
      <c r="EL23" s="174">
        <f>+ROUND(((EL15+EL16-EL22)*'DATOS ENTRADA'!$B$41),0)</f>
        <v>1717591</v>
      </c>
      <c r="EM23" s="174">
        <f>+ROUND(((EM15+EM16-EM22)*'DATOS ENTRADA'!$B$41),0)</f>
        <v>1717591</v>
      </c>
      <c r="EN23" s="174">
        <f>+ROUND(((EN15+EN16-EN22)*'DATOS ENTRADA'!$B$41),0)</f>
        <v>1717591</v>
      </c>
      <c r="EO23" s="173">
        <f>+SUM(EP23:FA23)</f>
        <v>21953868</v>
      </c>
      <c r="EP23" s="174">
        <f>+ROUND(((EP15+EP16-EP22)*'DATOS ENTRADA'!$B$41),0)</f>
        <v>1829489</v>
      </c>
      <c r="EQ23" s="174">
        <f>+ROUND(((EQ15+EQ16-EQ22)*'DATOS ENTRADA'!$B$41),0)</f>
        <v>1829489</v>
      </c>
      <c r="ER23" s="174">
        <f>+ROUND(((ER15+ER16-ER22)*'DATOS ENTRADA'!$B$41),0)</f>
        <v>1829489</v>
      </c>
      <c r="ES23" s="174">
        <f>+ROUND(((ES15+ES16-ES22)*'DATOS ENTRADA'!$B$41),0)</f>
        <v>1829489</v>
      </c>
      <c r="ET23" s="174">
        <f>+ROUND(((ET15+ET16-ET22)*'DATOS ENTRADA'!$B$41),0)</f>
        <v>1829489</v>
      </c>
      <c r="EU23" s="174">
        <f>+ROUND(((EU15+EU16-EU22)*'DATOS ENTRADA'!$B$41),0)</f>
        <v>1829489</v>
      </c>
      <c r="EV23" s="174">
        <f>+ROUND(((EV15+EV16-EV22)*'DATOS ENTRADA'!$B$41),0)</f>
        <v>1829489</v>
      </c>
      <c r="EW23" s="174">
        <f>+ROUND(((EW15+EW16-EW22)*'DATOS ENTRADA'!$B$41),0)</f>
        <v>1829489</v>
      </c>
      <c r="EX23" s="174">
        <f>+ROUND(((EX15+EX16-EX22)*'DATOS ENTRADA'!$B$41),0)</f>
        <v>1829489</v>
      </c>
      <c r="EY23" s="174">
        <f>+ROUND(((EY15+EY16-EY22)*'DATOS ENTRADA'!$B$41),0)</f>
        <v>1829489</v>
      </c>
      <c r="EZ23" s="174">
        <f>+ROUND(((EZ15+EZ16-EZ22)*'DATOS ENTRADA'!$B$41),0)</f>
        <v>1829489</v>
      </c>
      <c r="FA23" s="174">
        <f>+ROUND(((FA15+FA16-FA22)*'DATOS ENTRADA'!$B$41),0)</f>
        <v>1829489</v>
      </c>
      <c r="FB23" s="173">
        <f>+SUM(FC23:FN23)</f>
        <v>23382528</v>
      </c>
      <c r="FC23" s="174">
        <f>+ROUND(((FC15+FC16-FC22)*'DATOS ENTRADA'!$B$41),0)</f>
        <v>1948544</v>
      </c>
      <c r="FD23" s="174">
        <f>+ROUND(((FD15+FD16-FD22)*'DATOS ENTRADA'!$B$41),0)</f>
        <v>1948544</v>
      </c>
      <c r="FE23" s="174">
        <f>+ROUND(((FE15+FE16-FE22)*'DATOS ENTRADA'!$B$41),0)</f>
        <v>1948544</v>
      </c>
      <c r="FF23" s="174">
        <f>+ROUND(((FF15+FF16-FF22)*'DATOS ENTRADA'!$B$41),0)</f>
        <v>1948544</v>
      </c>
      <c r="FG23" s="174">
        <f>+ROUND(((FG15+FG16-FG22)*'DATOS ENTRADA'!$B$41),0)</f>
        <v>1948544</v>
      </c>
      <c r="FH23" s="174">
        <f>+ROUND(((FH15+FH16-FH22)*'DATOS ENTRADA'!$B$41),0)</f>
        <v>1948544</v>
      </c>
      <c r="FI23" s="174">
        <f>+ROUND(((FI15+FI16-FI22)*'DATOS ENTRADA'!$B$41),0)</f>
        <v>1948544</v>
      </c>
      <c r="FJ23" s="174">
        <f>+ROUND(((FJ15+FJ16-FJ22)*'DATOS ENTRADA'!$B$41),0)</f>
        <v>1948544</v>
      </c>
      <c r="FK23" s="174">
        <f>+ROUND(((FK15+FK16-FK22)*'DATOS ENTRADA'!$B$41),0)</f>
        <v>1948544</v>
      </c>
      <c r="FL23" s="174">
        <f>+ROUND(((FL15+FL16-FL22)*'DATOS ENTRADA'!$B$41),0)</f>
        <v>1948544</v>
      </c>
      <c r="FM23" s="174">
        <f>+ROUND(((FM15+FM16-FM22)*'DATOS ENTRADA'!$B$41),0)</f>
        <v>1948544</v>
      </c>
      <c r="FN23" s="174">
        <f>+ROUND(((FN15+FN16-FN22)*'DATOS ENTRADA'!$B$41),0)</f>
        <v>1948544</v>
      </c>
      <c r="FO23" s="173">
        <f>+SUM(FP23:GA23)</f>
        <v>24902460</v>
      </c>
      <c r="FP23" s="174">
        <f>+ROUND(((FP15+FP16-FP22)*'DATOS ENTRADA'!$B$41),0)</f>
        <v>2075205</v>
      </c>
      <c r="FQ23" s="174">
        <f>+ROUND(((FQ15+FQ16-FQ22)*'DATOS ENTRADA'!$B$41),0)</f>
        <v>2075205</v>
      </c>
      <c r="FR23" s="174">
        <f>+ROUND(((FR15+FR16-FR22)*'DATOS ENTRADA'!$B$41),0)</f>
        <v>2075205</v>
      </c>
      <c r="FS23" s="174">
        <f>+ROUND(((FS15+FS16-FS22)*'DATOS ENTRADA'!$B$41),0)</f>
        <v>2075205</v>
      </c>
      <c r="FT23" s="174">
        <f>+ROUND(((FT15+FT16-FT22)*'DATOS ENTRADA'!$B$41),0)</f>
        <v>2075205</v>
      </c>
      <c r="FU23" s="174">
        <f>+ROUND(((FU15+FU16-FU22)*'DATOS ENTRADA'!$B$41),0)</f>
        <v>2075205</v>
      </c>
      <c r="FV23" s="174">
        <f>+ROUND(((FV15+FV16-FV22)*'DATOS ENTRADA'!$B$41),0)</f>
        <v>2075205</v>
      </c>
      <c r="FW23" s="174">
        <f>+ROUND(((FW15+FW16-FW22)*'DATOS ENTRADA'!$B$41),0)</f>
        <v>2075205</v>
      </c>
      <c r="FX23" s="174">
        <f>+ROUND(((FX15+FX16-FX22)*'DATOS ENTRADA'!$B$41),0)</f>
        <v>2075205</v>
      </c>
      <c r="FY23" s="174">
        <f>+ROUND(((FY15+FY16-FY22)*'DATOS ENTRADA'!$B$41),0)</f>
        <v>2075205</v>
      </c>
      <c r="FZ23" s="174">
        <f>+ROUND(((FZ15+FZ16-FZ22)*'DATOS ENTRADA'!$B$41),0)</f>
        <v>2075205</v>
      </c>
      <c r="GA23" s="174">
        <f>+ROUND(((GA15+GA16-GA22)*'DATOS ENTRADA'!$B$41),0)</f>
        <v>2075205</v>
      </c>
      <c r="GB23" s="173">
        <f>+SUM(GC23:GG23)</f>
        <v>11049770</v>
      </c>
      <c r="GC23" s="174">
        <f>+ROUND(((GC15+GC16-GC22)*'DATOS ENTRADA'!$B$41),0)</f>
        <v>2209954</v>
      </c>
      <c r="GD23" s="174">
        <f>+ROUND(((GD15+GD16-GD22)*'DATOS ENTRADA'!$B$41),0)</f>
        <v>2209954</v>
      </c>
      <c r="GE23" s="174">
        <f>+ROUND(((GE15+GE16-GE22)*'DATOS ENTRADA'!$B$41),0)</f>
        <v>2209954</v>
      </c>
      <c r="GF23" s="174">
        <f>+ROUND(((GF15+GF16-GF22)*'DATOS ENTRADA'!$B$41),0)</f>
        <v>2209954</v>
      </c>
      <c r="GG23" s="174">
        <f>+ROUND(((GG15+GG16-GG22)*'DATOS ENTRADA'!$B$41),0)</f>
        <v>2209954</v>
      </c>
    </row>
    <row r="24" spans="1:189" s="175" customFormat="1" ht="16.5" customHeight="1" x14ac:dyDescent="0.25">
      <c r="A24" s="80"/>
      <c r="B24" s="173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3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3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3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3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3"/>
      <c r="CC24" s="174"/>
      <c r="CD24" s="174"/>
      <c r="CE24" s="174"/>
      <c r="CF24" s="174"/>
      <c r="CG24" s="174"/>
      <c r="CH24" s="174"/>
      <c r="CI24" s="174"/>
      <c r="CJ24" s="174"/>
      <c r="CK24" s="174"/>
      <c r="CL24" s="174"/>
      <c r="CM24" s="174"/>
      <c r="CN24" s="174"/>
      <c r="CO24" s="173"/>
      <c r="CP24" s="174"/>
      <c r="CQ24" s="174"/>
      <c r="CR24" s="174"/>
      <c r="CS24" s="174"/>
      <c r="CT24" s="174"/>
      <c r="CU24" s="174"/>
      <c r="CV24" s="174"/>
      <c r="CW24" s="174"/>
      <c r="CX24" s="174"/>
      <c r="CY24" s="174"/>
      <c r="CZ24" s="174"/>
      <c r="DA24" s="174"/>
      <c r="DB24" s="173"/>
      <c r="DC24" s="174"/>
      <c r="DD24" s="174"/>
      <c r="DE24" s="174"/>
      <c r="DF24" s="174"/>
      <c r="DG24" s="174"/>
      <c r="DH24" s="174"/>
      <c r="DI24" s="174"/>
      <c r="DJ24" s="174"/>
      <c r="DK24" s="174"/>
      <c r="DL24" s="174"/>
      <c r="DM24" s="174"/>
      <c r="DN24" s="174"/>
      <c r="DO24" s="173"/>
      <c r="DP24" s="174"/>
      <c r="DQ24" s="174"/>
      <c r="DR24" s="174"/>
      <c r="DS24" s="174"/>
      <c r="DT24" s="174"/>
      <c r="DU24" s="174"/>
      <c r="DV24" s="174"/>
      <c r="DW24" s="174"/>
      <c r="DX24" s="174"/>
      <c r="DY24" s="174"/>
      <c r="DZ24" s="174"/>
      <c r="EA24" s="174"/>
      <c r="EB24" s="173"/>
      <c r="EC24" s="174"/>
      <c r="ED24" s="174"/>
      <c r="EE24" s="174"/>
      <c r="EF24" s="174"/>
      <c r="EG24" s="174"/>
      <c r="EH24" s="174"/>
      <c r="EI24" s="174"/>
      <c r="EJ24" s="174"/>
      <c r="EK24" s="174"/>
      <c r="EL24" s="174"/>
      <c r="EM24" s="174"/>
      <c r="EN24" s="174"/>
      <c r="EO24" s="173"/>
      <c r="EP24" s="174"/>
      <c r="EQ24" s="174"/>
      <c r="ER24" s="174"/>
      <c r="ES24" s="174"/>
      <c r="ET24" s="174"/>
      <c r="EU24" s="174"/>
      <c r="EV24" s="174"/>
      <c r="EW24" s="174"/>
      <c r="EX24" s="174"/>
      <c r="EY24" s="174"/>
      <c r="EZ24" s="174"/>
      <c r="FA24" s="174"/>
      <c r="FB24" s="173"/>
      <c r="FC24" s="174"/>
      <c r="FD24" s="174"/>
      <c r="FE24" s="174"/>
      <c r="FF24" s="174"/>
      <c r="FG24" s="174"/>
      <c r="FH24" s="174"/>
      <c r="FI24" s="174"/>
      <c r="FJ24" s="174"/>
      <c r="FK24" s="174"/>
      <c r="FL24" s="174"/>
      <c r="FM24" s="174"/>
      <c r="FN24" s="174"/>
      <c r="FO24" s="173"/>
      <c r="FP24" s="174"/>
      <c r="FQ24" s="174"/>
      <c r="FR24" s="174"/>
      <c r="FS24" s="174"/>
      <c r="FT24" s="174"/>
      <c r="FU24" s="174"/>
      <c r="FV24" s="174"/>
      <c r="FW24" s="174"/>
      <c r="FX24" s="174"/>
      <c r="FY24" s="174"/>
      <c r="FZ24" s="174"/>
      <c r="GA24" s="174"/>
      <c r="GB24" s="173"/>
      <c r="GC24" s="174"/>
      <c r="GD24" s="174"/>
      <c r="GE24" s="174"/>
      <c r="GF24" s="174"/>
      <c r="GG24" s="174"/>
    </row>
    <row r="25" spans="1:189" s="182" customFormat="1" ht="16.5" customHeight="1" x14ac:dyDescent="0.25">
      <c r="A25" s="249" t="s">
        <v>103</v>
      </c>
      <c r="B25" s="250">
        <f>+SUM(B26:B32)</f>
        <v>237871415</v>
      </c>
      <c r="C25" s="250">
        <f>+SUM(C26:C32)</f>
        <v>10490766</v>
      </c>
      <c r="D25" s="250">
        <f t="shared" ref="D25:AG25" si="202">+SUM(D26:D32)</f>
        <v>12187466</v>
      </c>
      <c r="E25" s="250">
        <f t="shared" si="202"/>
        <v>13884167</v>
      </c>
      <c r="F25" s="250">
        <f t="shared" si="202"/>
        <v>15580867</v>
      </c>
      <c r="G25" s="250">
        <f t="shared" si="202"/>
        <v>17277567</v>
      </c>
      <c r="H25" s="250">
        <f t="shared" si="202"/>
        <v>18974268</v>
      </c>
      <c r="I25" s="250">
        <f t="shared" si="202"/>
        <v>20670968</v>
      </c>
      <c r="J25" s="250">
        <f t="shared" si="202"/>
        <v>22367668</v>
      </c>
      <c r="K25" s="250">
        <f t="shared" si="202"/>
        <v>24064369</v>
      </c>
      <c r="L25" s="250">
        <f t="shared" si="202"/>
        <v>25761069</v>
      </c>
      <c r="M25" s="250">
        <f t="shared" si="202"/>
        <v>27457770</v>
      </c>
      <c r="N25" s="250">
        <f t="shared" si="202"/>
        <v>29154470</v>
      </c>
      <c r="O25" s="250">
        <f>+SUM(O26:O32)</f>
        <v>351161220</v>
      </c>
      <c r="P25" s="250">
        <f t="shared" si="202"/>
        <v>29263435</v>
      </c>
      <c r="Q25" s="250">
        <f t="shared" si="202"/>
        <v>29263435</v>
      </c>
      <c r="R25" s="250">
        <f t="shared" si="202"/>
        <v>29263435</v>
      </c>
      <c r="S25" s="250">
        <f t="shared" si="202"/>
        <v>29263435</v>
      </c>
      <c r="T25" s="250">
        <f t="shared" si="202"/>
        <v>29263435</v>
      </c>
      <c r="U25" s="250">
        <f t="shared" si="202"/>
        <v>29263435</v>
      </c>
      <c r="V25" s="250">
        <f t="shared" si="202"/>
        <v>29263435</v>
      </c>
      <c r="W25" s="250">
        <f t="shared" si="202"/>
        <v>29263435</v>
      </c>
      <c r="X25" s="250">
        <f t="shared" si="202"/>
        <v>29263435</v>
      </c>
      <c r="Y25" s="250">
        <f t="shared" si="202"/>
        <v>29263435</v>
      </c>
      <c r="Z25" s="250">
        <f t="shared" si="202"/>
        <v>29263435</v>
      </c>
      <c r="AA25" s="250">
        <f t="shared" si="202"/>
        <v>29263435</v>
      </c>
      <c r="AB25" s="250">
        <f>+SUM(AB26:AB32)</f>
        <v>384060096</v>
      </c>
      <c r="AC25" s="250">
        <f t="shared" si="202"/>
        <v>32005008</v>
      </c>
      <c r="AD25" s="250">
        <f t="shared" si="202"/>
        <v>32005008</v>
      </c>
      <c r="AE25" s="250">
        <f t="shared" si="202"/>
        <v>32005008</v>
      </c>
      <c r="AF25" s="250">
        <f t="shared" si="202"/>
        <v>32005008</v>
      </c>
      <c r="AG25" s="250">
        <f t="shared" si="202"/>
        <v>32005008</v>
      </c>
      <c r="AH25" s="250">
        <f>+SUM(AH26:AH32)</f>
        <v>32005008</v>
      </c>
      <c r="AI25" s="250">
        <f t="shared" ref="AI25:CY25" si="203">+SUM(AI26:AI32)</f>
        <v>32005008</v>
      </c>
      <c r="AJ25" s="250">
        <f t="shared" si="203"/>
        <v>32005008</v>
      </c>
      <c r="AK25" s="250">
        <f t="shared" si="203"/>
        <v>32005008</v>
      </c>
      <c r="AL25" s="250">
        <f t="shared" si="203"/>
        <v>32005008</v>
      </c>
      <c r="AM25" s="250">
        <f t="shared" si="203"/>
        <v>32005008</v>
      </c>
      <c r="AN25" s="250">
        <f t="shared" si="203"/>
        <v>32005008</v>
      </c>
      <c r="AO25" s="250">
        <f>+SUM(AO26:AO32)</f>
        <v>402647736</v>
      </c>
      <c r="AP25" s="250">
        <f t="shared" si="203"/>
        <v>33553978</v>
      </c>
      <c r="AQ25" s="250">
        <f t="shared" si="203"/>
        <v>33553978</v>
      </c>
      <c r="AR25" s="250">
        <f t="shared" si="203"/>
        <v>33553978</v>
      </c>
      <c r="AS25" s="250">
        <f t="shared" si="203"/>
        <v>33553978</v>
      </c>
      <c r="AT25" s="250">
        <f t="shared" si="203"/>
        <v>33553978</v>
      </c>
      <c r="AU25" s="250">
        <f t="shared" si="203"/>
        <v>33553978</v>
      </c>
      <c r="AV25" s="250">
        <f t="shared" si="203"/>
        <v>33553978</v>
      </c>
      <c r="AW25" s="250">
        <f t="shared" si="203"/>
        <v>33553978</v>
      </c>
      <c r="AX25" s="250">
        <f t="shared" si="203"/>
        <v>33553978</v>
      </c>
      <c r="AY25" s="250">
        <f t="shared" si="203"/>
        <v>33553978</v>
      </c>
      <c r="AZ25" s="250">
        <f t="shared" si="203"/>
        <v>33553978</v>
      </c>
      <c r="BA25" s="250">
        <f t="shared" si="203"/>
        <v>33553978</v>
      </c>
      <c r="BB25" s="250">
        <f>+SUM(BB26:BB32)</f>
        <v>410270926</v>
      </c>
      <c r="BC25" s="250">
        <f t="shared" si="203"/>
        <v>35182426</v>
      </c>
      <c r="BD25" s="250">
        <f t="shared" si="203"/>
        <v>35182426</v>
      </c>
      <c r="BE25" s="250">
        <f t="shared" si="203"/>
        <v>35182426</v>
      </c>
      <c r="BF25" s="250">
        <f t="shared" si="203"/>
        <v>35182426</v>
      </c>
      <c r="BG25" s="250">
        <f>+SUM(BG26:BG32)</f>
        <v>35182426</v>
      </c>
      <c r="BH25" s="250">
        <f t="shared" si="203"/>
        <v>33479828</v>
      </c>
      <c r="BI25" s="250">
        <f t="shared" si="203"/>
        <v>33479828</v>
      </c>
      <c r="BJ25" s="250">
        <f t="shared" si="203"/>
        <v>33479828</v>
      </c>
      <c r="BK25" s="250">
        <f t="shared" si="203"/>
        <v>33479828</v>
      </c>
      <c r="BL25" s="250">
        <f t="shared" si="203"/>
        <v>33479828</v>
      </c>
      <c r="BM25" s="250">
        <f t="shared" si="203"/>
        <v>33479828</v>
      </c>
      <c r="BN25" s="250">
        <f t="shared" si="203"/>
        <v>33479828</v>
      </c>
      <c r="BO25" s="250">
        <f>+SUM(BO26:BO32)</f>
        <v>422302224</v>
      </c>
      <c r="BP25" s="250">
        <f t="shared" si="203"/>
        <v>35191852</v>
      </c>
      <c r="BQ25" s="250">
        <f t="shared" si="203"/>
        <v>35191852</v>
      </c>
      <c r="BR25" s="250">
        <f t="shared" si="203"/>
        <v>35191852</v>
      </c>
      <c r="BS25" s="250">
        <f t="shared" si="203"/>
        <v>35191852</v>
      </c>
      <c r="BT25" s="250">
        <f t="shared" si="203"/>
        <v>35191852</v>
      </c>
      <c r="BU25" s="250">
        <f t="shared" si="203"/>
        <v>35191852</v>
      </c>
      <c r="BV25" s="250">
        <f t="shared" si="203"/>
        <v>35191852</v>
      </c>
      <c r="BW25" s="250">
        <f t="shared" si="203"/>
        <v>35191852</v>
      </c>
      <c r="BX25" s="250">
        <f t="shared" si="203"/>
        <v>35191852</v>
      </c>
      <c r="BY25" s="250">
        <f t="shared" si="203"/>
        <v>35191852</v>
      </c>
      <c r="BZ25" s="250">
        <f t="shared" si="203"/>
        <v>35191852</v>
      </c>
      <c r="CA25" s="250">
        <f t="shared" si="203"/>
        <v>35191852</v>
      </c>
      <c r="CB25" s="250">
        <f>+SUM(CB26:CB32)</f>
        <v>443901120</v>
      </c>
      <c r="CC25" s="250">
        <f t="shared" si="203"/>
        <v>36991760</v>
      </c>
      <c r="CD25" s="250">
        <f t="shared" si="203"/>
        <v>36991760</v>
      </c>
      <c r="CE25" s="250">
        <f t="shared" si="203"/>
        <v>36991760</v>
      </c>
      <c r="CF25" s="250">
        <f t="shared" si="203"/>
        <v>36991760</v>
      </c>
      <c r="CG25" s="250">
        <f t="shared" si="203"/>
        <v>36991760</v>
      </c>
      <c r="CH25" s="250">
        <f t="shared" si="203"/>
        <v>36991760</v>
      </c>
      <c r="CI25" s="250">
        <f t="shared" si="203"/>
        <v>36991760</v>
      </c>
      <c r="CJ25" s="250">
        <f t="shared" si="203"/>
        <v>36991760</v>
      </c>
      <c r="CK25" s="250">
        <f t="shared" si="203"/>
        <v>36991760</v>
      </c>
      <c r="CL25" s="250">
        <f t="shared" si="203"/>
        <v>36991760</v>
      </c>
      <c r="CM25" s="250">
        <f t="shared" si="203"/>
        <v>36991760</v>
      </c>
      <c r="CN25" s="250">
        <f t="shared" si="203"/>
        <v>36991760</v>
      </c>
      <c r="CO25" s="250">
        <f>+SUM(CO26:CO32)</f>
        <v>466608960</v>
      </c>
      <c r="CP25" s="250">
        <f t="shared" si="203"/>
        <v>38884080</v>
      </c>
      <c r="CQ25" s="250">
        <f t="shared" si="203"/>
        <v>38884080</v>
      </c>
      <c r="CR25" s="250">
        <f t="shared" si="203"/>
        <v>38884080</v>
      </c>
      <c r="CS25" s="250">
        <f t="shared" si="203"/>
        <v>38884080</v>
      </c>
      <c r="CT25" s="250">
        <f t="shared" si="203"/>
        <v>38884080</v>
      </c>
      <c r="CU25" s="250">
        <f t="shared" si="203"/>
        <v>38884080</v>
      </c>
      <c r="CV25" s="250">
        <f t="shared" si="203"/>
        <v>38884080</v>
      </c>
      <c r="CW25" s="250">
        <f t="shared" si="203"/>
        <v>38884080</v>
      </c>
      <c r="CX25" s="250">
        <f t="shared" si="203"/>
        <v>38884080</v>
      </c>
      <c r="CY25" s="250">
        <f t="shared" si="203"/>
        <v>38884080</v>
      </c>
      <c r="CZ25" s="250">
        <f t="shared" ref="CZ25:FQ25" si="204">+SUM(CZ26:CZ32)</f>
        <v>38884080</v>
      </c>
      <c r="DA25" s="250">
        <f t="shared" si="204"/>
        <v>38884080</v>
      </c>
      <c r="DB25" s="250">
        <f>+SUM(DB26:DB32)</f>
        <v>490482960</v>
      </c>
      <c r="DC25" s="250">
        <f t="shared" si="204"/>
        <v>40873580</v>
      </c>
      <c r="DD25" s="250">
        <f t="shared" si="204"/>
        <v>40873580</v>
      </c>
      <c r="DE25" s="250">
        <f t="shared" si="204"/>
        <v>40873580</v>
      </c>
      <c r="DF25" s="250">
        <f t="shared" si="204"/>
        <v>40873580</v>
      </c>
      <c r="DG25" s="250">
        <f t="shared" si="204"/>
        <v>40873580</v>
      </c>
      <c r="DH25" s="250">
        <f t="shared" si="204"/>
        <v>40873580</v>
      </c>
      <c r="DI25" s="250">
        <f t="shared" si="204"/>
        <v>40873580</v>
      </c>
      <c r="DJ25" s="250">
        <f t="shared" si="204"/>
        <v>40873580</v>
      </c>
      <c r="DK25" s="250">
        <f t="shared" si="204"/>
        <v>40873580</v>
      </c>
      <c r="DL25" s="250">
        <f t="shared" si="204"/>
        <v>40873580</v>
      </c>
      <c r="DM25" s="250">
        <f t="shared" si="204"/>
        <v>40873580</v>
      </c>
      <c r="DN25" s="250">
        <f t="shared" si="204"/>
        <v>40873580</v>
      </c>
      <c r="DO25" s="250">
        <f>+SUM(DO26:DO32)</f>
        <v>515583300</v>
      </c>
      <c r="DP25" s="250">
        <f t="shared" si="204"/>
        <v>42965275</v>
      </c>
      <c r="DQ25" s="250">
        <f t="shared" si="204"/>
        <v>42965275</v>
      </c>
      <c r="DR25" s="250">
        <f t="shared" si="204"/>
        <v>42965275</v>
      </c>
      <c r="DS25" s="250">
        <f t="shared" si="204"/>
        <v>42965275</v>
      </c>
      <c r="DT25" s="250">
        <f t="shared" si="204"/>
        <v>42965275</v>
      </c>
      <c r="DU25" s="250">
        <f t="shared" si="204"/>
        <v>42965275</v>
      </c>
      <c r="DV25" s="250">
        <f t="shared" si="204"/>
        <v>42965275</v>
      </c>
      <c r="DW25" s="250">
        <f t="shared" si="204"/>
        <v>42965275</v>
      </c>
      <c r="DX25" s="250">
        <f t="shared" si="204"/>
        <v>42965275</v>
      </c>
      <c r="DY25" s="250">
        <f t="shared" si="204"/>
        <v>42965275</v>
      </c>
      <c r="DZ25" s="250">
        <f t="shared" si="204"/>
        <v>42965275</v>
      </c>
      <c r="EA25" s="250">
        <f t="shared" si="204"/>
        <v>42965275</v>
      </c>
      <c r="EB25" s="250">
        <f>+SUM(EB26:EB32)</f>
        <v>541973208</v>
      </c>
      <c r="EC25" s="250">
        <f t="shared" si="204"/>
        <v>45164434</v>
      </c>
      <c r="ED25" s="250">
        <f t="shared" si="204"/>
        <v>45164434</v>
      </c>
      <c r="EE25" s="250">
        <f t="shared" si="204"/>
        <v>45164434</v>
      </c>
      <c r="EF25" s="250">
        <f t="shared" si="204"/>
        <v>45164434</v>
      </c>
      <c r="EG25" s="250">
        <f t="shared" si="204"/>
        <v>45164434</v>
      </c>
      <c r="EH25" s="250">
        <f t="shared" si="204"/>
        <v>45164434</v>
      </c>
      <c r="EI25" s="250">
        <f t="shared" si="204"/>
        <v>45164434</v>
      </c>
      <c r="EJ25" s="250">
        <f t="shared" si="204"/>
        <v>45164434</v>
      </c>
      <c r="EK25" s="250">
        <f t="shared" si="204"/>
        <v>45164434</v>
      </c>
      <c r="EL25" s="250">
        <f t="shared" si="204"/>
        <v>45164434</v>
      </c>
      <c r="EM25" s="250">
        <f t="shared" si="204"/>
        <v>45164434</v>
      </c>
      <c r="EN25" s="250">
        <f t="shared" si="204"/>
        <v>45164434</v>
      </c>
      <c r="EO25" s="250">
        <f>+SUM(EO26:EO32)</f>
        <v>569719272</v>
      </c>
      <c r="EP25" s="250">
        <f t="shared" si="204"/>
        <v>47476606</v>
      </c>
      <c r="EQ25" s="250">
        <f t="shared" si="204"/>
        <v>47476606</v>
      </c>
      <c r="ER25" s="250">
        <f t="shared" si="204"/>
        <v>47476606</v>
      </c>
      <c r="ES25" s="250">
        <f t="shared" si="204"/>
        <v>47476606</v>
      </c>
      <c r="ET25" s="250">
        <f t="shared" si="204"/>
        <v>47476606</v>
      </c>
      <c r="EU25" s="250">
        <f t="shared" si="204"/>
        <v>47476606</v>
      </c>
      <c r="EV25" s="250">
        <f t="shared" si="204"/>
        <v>47476606</v>
      </c>
      <c r="EW25" s="250">
        <f t="shared" si="204"/>
        <v>47476606</v>
      </c>
      <c r="EX25" s="250">
        <f t="shared" si="204"/>
        <v>47476606</v>
      </c>
      <c r="EY25" s="250">
        <f t="shared" si="204"/>
        <v>47476606</v>
      </c>
      <c r="EZ25" s="250">
        <f t="shared" si="204"/>
        <v>47476606</v>
      </c>
      <c r="FA25" s="250">
        <f t="shared" si="204"/>
        <v>47476606</v>
      </c>
      <c r="FB25" s="250">
        <f>+SUM(FB26:FB32)</f>
        <v>598891452</v>
      </c>
      <c r="FC25" s="250">
        <f t="shared" si="204"/>
        <v>49907621</v>
      </c>
      <c r="FD25" s="250">
        <f t="shared" si="204"/>
        <v>49907621</v>
      </c>
      <c r="FE25" s="250">
        <f t="shared" si="204"/>
        <v>49907621</v>
      </c>
      <c r="FF25" s="250">
        <f t="shared" si="204"/>
        <v>49907621</v>
      </c>
      <c r="FG25" s="250">
        <f t="shared" si="204"/>
        <v>49907621</v>
      </c>
      <c r="FH25" s="250">
        <f t="shared" si="204"/>
        <v>49907621</v>
      </c>
      <c r="FI25" s="250">
        <f t="shared" si="204"/>
        <v>49907621</v>
      </c>
      <c r="FJ25" s="250">
        <f t="shared" si="204"/>
        <v>49907621</v>
      </c>
      <c r="FK25" s="250">
        <f t="shared" si="204"/>
        <v>49907621</v>
      </c>
      <c r="FL25" s="250">
        <f t="shared" si="204"/>
        <v>49907621</v>
      </c>
      <c r="FM25" s="250">
        <f t="shared" si="204"/>
        <v>49907621</v>
      </c>
      <c r="FN25" s="250">
        <f t="shared" si="204"/>
        <v>49907621</v>
      </c>
      <c r="FO25" s="250">
        <f>+SUM(FO26:FO32)</f>
        <v>629563428</v>
      </c>
      <c r="FP25" s="250">
        <f t="shared" si="204"/>
        <v>52463619</v>
      </c>
      <c r="FQ25" s="250">
        <f t="shared" si="204"/>
        <v>52463619</v>
      </c>
      <c r="FR25" s="250">
        <f t="shared" ref="FR25:GG25" si="205">+SUM(FR26:FR32)</f>
        <v>52463619</v>
      </c>
      <c r="FS25" s="250">
        <f t="shared" si="205"/>
        <v>52463619</v>
      </c>
      <c r="FT25" s="250">
        <f t="shared" si="205"/>
        <v>52463619</v>
      </c>
      <c r="FU25" s="250">
        <f t="shared" si="205"/>
        <v>52463619</v>
      </c>
      <c r="FV25" s="250">
        <f t="shared" si="205"/>
        <v>52463619</v>
      </c>
      <c r="FW25" s="250">
        <f t="shared" si="205"/>
        <v>52463619</v>
      </c>
      <c r="FX25" s="250">
        <f t="shared" si="205"/>
        <v>52463619</v>
      </c>
      <c r="FY25" s="250">
        <f t="shared" si="205"/>
        <v>52463619</v>
      </c>
      <c r="FZ25" s="250">
        <f t="shared" si="205"/>
        <v>52463619</v>
      </c>
      <c r="GA25" s="250">
        <f t="shared" si="205"/>
        <v>52463619</v>
      </c>
      <c r="GB25" s="250">
        <f>+SUM(GB26:GB32)</f>
        <v>275755270</v>
      </c>
      <c r="GC25" s="250">
        <f t="shared" si="205"/>
        <v>55151054</v>
      </c>
      <c r="GD25" s="250">
        <f t="shared" si="205"/>
        <v>55151054</v>
      </c>
      <c r="GE25" s="250">
        <f t="shared" si="205"/>
        <v>55151054</v>
      </c>
      <c r="GF25" s="250">
        <f t="shared" si="205"/>
        <v>55151054</v>
      </c>
      <c r="GG25" s="250">
        <f t="shared" si="205"/>
        <v>55151054</v>
      </c>
    </row>
    <row r="26" spans="1:189" s="175" customFormat="1" ht="16.5" customHeight="1" x14ac:dyDescent="0.25">
      <c r="A26" s="80" t="s">
        <v>74</v>
      </c>
      <c r="B26" s="173">
        <f>+SUM(C26:N26)</f>
        <v>0</v>
      </c>
      <c r="C26" s="174">
        <v>0</v>
      </c>
      <c r="D26" s="174">
        <v>0</v>
      </c>
      <c r="E26" s="174">
        <v>0</v>
      </c>
      <c r="F26" s="174">
        <v>0</v>
      </c>
      <c r="G26" s="174">
        <v>0</v>
      </c>
      <c r="H26" s="174">
        <v>0</v>
      </c>
      <c r="I26" s="174">
        <v>0</v>
      </c>
      <c r="J26" s="174">
        <v>0</v>
      </c>
      <c r="K26" s="174">
        <v>0</v>
      </c>
      <c r="L26" s="174">
        <v>0</v>
      </c>
      <c r="M26" s="174">
        <v>0</v>
      </c>
      <c r="N26" s="174">
        <v>0</v>
      </c>
      <c r="O26" s="173">
        <f>+SUM(P26:AA26)</f>
        <v>0</v>
      </c>
      <c r="P26" s="174">
        <v>0</v>
      </c>
      <c r="Q26" s="174">
        <v>0</v>
      </c>
      <c r="R26" s="174">
        <v>0</v>
      </c>
      <c r="S26" s="174">
        <v>0</v>
      </c>
      <c r="T26" s="174">
        <v>0</v>
      </c>
      <c r="U26" s="174">
        <v>0</v>
      </c>
      <c r="V26" s="174">
        <v>0</v>
      </c>
      <c r="W26" s="174">
        <v>0</v>
      </c>
      <c r="X26" s="174">
        <v>0</v>
      </c>
      <c r="Y26" s="174">
        <v>0</v>
      </c>
      <c r="Z26" s="174">
        <v>0</v>
      </c>
      <c r="AA26" s="174">
        <v>0</v>
      </c>
      <c r="AB26" s="173">
        <f>+SUM(AC26:AN26)</f>
        <v>14691996</v>
      </c>
      <c r="AC26" s="174">
        <f>+ROUND(((AC15)*'DATOS ENTRADA'!$B$43),0)</f>
        <v>1224333</v>
      </c>
      <c r="AD26" s="174">
        <f>+ROUND(((AD15)*'DATOS ENTRADA'!$B$43),0)</f>
        <v>1224333</v>
      </c>
      <c r="AE26" s="174">
        <f>+ROUND(((AE15)*'DATOS ENTRADA'!$B$43),0)</f>
        <v>1224333</v>
      </c>
      <c r="AF26" s="174">
        <f>+ROUND(((AF15)*'DATOS ENTRADA'!$B$43),0)</f>
        <v>1224333</v>
      </c>
      <c r="AG26" s="174">
        <f>+ROUND(((AG15)*'DATOS ENTRADA'!$B$43),0)</f>
        <v>1224333</v>
      </c>
      <c r="AH26" s="174">
        <f>+ROUND(((AH15)*'DATOS ENTRADA'!$B$43),0)</f>
        <v>1224333</v>
      </c>
      <c r="AI26" s="174">
        <f>+ROUND(((AI15)*'DATOS ENTRADA'!$B$43),0)</f>
        <v>1224333</v>
      </c>
      <c r="AJ26" s="174">
        <f>+ROUND(((AJ15)*'DATOS ENTRADA'!$B$43),0)</f>
        <v>1224333</v>
      </c>
      <c r="AK26" s="174">
        <f>+ROUND(((AK15)*'DATOS ENTRADA'!$B$43),0)</f>
        <v>1224333</v>
      </c>
      <c r="AL26" s="174">
        <f>+ROUND(((AL15)*'DATOS ENTRADA'!$B$43),0)</f>
        <v>1224333</v>
      </c>
      <c r="AM26" s="174">
        <f>+ROUND(((AM15)*'DATOS ENTRADA'!$B$43),0)</f>
        <v>1224333</v>
      </c>
      <c r="AN26" s="174">
        <f>+ROUND(((AN15)*'DATOS ENTRADA'!$B$43),0)</f>
        <v>1224333</v>
      </c>
      <c r="AO26" s="173">
        <f>+SUM(AP26:BA26)</f>
        <v>15573516</v>
      </c>
      <c r="AP26" s="174">
        <f>+ROUND(((AP15)*'DATOS ENTRADA'!$B$43),0)</f>
        <v>1297793</v>
      </c>
      <c r="AQ26" s="174">
        <f>+ROUND(((AQ15)*'DATOS ENTRADA'!$B$43),0)</f>
        <v>1297793</v>
      </c>
      <c r="AR26" s="174">
        <f>+ROUND(((AR15)*'DATOS ENTRADA'!$B$43),0)</f>
        <v>1297793</v>
      </c>
      <c r="AS26" s="174">
        <f>+ROUND(((AS15)*'DATOS ENTRADA'!$B$43),0)</f>
        <v>1297793</v>
      </c>
      <c r="AT26" s="174">
        <f>+ROUND(((AT15)*'DATOS ENTRADA'!$B$43),0)</f>
        <v>1297793</v>
      </c>
      <c r="AU26" s="174">
        <f>+ROUND(((AU15)*'DATOS ENTRADA'!$B$43),0)</f>
        <v>1297793</v>
      </c>
      <c r="AV26" s="174">
        <f>+ROUND(((AV15)*'DATOS ENTRADA'!$B$43),0)</f>
        <v>1297793</v>
      </c>
      <c r="AW26" s="174">
        <f>+ROUND(((AW15)*'DATOS ENTRADA'!$B$43),0)</f>
        <v>1297793</v>
      </c>
      <c r="AX26" s="174">
        <f>+ROUND(((AX15)*'DATOS ENTRADA'!$B$43),0)</f>
        <v>1297793</v>
      </c>
      <c r="AY26" s="174">
        <f>+ROUND(((AY15)*'DATOS ENTRADA'!$B$43),0)</f>
        <v>1297793</v>
      </c>
      <c r="AZ26" s="174">
        <f>+ROUND(((AZ15)*'DATOS ENTRADA'!$B$43),0)</f>
        <v>1297793</v>
      </c>
      <c r="BA26" s="174">
        <f>+ROUND(((BA15)*'DATOS ENTRADA'!$B$43),0)</f>
        <v>1297793</v>
      </c>
      <c r="BB26" s="173">
        <f>+SUM(BC26:BN26)</f>
        <v>16507932</v>
      </c>
      <c r="BC26" s="174">
        <f>+ROUND(((BC15)*'DATOS ENTRADA'!$B$43),0)</f>
        <v>1375661</v>
      </c>
      <c r="BD26" s="174">
        <f>+ROUND(((BD15)*'DATOS ENTRADA'!$B$43),0)</f>
        <v>1375661</v>
      </c>
      <c r="BE26" s="174">
        <f>+ROUND(((BE15)*'DATOS ENTRADA'!$B$43),0)</f>
        <v>1375661</v>
      </c>
      <c r="BF26" s="174">
        <f>+ROUND(((BF15)*'DATOS ENTRADA'!$B$43),0)</f>
        <v>1375661</v>
      </c>
      <c r="BG26" s="174">
        <f>+ROUND(((BG15)*'DATOS ENTRADA'!$B$43),0)</f>
        <v>1375661</v>
      </c>
      <c r="BH26" s="174">
        <f>+ROUND(((BH15)*'DATOS ENTRADA'!$B$43),0)</f>
        <v>1375661</v>
      </c>
      <c r="BI26" s="174">
        <f>+ROUND(((BI15)*'DATOS ENTRADA'!$B$43),0)</f>
        <v>1375661</v>
      </c>
      <c r="BJ26" s="174">
        <f>+ROUND(((BJ15)*'DATOS ENTRADA'!$B$43),0)</f>
        <v>1375661</v>
      </c>
      <c r="BK26" s="174">
        <f>+ROUND(((BK15)*'DATOS ENTRADA'!$B$43),0)</f>
        <v>1375661</v>
      </c>
      <c r="BL26" s="174">
        <f>+ROUND(((BL15)*'DATOS ENTRADA'!$B$43),0)</f>
        <v>1375661</v>
      </c>
      <c r="BM26" s="174">
        <f>+ROUND(((BM15)*'DATOS ENTRADA'!$B$43),0)</f>
        <v>1375661</v>
      </c>
      <c r="BN26" s="174">
        <f>+ROUND(((BN15)*'DATOS ENTRADA'!$B$43),0)</f>
        <v>1375661</v>
      </c>
      <c r="BO26" s="173">
        <f>+SUM(BP26:CA26)</f>
        <v>17498412</v>
      </c>
      <c r="BP26" s="174">
        <f>+ROUND(((BP15)*'DATOS ENTRADA'!$B$43),0)</f>
        <v>1458201</v>
      </c>
      <c r="BQ26" s="174">
        <f>+ROUND(((BQ15)*'DATOS ENTRADA'!$B$43),0)</f>
        <v>1458201</v>
      </c>
      <c r="BR26" s="174">
        <f>+ROUND(((BR15)*'DATOS ENTRADA'!$B$43),0)</f>
        <v>1458201</v>
      </c>
      <c r="BS26" s="174">
        <f>+ROUND(((BS15)*'DATOS ENTRADA'!$B$43),0)</f>
        <v>1458201</v>
      </c>
      <c r="BT26" s="174">
        <f>+ROUND(((BT15)*'DATOS ENTRADA'!$B$43),0)</f>
        <v>1458201</v>
      </c>
      <c r="BU26" s="174">
        <f>+ROUND(((BU15)*'DATOS ENTRADA'!$B$43),0)</f>
        <v>1458201</v>
      </c>
      <c r="BV26" s="174">
        <f>+ROUND(((BV15)*'DATOS ENTRADA'!$B$43),0)</f>
        <v>1458201</v>
      </c>
      <c r="BW26" s="174">
        <f>+ROUND(((BW15)*'DATOS ENTRADA'!$B$43),0)</f>
        <v>1458201</v>
      </c>
      <c r="BX26" s="174">
        <f>+ROUND(((BX15)*'DATOS ENTRADA'!$B$43),0)</f>
        <v>1458201</v>
      </c>
      <c r="BY26" s="174">
        <f>+ROUND(((BY15)*'DATOS ENTRADA'!$B$43),0)</f>
        <v>1458201</v>
      </c>
      <c r="BZ26" s="174">
        <f>+ROUND(((BZ15)*'DATOS ENTRADA'!$B$43),0)</f>
        <v>1458201</v>
      </c>
      <c r="CA26" s="174">
        <f>+ROUND(((CA15)*'DATOS ENTRADA'!$B$43),0)</f>
        <v>1458201</v>
      </c>
      <c r="CB26" s="173">
        <f>+SUM(CC26:CN26)</f>
        <v>18548316</v>
      </c>
      <c r="CC26" s="174">
        <f>+ROUND(((CC15)*'DATOS ENTRADA'!$B$43),0)</f>
        <v>1545693</v>
      </c>
      <c r="CD26" s="174">
        <f>+ROUND(((CD15)*'DATOS ENTRADA'!$B$43),0)</f>
        <v>1545693</v>
      </c>
      <c r="CE26" s="174">
        <f>+ROUND(((CE15)*'DATOS ENTRADA'!$B$43),0)</f>
        <v>1545693</v>
      </c>
      <c r="CF26" s="174">
        <f>+ROUND(((CF15)*'DATOS ENTRADA'!$B$43),0)</f>
        <v>1545693</v>
      </c>
      <c r="CG26" s="174">
        <f>+ROUND(((CG15)*'DATOS ENTRADA'!$B$43),0)</f>
        <v>1545693</v>
      </c>
      <c r="CH26" s="174">
        <f>+ROUND(((CH15)*'DATOS ENTRADA'!$B$43),0)</f>
        <v>1545693</v>
      </c>
      <c r="CI26" s="174">
        <f>+ROUND(((CI15)*'DATOS ENTRADA'!$B$43),0)</f>
        <v>1545693</v>
      </c>
      <c r="CJ26" s="174">
        <f>+ROUND(((CJ15)*'DATOS ENTRADA'!$B$43),0)</f>
        <v>1545693</v>
      </c>
      <c r="CK26" s="174">
        <f>+ROUND(((CK15)*'DATOS ENTRADA'!$B$43),0)</f>
        <v>1545693</v>
      </c>
      <c r="CL26" s="174">
        <f>+ROUND(((CL15)*'DATOS ENTRADA'!$B$43),0)</f>
        <v>1545693</v>
      </c>
      <c r="CM26" s="174">
        <f>+ROUND(((CM15)*'DATOS ENTRADA'!$B$43),0)</f>
        <v>1545693</v>
      </c>
      <c r="CN26" s="174">
        <f>+ROUND(((CN15)*'DATOS ENTRADA'!$B$43),0)</f>
        <v>1545693</v>
      </c>
      <c r="CO26" s="173">
        <f>+SUM(CP26:DA26)</f>
        <v>19661208</v>
      </c>
      <c r="CP26" s="174">
        <f>+ROUND(((CP15)*'DATOS ENTRADA'!$B$43),0)</f>
        <v>1638434</v>
      </c>
      <c r="CQ26" s="174">
        <f>+ROUND(((CQ15)*'DATOS ENTRADA'!$B$43),0)</f>
        <v>1638434</v>
      </c>
      <c r="CR26" s="174">
        <f>+ROUND(((CR15)*'DATOS ENTRADA'!$B$43),0)</f>
        <v>1638434</v>
      </c>
      <c r="CS26" s="174">
        <f>+ROUND(((CS15)*'DATOS ENTRADA'!$B$43),0)</f>
        <v>1638434</v>
      </c>
      <c r="CT26" s="174">
        <f>+ROUND(((CT15)*'DATOS ENTRADA'!$B$43),0)</f>
        <v>1638434</v>
      </c>
      <c r="CU26" s="174">
        <f>+ROUND(((CU15)*'DATOS ENTRADA'!$B$43),0)</f>
        <v>1638434</v>
      </c>
      <c r="CV26" s="174">
        <f>+ROUND(((CV15)*'DATOS ENTRADA'!$B$43),0)</f>
        <v>1638434</v>
      </c>
      <c r="CW26" s="174">
        <f>+ROUND(((CW15)*'DATOS ENTRADA'!$B$43),0)</f>
        <v>1638434</v>
      </c>
      <c r="CX26" s="174">
        <f>+ROUND(((CX15)*'DATOS ENTRADA'!$B$43),0)</f>
        <v>1638434</v>
      </c>
      <c r="CY26" s="174">
        <f>+ROUND(((CY15)*'DATOS ENTRADA'!$B$43),0)</f>
        <v>1638434</v>
      </c>
      <c r="CZ26" s="174">
        <f>+ROUND(((CZ15)*'DATOS ENTRADA'!$B$43),0)</f>
        <v>1638434</v>
      </c>
      <c r="DA26" s="174">
        <f>+ROUND(((DA15)*'DATOS ENTRADA'!$B$43),0)</f>
        <v>1638434</v>
      </c>
      <c r="DB26" s="173">
        <f>+SUM(DC26:DN26)</f>
        <v>20840880</v>
      </c>
      <c r="DC26" s="174">
        <f>+ROUND(((DC15)*'DATOS ENTRADA'!$B$43),0)</f>
        <v>1736740</v>
      </c>
      <c r="DD26" s="174">
        <f>+ROUND(((DD15)*'DATOS ENTRADA'!$B$43),0)</f>
        <v>1736740</v>
      </c>
      <c r="DE26" s="174">
        <f>+ROUND(((DE15)*'DATOS ENTRADA'!$B$43),0)</f>
        <v>1736740</v>
      </c>
      <c r="DF26" s="174">
        <f>+ROUND(((DF15)*'DATOS ENTRADA'!$B$43),0)</f>
        <v>1736740</v>
      </c>
      <c r="DG26" s="174">
        <f>+ROUND(((DG15)*'DATOS ENTRADA'!$B$43),0)</f>
        <v>1736740</v>
      </c>
      <c r="DH26" s="174">
        <f>+ROUND(((DH15)*'DATOS ENTRADA'!$B$43),0)</f>
        <v>1736740</v>
      </c>
      <c r="DI26" s="174">
        <f>+ROUND(((DI15)*'DATOS ENTRADA'!$B$43),0)</f>
        <v>1736740</v>
      </c>
      <c r="DJ26" s="174">
        <f>+ROUND(((DJ15)*'DATOS ENTRADA'!$B$43),0)</f>
        <v>1736740</v>
      </c>
      <c r="DK26" s="174">
        <f>+ROUND(((DK15)*'DATOS ENTRADA'!$B$43),0)</f>
        <v>1736740</v>
      </c>
      <c r="DL26" s="174">
        <f>+ROUND(((DL15)*'DATOS ENTRADA'!$B$43),0)</f>
        <v>1736740</v>
      </c>
      <c r="DM26" s="174">
        <f>+ROUND(((DM15)*'DATOS ENTRADA'!$B$43),0)</f>
        <v>1736740</v>
      </c>
      <c r="DN26" s="174">
        <f>+ROUND(((DN15)*'DATOS ENTRADA'!$B$43),0)</f>
        <v>1736740</v>
      </c>
      <c r="DO26" s="173">
        <f>+SUM(DP26:EA26)</f>
        <v>22091340</v>
      </c>
      <c r="DP26" s="174">
        <f>+ROUND(((DP15)*'DATOS ENTRADA'!$B$43),0)</f>
        <v>1840945</v>
      </c>
      <c r="DQ26" s="174">
        <f>+ROUND(((DQ15)*'DATOS ENTRADA'!$B$43),0)</f>
        <v>1840945</v>
      </c>
      <c r="DR26" s="174">
        <f>+ROUND(((DR15)*'DATOS ENTRADA'!$B$43),0)</f>
        <v>1840945</v>
      </c>
      <c r="DS26" s="174">
        <f>+ROUND(((DS15)*'DATOS ENTRADA'!$B$43),0)</f>
        <v>1840945</v>
      </c>
      <c r="DT26" s="174">
        <f>+ROUND(((DT15)*'DATOS ENTRADA'!$B$43),0)</f>
        <v>1840945</v>
      </c>
      <c r="DU26" s="174">
        <f>+ROUND(((DU15)*'DATOS ENTRADA'!$B$43),0)</f>
        <v>1840945</v>
      </c>
      <c r="DV26" s="174">
        <f>+ROUND(((DV15)*'DATOS ENTRADA'!$B$43),0)</f>
        <v>1840945</v>
      </c>
      <c r="DW26" s="174">
        <f>+ROUND(((DW15)*'DATOS ENTRADA'!$B$43),0)</f>
        <v>1840945</v>
      </c>
      <c r="DX26" s="174">
        <f>+ROUND(((DX15)*'DATOS ENTRADA'!$B$43),0)</f>
        <v>1840945</v>
      </c>
      <c r="DY26" s="174">
        <f>+ROUND(((DY15)*'DATOS ENTRADA'!$B$43),0)</f>
        <v>1840945</v>
      </c>
      <c r="DZ26" s="174">
        <f>+ROUND(((DZ15)*'DATOS ENTRADA'!$B$43),0)</f>
        <v>1840945</v>
      </c>
      <c r="EA26" s="174">
        <f>+ROUND(((EA15)*'DATOS ENTRADA'!$B$43),0)</f>
        <v>1840945</v>
      </c>
      <c r="EB26" s="173">
        <f>+SUM(EC26:EN26)</f>
        <v>23416812</v>
      </c>
      <c r="EC26" s="174">
        <f>+ROUND(((EC15)*'DATOS ENTRADA'!$B$43),0)</f>
        <v>1951401</v>
      </c>
      <c r="ED26" s="174">
        <f>+ROUND(((ED15)*'DATOS ENTRADA'!$B$43),0)</f>
        <v>1951401</v>
      </c>
      <c r="EE26" s="174">
        <f>+ROUND(((EE15)*'DATOS ENTRADA'!$B$43),0)</f>
        <v>1951401</v>
      </c>
      <c r="EF26" s="174">
        <f>+ROUND(((EF15)*'DATOS ENTRADA'!$B$43),0)</f>
        <v>1951401</v>
      </c>
      <c r="EG26" s="174">
        <f>+ROUND(((EG15)*'DATOS ENTRADA'!$B$43),0)</f>
        <v>1951401</v>
      </c>
      <c r="EH26" s="174">
        <f>+ROUND(((EH15)*'DATOS ENTRADA'!$B$43),0)</f>
        <v>1951401</v>
      </c>
      <c r="EI26" s="174">
        <f>+ROUND(((EI15)*'DATOS ENTRADA'!$B$43),0)</f>
        <v>1951401</v>
      </c>
      <c r="EJ26" s="174">
        <f>+ROUND(((EJ15)*'DATOS ENTRADA'!$B$43),0)</f>
        <v>1951401</v>
      </c>
      <c r="EK26" s="174">
        <f>+ROUND(((EK15)*'DATOS ENTRADA'!$B$43),0)</f>
        <v>1951401</v>
      </c>
      <c r="EL26" s="174">
        <f>+ROUND(((EL15)*'DATOS ENTRADA'!$B$43),0)</f>
        <v>1951401</v>
      </c>
      <c r="EM26" s="174">
        <f>+ROUND(((EM15)*'DATOS ENTRADA'!$B$43),0)</f>
        <v>1951401</v>
      </c>
      <c r="EN26" s="174">
        <f>+ROUND(((EN15)*'DATOS ENTRADA'!$B$43),0)</f>
        <v>1951401</v>
      </c>
      <c r="EO26" s="173">
        <f>+SUM(EP26:FA26)</f>
        <v>24821832</v>
      </c>
      <c r="EP26" s="174">
        <f>+ROUND(((EP15)*'DATOS ENTRADA'!$B$43),0)</f>
        <v>2068486</v>
      </c>
      <c r="EQ26" s="174">
        <f>+ROUND(((EQ15)*'DATOS ENTRADA'!$B$43),0)</f>
        <v>2068486</v>
      </c>
      <c r="ER26" s="174">
        <f>+ROUND(((ER15)*'DATOS ENTRADA'!$B$43),0)</f>
        <v>2068486</v>
      </c>
      <c r="ES26" s="174">
        <f>+ROUND(((ES15)*'DATOS ENTRADA'!$B$43),0)</f>
        <v>2068486</v>
      </c>
      <c r="ET26" s="174">
        <f>+ROUND(((ET15)*'DATOS ENTRADA'!$B$43),0)</f>
        <v>2068486</v>
      </c>
      <c r="EU26" s="174">
        <f>+ROUND(((EU15)*'DATOS ENTRADA'!$B$43),0)</f>
        <v>2068486</v>
      </c>
      <c r="EV26" s="174">
        <f>+ROUND(((EV15)*'DATOS ENTRADA'!$B$43),0)</f>
        <v>2068486</v>
      </c>
      <c r="EW26" s="174">
        <f>+ROUND(((EW15)*'DATOS ENTRADA'!$B$43),0)</f>
        <v>2068486</v>
      </c>
      <c r="EX26" s="174">
        <f>+ROUND(((EX15)*'DATOS ENTRADA'!$B$43),0)</f>
        <v>2068486</v>
      </c>
      <c r="EY26" s="174">
        <f>+ROUND(((EY15)*'DATOS ENTRADA'!$B$43),0)</f>
        <v>2068486</v>
      </c>
      <c r="EZ26" s="174">
        <f>+ROUND(((EZ15)*'DATOS ENTRADA'!$B$43),0)</f>
        <v>2068486</v>
      </c>
      <c r="FA26" s="174">
        <f>+ROUND(((FA15)*'DATOS ENTRADA'!$B$43),0)</f>
        <v>2068486</v>
      </c>
      <c r="FB26" s="173">
        <f>+SUM(FC26:FN26)</f>
        <v>26311140</v>
      </c>
      <c r="FC26" s="174">
        <f>+ROUND(((FC15)*'DATOS ENTRADA'!$B$43),0)</f>
        <v>2192595</v>
      </c>
      <c r="FD26" s="174">
        <f>+ROUND(((FD15)*'DATOS ENTRADA'!$B$43),0)</f>
        <v>2192595</v>
      </c>
      <c r="FE26" s="174">
        <f>+ROUND(((FE15)*'DATOS ENTRADA'!$B$43),0)</f>
        <v>2192595</v>
      </c>
      <c r="FF26" s="174">
        <f>+ROUND(((FF15)*'DATOS ENTRADA'!$B$43),0)</f>
        <v>2192595</v>
      </c>
      <c r="FG26" s="174">
        <f>+ROUND(((FG15)*'DATOS ENTRADA'!$B$43),0)</f>
        <v>2192595</v>
      </c>
      <c r="FH26" s="174">
        <f>+ROUND(((FH15)*'DATOS ENTRADA'!$B$43),0)</f>
        <v>2192595</v>
      </c>
      <c r="FI26" s="174">
        <f>+ROUND(((FI15)*'DATOS ENTRADA'!$B$43),0)</f>
        <v>2192595</v>
      </c>
      <c r="FJ26" s="174">
        <f>+ROUND(((FJ15)*'DATOS ENTRADA'!$B$43),0)</f>
        <v>2192595</v>
      </c>
      <c r="FK26" s="174">
        <f>+ROUND(((FK15)*'DATOS ENTRADA'!$B$43),0)</f>
        <v>2192595</v>
      </c>
      <c r="FL26" s="174">
        <f>+ROUND(((FL15)*'DATOS ENTRADA'!$B$43),0)</f>
        <v>2192595</v>
      </c>
      <c r="FM26" s="174">
        <f>+ROUND(((FM15)*'DATOS ENTRADA'!$B$43),0)</f>
        <v>2192595</v>
      </c>
      <c r="FN26" s="174">
        <f>+ROUND(((FN15)*'DATOS ENTRADA'!$B$43),0)</f>
        <v>2192595</v>
      </c>
      <c r="FO26" s="173">
        <f>+SUM(FP26:GA26)</f>
        <v>27889800</v>
      </c>
      <c r="FP26" s="174">
        <f>+ROUND(((FP15)*'DATOS ENTRADA'!$B$43),0)</f>
        <v>2324150</v>
      </c>
      <c r="FQ26" s="174">
        <f>+ROUND(((FQ15)*'DATOS ENTRADA'!$B$43),0)</f>
        <v>2324150</v>
      </c>
      <c r="FR26" s="174">
        <f>+ROUND(((FR15)*'DATOS ENTRADA'!$B$43),0)</f>
        <v>2324150</v>
      </c>
      <c r="FS26" s="174">
        <f>+ROUND(((FS15)*'DATOS ENTRADA'!$B$43),0)</f>
        <v>2324150</v>
      </c>
      <c r="FT26" s="174">
        <f>+ROUND(((FT15)*'DATOS ENTRADA'!$B$43),0)</f>
        <v>2324150</v>
      </c>
      <c r="FU26" s="174">
        <f>+ROUND(((FU15)*'DATOS ENTRADA'!$B$43),0)</f>
        <v>2324150</v>
      </c>
      <c r="FV26" s="174">
        <f>+ROUND(((FV15)*'DATOS ENTRADA'!$B$43),0)</f>
        <v>2324150</v>
      </c>
      <c r="FW26" s="174">
        <f>+ROUND(((FW15)*'DATOS ENTRADA'!$B$43),0)</f>
        <v>2324150</v>
      </c>
      <c r="FX26" s="174">
        <f>+ROUND(((FX15)*'DATOS ENTRADA'!$B$43),0)</f>
        <v>2324150</v>
      </c>
      <c r="FY26" s="174">
        <f>+ROUND(((FY15)*'DATOS ENTRADA'!$B$43),0)</f>
        <v>2324150</v>
      </c>
      <c r="FZ26" s="174">
        <f>+ROUND(((FZ15)*'DATOS ENTRADA'!$B$43),0)</f>
        <v>2324150</v>
      </c>
      <c r="GA26" s="174">
        <f>+ROUND(((GA15)*'DATOS ENTRADA'!$B$43),0)</f>
        <v>2324150</v>
      </c>
      <c r="GB26" s="173">
        <f t="shared" ref="GB26:GB32" si="206">+SUM(GC26:GG26)</f>
        <v>12317995</v>
      </c>
      <c r="GC26" s="174">
        <f>+ROUND(((GC15)*'DATOS ENTRADA'!$B$43),0)</f>
        <v>2463599</v>
      </c>
      <c r="GD26" s="174">
        <f>+ROUND(((GD15)*'DATOS ENTRADA'!$B$43),0)</f>
        <v>2463599</v>
      </c>
      <c r="GE26" s="174">
        <f>+ROUND(((GE15)*'DATOS ENTRADA'!$B$43),0)</f>
        <v>2463599</v>
      </c>
      <c r="GF26" s="174">
        <f>+ROUND(((GF15)*'DATOS ENTRADA'!$B$43),0)</f>
        <v>2463599</v>
      </c>
      <c r="GG26" s="174">
        <f>+ROUND(((GG15)*'DATOS ENTRADA'!$B$43),0)</f>
        <v>2463599</v>
      </c>
    </row>
    <row r="27" spans="1:189" s="175" customFormat="1" ht="29.25" customHeight="1" x14ac:dyDescent="0.25">
      <c r="A27" s="80" t="s">
        <v>197</v>
      </c>
      <c r="B27" s="173">
        <f>+SUM(C27:N27)</f>
        <v>85027674</v>
      </c>
      <c r="C27" s="174">
        <f>+'CAOM Lum_Act'!C59+'CAOM Lum_Fut'!C59+'CAOM Infraestructura'!E53</f>
        <v>5509686</v>
      </c>
      <c r="D27" s="174">
        <f>+'CAOM Lum_Act'!C60+'CAOM Lum_Fut'!C60+'CAOM Infraestructura'!E53</f>
        <v>5796223</v>
      </c>
      <c r="E27" s="174">
        <f>+'CAOM Lum_Act'!C61+'CAOM Lum_Fut'!C61+'CAOM Infraestructura'!E53</f>
        <v>6082760</v>
      </c>
      <c r="F27" s="174">
        <f>+'CAOM Lum_Act'!C62+'CAOM Lum_Fut'!C62+'CAOM Infraestructura'!E53</f>
        <v>6369297</v>
      </c>
      <c r="G27" s="174">
        <f>+'CAOM Lum_Act'!C63+'CAOM Lum_Fut'!C63+'CAOM Infraestructura'!E53</f>
        <v>6655834</v>
      </c>
      <c r="H27" s="174">
        <f>+'CAOM Lum_Act'!C64+'CAOM Lum_Fut'!C64+'CAOM Infraestructura'!E53</f>
        <v>6942371</v>
      </c>
      <c r="I27" s="174">
        <f>+'CAOM Lum_Act'!C65+'CAOM Lum_Fut'!C65+'CAOM Infraestructura'!E53</f>
        <v>7228908</v>
      </c>
      <c r="J27" s="174">
        <f>+'CAOM Lum_Act'!C66+'CAOM Lum_Fut'!C66+'CAOM Infraestructura'!E53</f>
        <v>7515445</v>
      </c>
      <c r="K27" s="174">
        <f>+'CAOM Lum_Act'!C67+'CAOM Lum_Fut'!C67+'CAOM Infraestructura'!E53</f>
        <v>7801982</v>
      </c>
      <c r="L27" s="174">
        <f>+'CAOM Lum_Act'!C68+'CAOM Lum_Fut'!C68+'CAOM Infraestructura'!E53</f>
        <v>8088519</v>
      </c>
      <c r="M27" s="174">
        <f>+'CAOM Lum_Act'!C69+'CAOM Lum_Fut'!C69+'CAOM Infraestructura'!E53</f>
        <v>8375056</v>
      </c>
      <c r="N27" s="174">
        <f>+'CAOM Lum_Act'!C70+'CAOM Lum_Fut'!C70+'CAOM Infraestructura'!E53</f>
        <v>8661593</v>
      </c>
      <c r="O27" s="173">
        <f>+SUM(P27:AA27)</f>
        <v>103939128</v>
      </c>
      <c r="P27" s="174">
        <f>+'CAOM Lum_Fut'!E53+'CAOM Infraestructura'!E53</f>
        <v>8661594</v>
      </c>
      <c r="Q27" s="174">
        <f>+P27</f>
        <v>8661594</v>
      </c>
      <c r="R27" s="174">
        <f t="shared" ref="R27:AA27" si="207">+Q27</f>
        <v>8661594</v>
      </c>
      <c r="S27" s="174">
        <f t="shared" si="207"/>
        <v>8661594</v>
      </c>
      <c r="T27" s="174">
        <f t="shared" si="207"/>
        <v>8661594</v>
      </c>
      <c r="U27" s="174">
        <f t="shared" si="207"/>
        <v>8661594</v>
      </c>
      <c r="V27" s="174">
        <f t="shared" si="207"/>
        <v>8661594</v>
      </c>
      <c r="W27" s="174">
        <f t="shared" si="207"/>
        <v>8661594</v>
      </c>
      <c r="X27" s="174">
        <f t="shared" si="207"/>
        <v>8661594</v>
      </c>
      <c r="Y27" s="174">
        <f t="shared" si="207"/>
        <v>8661594</v>
      </c>
      <c r="Z27" s="174">
        <f t="shared" si="207"/>
        <v>8661594</v>
      </c>
      <c r="AA27" s="174">
        <f t="shared" si="207"/>
        <v>8661594</v>
      </c>
      <c r="AB27" s="173">
        <f>+SUM(AC27:AN27)</f>
        <v>109136088</v>
      </c>
      <c r="AC27" s="174">
        <f>+ROUND((AA27*(1+AC5)),0)</f>
        <v>9094674</v>
      </c>
      <c r="AD27" s="174">
        <f>+AC27</f>
        <v>9094674</v>
      </c>
      <c r="AE27" s="174">
        <f t="shared" ref="AE27" si="208">+AD27</f>
        <v>9094674</v>
      </c>
      <c r="AF27" s="174">
        <f t="shared" ref="AF27" si="209">+AE27</f>
        <v>9094674</v>
      </c>
      <c r="AG27" s="174">
        <f t="shared" ref="AG27" si="210">+AF27</f>
        <v>9094674</v>
      </c>
      <c r="AH27" s="174">
        <f t="shared" ref="AH27" si="211">+AG27</f>
        <v>9094674</v>
      </c>
      <c r="AI27" s="174">
        <f t="shared" ref="AI27" si="212">+AH27</f>
        <v>9094674</v>
      </c>
      <c r="AJ27" s="174">
        <f t="shared" ref="AJ27" si="213">+AI27</f>
        <v>9094674</v>
      </c>
      <c r="AK27" s="174">
        <f t="shared" ref="AK27" si="214">+AJ27</f>
        <v>9094674</v>
      </c>
      <c r="AL27" s="174">
        <f t="shared" ref="AL27" si="215">+AK27</f>
        <v>9094674</v>
      </c>
      <c r="AM27" s="174">
        <f t="shared" ref="AM27" si="216">+AL27</f>
        <v>9094674</v>
      </c>
      <c r="AN27" s="174">
        <f t="shared" ref="AN27" si="217">+AM27</f>
        <v>9094674</v>
      </c>
      <c r="AO27" s="173">
        <f>+SUM(AP27:BA27)</f>
        <v>114592896</v>
      </c>
      <c r="AP27" s="174">
        <f>+ROUND((AN27*(1+AP5)),0)</f>
        <v>9549408</v>
      </c>
      <c r="AQ27" s="174">
        <f>+AP27</f>
        <v>9549408</v>
      </c>
      <c r="AR27" s="174">
        <f t="shared" ref="AR27" si="218">+AQ27</f>
        <v>9549408</v>
      </c>
      <c r="AS27" s="174">
        <f t="shared" ref="AS27" si="219">+AR27</f>
        <v>9549408</v>
      </c>
      <c r="AT27" s="174">
        <f t="shared" ref="AT27" si="220">+AS27</f>
        <v>9549408</v>
      </c>
      <c r="AU27" s="174">
        <f t="shared" ref="AU27" si="221">+AT27</f>
        <v>9549408</v>
      </c>
      <c r="AV27" s="174">
        <f t="shared" ref="AV27" si="222">+AU27</f>
        <v>9549408</v>
      </c>
      <c r="AW27" s="174">
        <f t="shared" ref="AW27" si="223">+AV27</f>
        <v>9549408</v>
      </c>
      <c r="AX27" s="174">
        <f t="shared" ref="AX27" si="224">+AW27</f>
        <v>9549408</v>
      </c>
      <c r="AY27" s="174">
        <f t="shared" ref="AY27" si="225">+AX27</f>
        <v>9549408</v>
      </c>
      <c r="AZ27" s="174">
        <f t="shared" ref="AZ27" si="226">+AY27</f>
        <v>9549408</v>
      </c>
      <c r="BA27" s="174">
        <f t="shared" ref="BA27" si="227">+AZ27</f>
        <v>9549408</v>
      </c>
      <c r="BB27" s="173">
        <f>+SUM(BC27:BN27)</f>
        <v>120322536</v>
      </c>
      <c r="BC27" s="174">
        <f>+ROUND((BA27*(1+BC5)),0)</f>
        <v>10026878</v>
      </c>
      <c r="BD27" s="174">
        <f>+BC27</f>
        <v>10026878</v>
      </c>
      <c r="BE27" s="174">
        <f t="shared" ref="BE27" si="228">+BD27</f>
        <v>10026878</v>
      </c>
      <c r="BF27" s="174">
        <f t="shared" ref="BF27" si="229">+BE27</f>
        <v>10026878</v>
      </c>
      <c r="BG27" s="174">
        <f t="shared" ref="BG27" si="230">+BF27</f>
        <v>10026878</v>
      </c>
      <c r="BH27" s="174">
        <f t="shared" ref="BH27" si="231">+BG27</f>
        <v>10026878</v>
      </c>
      <c r="BI27" s="174">
        <f t="shared" ref="BI27" si="232">+BH27</f>
        <v>10026878</v>
      </c>
      <c r="BJ27" s="174">
        <f t="shared" ref="BJ27" si="233">+BI27</f>
        <v>10026878</v>
      </c>
      <c r="BK27" s="174">
        <f t="shared" ref="BK27" si="234">+BJ27</f>
        <v>10026878</v>
      </c>
      <c r="BL27" s="174">
        <f t="shared" ref="BL27" si="235">+BK27</f>
        <v>10026878</v>
      </c>
      <c r="BM27" s="174">
        <f t="shared" ref="BM27" si="236">+BL27</f>
        <v>10026878</v>
      </c>
      <c r="BN27" s="174">
        <f t="shared" ref="BN27" si="237">+BM27</f>
        <v>10026878</v>
      </c>
      <c r="BO27" s="173">
        <f>+SUM(BP27:CA27)</f>
        <v>126338664</v>
      </c>
      <c r="BP27" s="174">
        <f>+ROUND((BN27*(1+BP5)),0)</f>
        <v>10528222</v>
      </c>
      <c r="BQ27" s="174">
        <f>+BP27</f>
        <v>10528222</v>
      </c>
      <c r="BR27" s="174">
        <f t="shared" ref="BR27" si="238">+BQ27</f>
        <v>10528222</v>
      </c>
      <c r="BS27" s="174">
        <f t="shared" ref="BS27" si="239">+BR27</f>
        <v>10528222</v>
      </c>
      <c r="BT27" s="174">
        <f t="shared" ref="BT27" si="240">+BS27</f>
        <v>10528222</v>
      </c>
      <c r="BU27" s="174">
        <f t="shared" ref="BU27" si="241">+BT27</f>
        <v>10528222</v>
      </c>
      <c r="BV27" s="174">
        <f t="shared" ref="BV27" si="242">+BU27</f>
        <v>10528222</v>
      </c>
      <c r="BW27" s="174">
        <f t="shared" ref="BW27" si="243">+BV27</f>
        <v>10528222</v>
      </c>
      <c r="BX27" s="174">
        <f t="shared" ref="BX27" si="244">+BW27</f>
        <v>10528222</v>
      </c>
      <c r="BY27" s="174">
        <f t="shared" ref="BY27" si="245">+BX27</f>
        <v>10528222</v>
      </c>
      <c r="BZ27" s="174">
        <f t="shared" ref="BZ27" si="246">+BY27</f>
        <v>10528222</v>
      </c>
      <c r="CA27" s="174">
        <f t="shared" ref="CA27" si="247">+BZ27</f>
        <v>10528222</v>
      </c>
      <c r="CB27" s="173">
        <f>+SUM(CC27:CN27)</f>
        <v>132655596</v>
      </c>
      <c r="CC27" s="174">
        <f>+ROUND((CA27*(1+CC5)),0)</f>
        <v>11054633</v>
      </c>
      <c r="CD27" s="174">
        <f>+CC27</f>
        <v>11054633</v>
      </c>
      <c r="CE27" s="174">
        <f t="shared" ref="CE27" si="248">+CD27</f>
        <v>11054633</v>
      </c>
      <c r="CF27" s="174">
        <f t="shared" ref="CF27" si="249">+CE27</f>
        <v>11054633</v>
      </c>
      <c r="CG27" s="174">
        <f t="shared" ref="CG27" si="250">+CF27</f>
        <v>11054633</v>
      </c>
      <c r="CH27" s="174">
        <f t="shared" ref="CH27" si="251">+CG27</f>
        <v>11054633</v>
      </c>
      <c r="CI27" s="174">
        <f t="shared" ref="CI27" si="252">+CH27</f>
        <v>11054633</v>
      </c>
      <c r="CJ27" s="174">
        <f t="shared" ref="CJ27" si="253">+CI27</f>
        <v>11054633</v>
      </c>
      <c r="CK27" s="174">
        <f t="shared" ref="CK27" si="254">+CJ27</f>
        <v>11054633</v>
      </c>
      <c r="CL27" s="174">
        <f t="shared" ref="CL27" si="255">+CK27</f>
        <v>11054633</v>
      </c>
      <c r="CM27" s="174">
        <f t="shared" ref="CM27" si="256">+CL27</f>
        <v>11054633</v>
      </c>
      <c r="CN27" s="174">
        <f t="shared" ref="CN27" si="257">+CM27</f>
        <v>11054633</v>
      </c>
      <c r="CO27" s="173">
        <f>+SUM(CP27:DA27)</f>
        <v>139288380</v>
      </c>
      <c r="CP27" s="174">
        <f>+ROUND((CN27*(1+CP5)),0)</f>
        <v>11607365</v>
      </c>
      <c r="CQ27" s="174">
        <f>+CP27</f>
        <v>11607365</v>
      </c>
      <c r="CR27" s="174">
        <f t="shared" ref="CR27" si="258">+CQ27</f>
        <v>11607365</v>
      </c>
      <c r="CS27" s="174">
        <f t="shared" ref="CS27" si="259">+CR27</f>
        <v>11607365</v>
      </c>
      <c r="CT27" s="174">
        <f t="shared" ref="CT27" si="260">+CS27</f>
        <v>11607365</v>
      </c>
      <c r="CU27" s="174">
        <f t="shared" ref="CU27" si="261">+CT27</f>
        <v>11607365</v>
      </c>
      <c r="CV27" s="174">
        <f t="shared" ref="CV27" si="262">+CU27</f>
        <v>11607365</v>
      </c>
      <c r="CW27" s="174">
        <f t="shared" ref="CW27" si="263">+CV27</f>
        <v>11607365</v>
      </c>
      <c r="CX27" s="174">
        <f t="shared" ref="CX27" si="264">+CW27</f>
        <v>11607365</v>
      </c>
      <c r="CY27" s="174">
        <f t="shared" ref="CY27" si="265">+CX27</f>
        <v>11607365</v>
      </c>
      <c r="CZ27" s="174">
        <f t="shared" ref="CZ27" si="266">+CY27</f>
        <v>11607365</v>
      </c>
      <c r="DA27" s="174">
        <f t="shared" ref="DA27" si="267">+CZ27</f>
        <v>11607365</v>
      </c>
      <c r="DB27" s="173">
        <f>+SUM(DC27:DN27)</f>
        <v>146252796</v>
      </c>
      <c r="DC27" s="174">
        <f>+ROUND((DA27*(1+DC5)),0)</f>
        <v>12187733</v>
      </c>
      <c r="DD27" s="174">
        <f>+DC27</f>
        <v>12187733</v>
      </c>
      <c r="DE27" s="174">
        <f t="shared" ref="DE27" si="268">+DD27</f>
        <v>12187733</v>
      </c>
      <c r="DF27" s="174">
        <f t="shared" ref="DF27" si="269">+DE27</f>
        <v>12187733</v>
      </c>
      <c r="DG27" s="174">
        <f t="shared" ref="DG27" si="270">+DF27</f>
        <v>12187733</v>
      </c>
      <c r="DH27" s="174">
        <f t="shared" ref="DH27" si="271">+DG27</f>
        <v>12187733</v>
      </c>
      <c r="DI27" s="174">
        <f t="shared" ref="DI27" si="272">+DH27</f>
        <v>12187733</v>
      </c>
      <c r="DJ27" s="174">
        <f t="shared" ref="DJ27" si="273">+DI27</f>
        <v>12187733</v>
      </c>
      <c r="DK27" s="174">
        <f t="shared" ref="DK27" si="274">+DJ27</f>
        <v>12187733</v>
      </c>
      <c r="DL27" s="174">
        <f t="shared" ref="DL27" si="275">+DK27</f>
        <v>12187733</v>
      </c>
      <c r="DM27" s="174">
        <f t="shared" ref="DM27" si="276">+DL27</f>
        <v>12187733</v>
      </c>
      <c r="DN27" s="174">
        <f t="shared" ref="DN27" si="277">+DM27</f>
        <v>12187733</v>
      </c>
      <c r="DO27" s="173">
        <f>+SUM(DP27:EA27)</f>
        <v>153565440</v>
      </c>
      <c r="DP27" s="174">
        <f>+ROUND((DN27*(1+DP5)),0)</f>
        <v>12797120</v>
      </c>
      <c r="DQ27" s="174">
        <f>+DP27</f>
        <v>12797120</v>
      </c>
      <c r="DR27" s="174">
        <f t="shared" ref="DR27" si="278">+DQ27</f>
        <v>12797120</v>
      </c>
      <c r="DS27" s="174">
        <f t="shared" ref="DS27" si="279">+DR27</f>
        <v>12797120</v>
      </c>
      <c r="DT27" s="174">
        <f t="shared" ref="DT27" si="280">+DS27</f>
        <v>12797120</v>
      </c>
      <c r="DU27" s="174">
        <f t="shared" ref="DU27" si="281">+DT27</f>
        <v>12797120</v>
      </c>
      <c r="DV27" s="174">
        <f t="shared" ref="DV27" si="282">+DU27</f>
        <v>12797120</v>
      </c>
      <c r="DW27" s="174">
        <f t="shared" ref="DW27" si="283">+DV27</f>
        <v>12797120</v>
      </c>
      <c r="DX27" s="174">
        <f t="shared" ref="DX27" si="284">+DW27</f>
        <v>12797120</v>
      </c>
      <c r="DY27" s="174">
        <f t="shared" ref="DY27" si="285">+DX27</f>
        <v>12797120</v>
      </c>
      <c r="DZ27" s="174">
        <f t="shared" ref="DZ27" si="286">+DY27</f>
        <v>12797120</v>
      </c>
      <c r="EA27" s="174">
        <f t="shared" ref="EA27" si="287">+DZ27</f>
        <v>12797120</v>
      </c>
      <c r="EB27" s="173">
        <f>+SUM(EC27:EN27)</f>
        <v>161243712</v>
      </c>
      <c r="EC27" s="174">
        <f>+ROUND((EA27*(1+EC5)),0)</f>
        <v>13436976</v>
      </c>
      <c r="ED27" s="174">
        <f>+EC27</f>
        <v>13436976</v>
      </c>
      <c r="EE27" s="174">
        <f t="shared" ref="EE27" si="288">+ED27</f>
        <v>13436976</v>
      </c>
      <c r="EF27" s="174">
        <f t="shared" ref="EF27" si="289">+EE27</f>
        <v>13436976</v>
      </c>
      <c r="EG27" s="174">
        <f t="shared" ref="EG27" si="290">+EF27</f>
        <v>13436976</v>
      </c>
      <c r="EH27" s="174">
        <f t="shared" ref="EH27" si="291">+EG27</f>
        <v>13436976</v>
      </c>
      <c r="EI27" s="174">
        <f t="shared" ref="EI27" si="292">+EH27</f>
        <v>13436976</v>
      </c>
      <c r="EJ27" s="174">
        <f t="shared" ref="EJ27" si="293">+EI27</f>
        <v>13436976</v>
      </c>
      <c r="EK27" s="174">
        <f t="shared" ref="EK27" si="294">+EJ27</f>
        <v>13436976</v>
      </c>
      <c r="EL27" s="174">
        <f t="shared" ref="EL27" si="295">+EK27</f>
        <v>13436976</v>
      </c>
      <c r="EM27" s="174">
        <f t="shared" ref="EM27" si="296">+EL27</f>
        <v>13436976</v>
      </c>
      <c r="EN27" s="174">
        <f t="shared" ref="EN27" si="297">+EM27</f>
        <v>13436976</v>
      </c>
      <c r="EO27" s="173">
        <f>+SUM(EP27:FA27)</f>
        <v>169305900</v>
      </c>
      <c r="EP27" s="174">
        <f>+ROUND((EN27*(1+EP5)),0)</f>
        <v>14108825</v>
      </c>
      <c r="EQ27" s="174">
        <f>+EP27</f>
        <v>14108825</v>
      </c>
      <c r="ER27" s="174">
        <f t="shared" ref="ER27" si="298">+EQ27</f>
        <v>14108825</v>
      </c>
      <c r="ES27" s="174">
        <f t="shared" ref="ES27" si="299">+ER27</f>
        <v>14108825</v>
      </c>
      <c r="ET27" s="174">
        <f t="shared" ref="ET27" si="300">+ES27</f>
        <v>14108825</v>
      </c>
      <c r="EU27" s="174">
        <f t="shared" ref="EU27" si="301">+ET27</f>
        <v>14108825</v>
      </c>
      <c r="EV27" s="174">
        <f t="shared" ref="EV27" si="302">+EU27</f>
        <v>14108825</v>
      </c>
      <c r="EW27" s="174">
        <f t="shared" ref="EW27" si="303">+EV27</f>
        <v>14108825</v>
      </c>
      <c r="EX27" s="174">
        <f t="shared" ref="EX27" si="304">+EW27</f>
        <v>14108825</v>
      </c>
      <c r="EY27" s="174">
        <f t="shared" ref="EY27" si="305">+EX27</f>
        <v>14108825</v>
      </c>
      <c r="EZ27" s="174">
        <f t="shared" ref="EZ27" si="306">+EY27</f>
        <v>14108825</v>
      </c>
      <c r="FA27" s="174">
        <f t="shared" ref="FA27" si="307">+EZ27</f>
        <v>14108825</v>
      </c>
      <c r="FB27" s="173">
        <f>+SUM(FC27:FN27)</f>
        <v>177771192</v>
      </c>
      <c r="FC27" s="174">
        <f>+ROUND((FA27*(1+FC5)),0)</f>
        <v>14814266</v>
      </c>
      <c r="FD27" s="174">
        <f>+FC27</f>
        <v>14814266</v>
      </c>
      <c r="FE27" s="174">
        <f t="shared" ref="FE27" si="308">+FD27</f>
        <v>14814266</v>
      </c>
      <c r="FF27" s="174">
        <f t="shared" ref="FF27" si="309">+FE27</f>
        <v>14814266</v>
      </c>
      <c r="FG27" s="174">
        <f t="shared" ref="FG27" si="310">+FF27</f>
        <v>14814266</v>
      </c>
      <c r="FH27" s="174">
        <f t="shared" ref="FH27" si="311">+FG27</f>
        <v>14814266</v>
      </c>
      <c r="FI27" s="174">
        <f t="shared" ref="FI27" si="312">+FH27</f>
        <v>14814266</v>
      </c>
      <c r="FJ27" s="174">
        <f t="shared" ref="FJ27" si="313">+FI27</f>
        <v>14814266</v>
      </c>
      <c r="FK27" s="174">
        <f t="shared" ref="FK27" si="314">+FJ27</f>
        <v>14814266</v>
      </c>
      <c r="FL27" s="174">
        <f t="shared" ref="FL27" si="315">+FK27</f>
        <v>14814266</v>
      </c>
      <c r="FM27" s="174">
        <f t="shared" ref="FM27" si="316">+FL27</f>
        <v>14814266</v>
      </c>
      <c r="FN27" s="174">
        <f t="shared" ref="FN27" si="317">+FM27</f>
        <v>14814266</v>
      </c>
      <c r="FO27" s="173">
        <f>+SUM(FP27:GA27)</f>
        <v>186659748</v>
      </c>
      <c r="FP27" s="174">
        <f>+ROUND((FN27*(1+FP5)),0)</f>
        <v>15554979</v>
      </c>
      <c r="FQ27" s="174">
        <f>+FP27</f>
        <v>15554979</v>
      </c>
      <c r="FR27" s="174">
        <f t="shared" ref="FR27" si="318">+FQ27</f>
        <v>15554979</v>
      </c>
      <c r="FS27" s="174">
        <f t="shared" ref="FS27" si="319">+FR27</f>
        <v>15554979</v>
      </c>
      <c r="FT27" s="174">
        <f t="shared" ref="FT27" si="320">+FS27</f>
        <v>15554979</v>
      </c>
      <c r="FU27" s="174">
        <f t="shared" ref="FU27" si="321">+FT27</f>
        <v>15554979</v>
      </c>
      <c r="FV27" s="174">
        <f t="shared" ref="FV27" si="322">+FU27</f>
        <v>15554979</v>
      </c>
      <c r="FW27" s="174">
        <f t="shared" ref="FW27" si="323">+FV27</f>
        <v>15554979</v>
      </c>
      <c r="FX27" s="174">
        <f t="shared" ref="FX27" si="324">+FW27</f>
        <v>15554979</v>
      </c>
      <c r="FY27" s="174">
        <f t="shared" ref="FY27" si="325">+FX27</f>
        <v>15554979</v>
      </c>
      <c r="FZ27" s="174">
        <f t="shared" ref="FZ27" si="326">+FY27</f>
        <v>15554979</v>
      </c>
      <c r="GA27" s="174">
        <f t="shared" ref="GA27" si="327">+FZ27</f>
        <v>15554979</v>
      </c>
      <c r="GB27" s="173">
        <f t="shared" si="206"/>
        <v>81663640</v>
      </c>
      <c r="GC27" s="174">
        <f>+ROUND((GA27*(1+GC5)),0)</f>
        <v>16332728</v>
      </c>
      <c r="GD27" s="174">
        <f>+GC27</f>
        <v>16332728</v>
      </c>
      <c r="GE27" s="174">
        <f t="shared" ref="GE27" si="328">+GD27</f>
        <v>16332728</v>
      </c>
      <c r="GF27" s="174">
        <f t="shared" ref="GF27" si="329">+GE27</f>
        <v>16332728</v>
      </c>
      <c r="GG27" s="174">
        <f t="shared" ref="GG27" si="330">+GF27</f>
        <v>16332728</v>
      </c>
    </row>
    <row r="28" spans="1:189" s="175" customFormat="1" ht="28.5" x14ac:dyDescent="0.25">
      <c r="A28" s="80" t="s">
        <v>196</v>
      </c>
      <c r="B28" s="173">
        <f t="shared" ref="B28:B32" si="331">+SUM(C28:N28)</f>
        <v>0</v>
      </c>
      <c r="C28" s="174">
        <v>0</v>
      </c>
      <c r="D28" s="174">
        <v>0</v>
      </c>
      <c r="E28" s="174">
        <v>0</v>
      </c>
      <c r="F28" s="174">
        <v>0</v>
      </c>
      <c r="G28" s="174">
        <v>0</v>
      </c>
      <c r="H28" s="174">
        <v>0</v>
      </c>
      <c r="I28" s="174">
        <v>0</v>
      </c>
      <c r="J28" s="174">
        <v>0</v>
      </c>
      <c r="K28" s="174">
        <v>0</v>
      </c>
      <c r="L28" s="174">
        <v>0</v>
      </c>
      <c r="M28" s="174">
        <v>0</v>
      </c>
      <c r="N28" s="174">
        <v>0</v>
      </c>
      <c r="O28" s="173">
        <f t="shared" ref="O28:O31" si="332">+SUM(P28:AA28)</f>
        <v>0</v>
      </c>
      <c r="P28" s="174">
        <v>0</v>
      </c>
      <c r="Q28" s="174">
        <v>0</v>
      </c>
      <c r="R28" s="174">
        <v>0</v>
      </c>
      <c r="S28" s="174">
        <v>0</v>
      </c>
      <c r="T28" s="174">
        <v>0</v>
      </c>
      <c r="U28" s="174">
        <v>0</v>
      </c>
      <c r="V28" s="174">
        <v>0</v>
      </c>
      <c r="W28" s="174">
        <v>0</v>
      </c>
      <c r="X28" s="174">
        <v>0</v>
      </c>
      <c r="Y28" s="174">
        <v>0</v>
      </c>
      <c r="Z28" s="174">
        <v>0</v>
      </c>
      <c r="AA28" s="174">
        <v>0</v>
      </c>
      <c r="AB28" s="173">
        <f t="shared" ref="AB28:AB32" si="333">+SUM(AC28:AN28)</f>
        <v>1425120</v>
      </c>
      <c r="AC28" s="174">
        <f>+ROUND((AC26*'DATOS ENTRADA'!$B$18),0)</f>
        <v>118760</v>
      </c>
      <c r="AD28" s="174">
        <f>+ROUND((AD26*'DATOS ENTRADA'!$B$18),0)</f>
        <v>118760</v>
      </c>
      <c r="AE28" s="174">
        <f>+ROUND((AE26*'DATOS ENTRADA'!$B$18),0)</f>
        <v>118760</v>
      </c>
      <c r="AF28" s="174">
        <f>+ROUND((AF26*'DATOS ENTRADA'!$B$18),0)</f>
        <v>118760</v>
      </c>
      <c r="AG28" s="174">
        <f>+ROUND((AG26*'DATOS ENTRADA'!$B$18),0)</f>
        <v>118760</v>
      </c>
      <c r="AH28" s="174">
        <f>+ROUND((AH26*'DATOS ENTRADA'!$B$18),0)</f>
        <v>118760</v>
      </c>
      <c r="AI28" s="174">
        <f>+ROUND((AI26*'DATOS ENTRADA'!$B$18),0)</f>
        <v>118760</v>
      </c>
      <c r="AJ28" s="174">
        <f>+ROUND((AJ26*'DATOS ENTRADA'!$B$18),0)</f>
        <v>118760</v>
      </c>
      <c r="AK28" s="174">
        <f>+ROUND((AK26*'DATOS ENTRADA'!$B$18),0)</f>
        <v>118760</v>
      </c>
      <c r="AL28" s="174">
        <f>+ROUND((AL26*'DATOS ENTRADA'!$B$18),0)</f>
        <v>118760</v>
      </c>
      <c r="AM28" s="174">
        <f>+ROUND((AM26*'DATOS ENTRADA'!$B$18),0)</f>
        <v>118760</v>
      </c>
      <c r="AN28" s="174">
        <f>+ROUND((AN26*'DATOS ENTRADA'!$B$18),0)</f>
        <v>118760</v>
      </c>
      <c r="AO28" s="173">
        <f t="shared" ref="AO28:AO32" si="334">+SUM(AP28:BA28)</f>
        <v>1510632</v>
      </c>
      <c r="AP28" s="174">
        <f>+ROUND((AP26*'DATOS ENTRADA'!$B$18),0)</f>
        <v>125886</v>
      </c>
      <c r="AQ28" s="174">
        <f>+ROUND((AQ26*'DATOS ENTRADA'!$B$18),0)</f>
        <v>125886</v>
      </c>
      <c r="AR28" s="174">
        <f>+ROUND((AR26*'DATOS ENTRADA'!$B$18),0)</f>
        <v>125886</v>
      </c>
      <c r="AS28" s="174">
        <f>+ROUND((AS26*'DATOS ENTRADA'!$B$18),0)</f>
        <v>125886</v>
      </c>
      <c r="AT28" s="174">
        <f>+ROUND((AT26*'DATOS ENTRADA'!$B$18),0)</f>
        <v>125886</v>
      </c>
      <c r="AU28" s="174">
        <f>+ROUND((AU26*'DATOS ENTRADA'!$B$18),0)</f>
        <v>125886</v>
      </c>
      <c r="AV28" s="174">
        <f>+ROUND((AV26*'DATOS ENTRADA'!$B$18),0)</f>
        <v>125886</v>
      </c>
      <c r="AW28" s="174">
        <f>+ROUND((AW26*'DATOS ENTRADA'!$B$18),0)</f>
        <v>125886</v>
      </c>
      <c r="AX28" s="174">
        <f>+ROUND((AX26*'DATOS ENTRADA'!$B$18),0)</f>
        <v>125886</v>
      </c>
      <c r="AY28" s="174">
        <f>+ROUND((AY26*'DATOS ENTRADA'!$B$18),0)</f>
        <v>125886</v>
      </c>
      <c r="AZ28" s="174">
        <f>+ROUND((AZ26*'DATOS ENTRADA'!$B$18),0)</f>
        <v>125886</v>
      </c>
      <c r="BA28" s="174">
        <f>+ROUND((BA26*'DATOS ENTRADA'!$B$18),0)</f>
        <v>125886</v>
      </c>
      <c r="BB28" s="173">
        <f t="shared" ref="BB28:BB32" si="335">+SUM(BC28:BN28)</f>
        <v>1601268</v>
      </c>
      <c r="BC28" s="174">
        <f>+ROUND((BC26*'DATOS ENTRADA'!$B$18),0)</f>
        <v>133439</v>
      </c>
      <c r="BD28" s="174">
        <f>+ROUND((BD26*'DATOS ENTRADA'!$B$18),0)</f>
        <v>133439</v>
      </c>
      <c r="BE28" s="174">
        <f>+ROUND((BE26*'DATOS ENTRADA'!$B$18),0)</f>
        <v>133439</v>
      </c>
      <c r="BF28" s="174">
        <f>+ROUND((BF26*'DATOS ENTRADA'!$B$18),0)</f>
        <v>133439</v>
      </c>
      <c r="BG28" s="174">
        <f>+ROUND((BG26*'DATOS ENTRADA'!$B$18),0)</f>
        <v>133439</v>
      </c>
      <c r="BH28" s="174">
        <f>+ROUND((BH26*'DATOS ENTRADA'!$B$18),0)</f>
        <v>133439</v>
      </c>
      <c r="BI28" s="174">
        <f>+ROUND((BI26*'DATOS ENTRADA'!$B$18),0)</f>
        <v>133439</v>
      </c>
      <c r="BJ28" s="174">
        <f>+ROUND((BJ26*'DATOS ENTRADA'!$B$18),0)</f>
        <v>133439</v>
      </c>
      <c r="BK28" s="174">
        <f>+ROUND((BK26*'DATOS ENTRADA'!$B$18),0)</f>
        <v>133439</v>
      </c>
      <c r="BL28" s="174">
        <f>+ROUND((BL26*'DATOS ENTRADA'!$B$18),0)</f>
        <v>133439</v>
      </c>
      <c r="BM28" s="174">
        <f>+ROUND((BM26*'DATOS ENTRADA'!$B$18),0)</f>
        <v>133439</v>
      </c>
      <c r="BN28" s="174">
        <f>+ROUND((BN26*'DATOS ENTRADA'!$B$18),0)</f>
        <v>133439</v>
      </c>
      <c r="BO28" s="173">
        <f t="shared" ref="BO28:BO32" si="336">+SUM(BP28:CA28)</f>
        <v>1697340</v>
      </c>
      <c r="BP28" s="174">
        <f>+ROUND((BP26*'DATOS ENTRADA'!$B$18),0)</f>
        <v>141445</v>
      </c>
      <c r="BQ28" s="174">
        <f>+ROUND((BQ26*'DATOS ENTRADA'!$B$18),0)</f>
        <v>141445</v>
      </c>
      <c r="BR28" s="174">
        <f>+ROUND((BR26*'DATOS ENTRADA'!$B$18),0)</f>
        <v>141445</v>
      </c>
      <c r="BS28" s="174">
        <f>+ROUND((BS26*'DATOS ENTRADA'!$B$18),0)</f>
        <v>141445</v>
      </c>
      <c r="BT28" s="174">
        <f>+ROUND((BT26*'DATOS ENTRADA'!$B$18),0)</f>
        <v>141445</v>
      </c>
      <c r="BU28" s="174">
        <f>+ROUND((BU26*'DATOS ENTRADA'!$B$18),0)</f>
        <v>141445</v>
      </c>
      <c r="BV28" s="174">
        <f>+ROUND((BV26*'DATOS ENTRADA'!$B$18),0)</f>
        <v>141445</v>
      </c>
      <c r="BW28" s="174">
        <f>+ROUND((BW26*'DATOS ENTRADA'!$B$18),0)</f>
        <v>141445</v>
      </c>
      <c r="BX28" s="174">
        <f>+ROUND((BX26*'DATOS ENTRADA'!$B$18),0)</f>
        <v>141445</v>
      </c>
      <c r="BY28" s="174">
        <f>+ROUND((BY26*'DATOS ENTRADA'!$B$18),0)</f>
        <v>141445</v>
      </c>
      <c r="BZ28" s="174">
        <f>+ROUND((BZ26*'DATOS ENTRADA'!$B$18),0)</f>
        <v>141445</v>
      </c>
      <c r="CA28" s="174">
        <f>+ROUND((CA26*'DATOS ENTRADA'!$B$18),0)</f>
        <v>141445</v>
      </c>
      <c r="CB28" s="173">
        <f t="shared" ref="CB28:CB32" si="337">+SUM(CC28:CN28)</f>
        <v>1799184</v>
      </c>
      <c r="CC28" s="174">
        <f>+ROUND((CC26*'DATOS ENTRADA'!$B$18),0)</f>
        <v>149932</v>
      </c>
      <c r="CD28" s="174">
        <f>+ROUND((CD26*'DATOS ENTRADA'!$B$18),0)</f>
        <v>149932</v>
      </c>
      <c r="CE28" s="174">
        <f>+ROUND((CE26*'DATOS ENTRADA'!$B$18),0)</f>
        <v>149932</v>
      </c>
      <c r="CF28" s="174">
        <f>+ROUND((CF26*'DATOS ENTRADA'!$B$18),0)</f>
        <v>149932</v>
      </c>
      <c r="CG28" s="174">
        <f>+ROUND((CG26*'DATOS ENTRADA'!$B$18),0)</f>
        <v>149932</v>
      </c>
      <c r="CH28" s="174">
        <f>+ROUND((CH26*'DATOS ENTRADA'!$B$18),0)</f>
        <v>149932</v>
      </c>
      <c r="CI28" s="174">
        <f>+ROUND((CI26*'DATOS ENTRADA'!$B$18),0)</f>
        <v>149932</v>
      </c>
      <c r="CJ28" s="174">
        <f>+ROUND((CJ26*'DATOS ENTRADA'!$B$18),0)</f>
        <v>149932</v>
      </c>
      <c r="CK28" s="174">
        <f>+ROUND((CK26*'DATOS ENTRADA'!$B$18),0)</f>
        <v>149932</v>
      </c>
      <c r="CL28" s="174">
        <f>+ROUND((CL26*'DATOS ENTRADA'!$B$18),0)</f>
        <v>149932</v>
      </c>
      <c r="CM28" s="174">
        <f>+ROUND((CM26*'DATOS ENTRADA'!$B$18),0)</f>
        <v>149932</v>
      </c>
      <c r="CN28" s="174">
        <f>+ROUND((CN26*'DATOS ENTRADA'!$B$18),0)</f>
        <v>149932</v>
      </c>
      <c r="CO28" s="173">
        <f t="shared" ref="CO28:CO32" si="338">+SUM(CP28:DA28)</f>
        <v>1907136</v>
      </c>
      <c r="CP28" s="174">
        <f>+ROUND((CP26*'DATOS ENTRADA'!$B$18),0)</f>
        <v>158928</v>
      </c>
      <c r="CQ28" s="174">
        <f>+ROUND((CQ26*'DATOS ENTRADA'!$B$18),0)</f>
        <v>158928</v>
      </c>
      <c r="CR28" s="174">
        <f>+ROUND((CR26*'DATOS ENTRADA'!$B$18),0)</f>
        <v>158928</v>
      </c>
      <c r="CS28" s="174">
        <f>+ROUND((CS26*'DATOS ENTRADA'!$B$18),0)</f>
        <v>158928</v>
      </c>
      <c r="CT28" s="174">
        <f>+ROUND((CT26*'DATOS ENTRADA'!$B$18),0)</f>
        <v>158928</v>
      </c>
      <c r="CU28" s="174">
        <f>+ROUND((CU26*'DATOS ENTRADA'!$B$18),0)</f>
        <v>158928</v>
      </c>
      <c r="CV28" s="174">
        <f>+ROUND((CV26*'DATOS ENTRADA'!$B$18),0)</f>
        <v>158928</v>
      </c>
      <c r="CW28" s="174">
        <f>+ROUND((CW26*'DATOS ENTRADA'!$B$18),0)</f>
        <v>158928</v>
      </c>
      <c r="CX28" s="174">
        <f>+ROUND((CX26*'DATOS ENTRADA'!$B$18),0)</f>
        <v>158928</v>
      </c>
      <c r="CY28" s="174">
        <f>+ROUND((CY26*'DATOS ENTRADA'!$B$18),0)</f>
        <v>158928</v>
      </c>
      <c r="CZ28" s="174">
        <f>+ROUND((CZ26*'DATOS ENTRADA'!$B$18),0)</f>
        <v>158928</v>
      </c>
      <c r="DA28" s="174">
        <f>+ROUND((DA26*'DATOS ENTRADA'!$B$18),0)</f>
        <v>158928</v>
      </c>
      <c r="DB28" s="173">
        <f t="shared" ref="DB28:DB32" si="339">+SUM(DC28:DN28)</f>
        <v>2021568</v>
      </c>
      <c r="DC28" s="174">
        <f>+ROUND((DC26*'DATOS ENTRADA'!$B$18),0)</f>
        <v>168464</v>
      </c>
      <c r="DD28" s="174">
        <f>+ROUND((DD26*'DATOS ENTRADA'!$B$18),0)</f>
        <v>168464</v>
      </c>
      <c r="DE28" s="174">
        <f>+ROUND((DE26*'DATOS ENTRADA'!$B$18),0)</f>
        <v>168464</v>
      </c>
      <c r="DF28" s="174">
        <f>+ROUND((DF26*'DATOS ENTRADA'!$B$18),0)</f>
        <v>168464</v>
      </c>
      <c r="DG28" s="174">
        <f>+ROUND((DG26*'DATOS ENTRADA'!$B$18),0)</f>
        <v>168464</v>
      </c>
      <c r="DH28" s="174">
        <f>+ROUND((DH26*'DATOS ENTRADA'!$B$18),0)</f>
        <v>168464</v>
      </c>
      <c r="DI28" s="174">
        <f>+ROUND((DI26*'DATOS ENTRADA'!$B$18),0)</f>
        <v>168464</v>
      </c>
      <c r="DJ28" s="174">
        <f>+ROUND((DJ26*'DATOS ENTRADA'!$B$18),0)</f>
        <v>168464</v>
      </c>
      <c r="DK28" s="174">
        <f>+ROUND((DK26*'DATOS ENTRADA'!$B$18),0)</f>
        <v>168464</v>
      </c>
      <c r="DL28" s="174">
        <f>+ROUND((DL26*'DATOS ENTRADA'!$B$18),0)</f>
        <v>168464</v>
      </c>
      <c r="DM28" s="174">
        <f>+ROUND((DM26*'DATOS ENTRADA'!$B$18),0)</f>
        <v>168464</v>
      </c>
      <c r="DN28" s="174">
        <f>+ROUND((DN26*'DATOS ENTRADA'!$B$18),0)</f>
        <v>168464</v>
      </c>
      <c r="DO28" s="173">
        <f t="shared" ref="DO28:DO32" si="340">+SUM(DP28:EA28)</f>
        <v>2142864</v>
      </c>
      <c r="DP28" s="174">
        <f>+ROUND((DP26*'DATOS ENTRADA'!$B$18),0)</f>
        <v>178572</v>
      </c>
      <c r="DQ28" s="174">
        <f>+ROUND((DQ26*'DATOS ENTRADA'!$B$18),0)</f>
        <v>178572</v>
      </c>
      <c r="DR28" s="174">
        <f>+ROUND((DR26*'DATOS ENTRADA'!$B$18),0)</f>
        <v>178572</v>
      </c>
      <c r="DS28" s="174">
        <f>+ROUND((DS26*'DATOS ENTRADA'!$B$18),0)</f>
        <v>178572</v>
      </c>
      <c r="DT28" s="174">
        <f>+ROUND((DT26*'DATOS ENTRADA'!$B$18),0)</f>
        <v>178572</v>
      </c>
      <c r="DU28" s="174">
        <f>+ROUND((DU26*'DATOS ENTRADA'!$B$18),0)</f>
        <v>178572</v>
      </c>
      <c r="DV28" s="174">
        <f>+ROUND((DV26*'DATOS ENTRADA'!$B$18),0)</f>
        <v>178572</v>
      </c>
      <c r="DW28" s="174">
        <f>+ROUND((DW26*'DATOS ENTRADA'!$B$18),0)</f>
        <v>178572</v>
      </c>
      <c r="DX28" s="174">
        <f>+ROUND((DX26*'DATOS ENTRADA'!$B$18),0)</f>
        <v>178572</v>
      </c>
      <c r="DY28" s="174">
        <f>+ROUND((DY26*'DATOS ENTRADA'!$B$18),0)</f>
        <v>178572</v>
      </c>
      <c r="DZ28" s="174">
        <f>+ROUND((DZ26*'DATOS ENTRADA'!$B$18),0)</f>
        <v>178572</v>
      </c>
      <c r="EA28" s="174">
        <f>+ROUND((EA26*'DATOS ENTRADA'!$B$18),0)</f>
        <v>178572</v>
      </c>
      <c r="EB28" s="173">
        <f t="shared" ref="EB28:EB32" si="341">+SUM(EC28:EN28)</f>
        <v>2271432</v>
      </c>
      <c r="EC28" s="174">
        <f>+ROUND((EC26*'DATOS ENTRADA'!$B$18),0)</f>
        <v>189286</v>
      </c>
      <c r="ED28" s="174">
        <f>+ROUND((ED26*'DATOS ENTRADA'!$B$18),0)</f>
        <v>189286</v>
      </c>
      <c r="EE28" s="174">
        <f>+ROUND((EE26*'DATOS ENTRADA'!$B$18),0)</f>
        <v>189286</v>
      </c>
      <c r="EF28" s="174">
        <f>+ROUND((EF26*'DATOS ENTRADA'!$B$18),0)</f>
        <v>189286</v>
      </c>
      <c r="EG28" s="174">
        <f>+ROUND((EG26*'DATOS ENTRADA'!$B$18),0)</f>
        <v>189286</v>
      </c>
      <c r="EH28" s="174">
        <f>+ROUND((EH26*'DATOS ENTRADA'!$B$18),0)</f>
        <v>189286</v>
      </c>
      <c r="EI28" s="174">
        <f>+ROUND((EI26*'DATOS ENTRADA'!$B$18),0)</f>
        <v>189286</v>
      </c>
      <c r="EJ28" s="174">
        <f>+ROUND((EJ26*'DATOS ENTRADA'!$B$18),0)</f>
        <v>189286</v>
      </c>
      <c r="EK28" s="174">
        <f>+ROUND((EK26*'DATOS ENTRADA'!$B$18),0)</f>
        <v>189286</v>
      </c>
      <c r="EL28" s="174">
        <f>+ROUND((EL26*'DATOS ENTRADA'!$B$18),0)</f>
        <v>189286</v>
      </c>
      <c r="EM28" s="174">
        <f>+ROUND((EM26*'DATOS ENTRADA'!$B$18),0)</f>
        <v>189286</v>
      </c>
      <c r="EN28" s="174">
        <f>+ROUND((EN26*'DATOS ENTRADA'!$B$18),0)</f>
        <v>189286</v>
      </c>
      <c r="EO28" s="173">
        <f t="shared" ref="EO28:EO32" si="342">+SUM(EP28:FA28)</f>
        <v>2407716</v>
      </c>
      <c r="EP28" s="174">
        <f>+ROUND((EP26*'DATOS ENTRADA'!$B$18),0)</f>
        <v>200643</v>
      </c>
      <c r="EQ28" s="174">
        <f>+ROUND((EQ26*'DATOS ENTRADA'!$B$18),0)</f>
        <v>200643</v>
      </c>
      <c r="ER28" s="174">
        <f>+ROUND((ER26*'DATOS ENTRADA'!$B$18),0)</f>
        <v>200643</v>
      </c>
      <c r="ES28" s="174">
        <f>+ROUND((ES26*'DATOS ENTRADA'!$B$18),0)</f>
        <v>200643</v>
      </c>
      <c r="ET28" s="174">
        <f>+ROUND((ET26*'DATOS ENTRADA'!$B$18),0)</f>
        <v>200643</v>
      </c>
      <c r="EU28" s="174">
        <f>+ROUND((EU26*'DATOS ENTRADA'!$B$18),0)</f>
        <v>200643</v>
      </c>
      <c r="EV28" s="174">
        <f>+ROUND((EV26*'DATOS ENTRADA'!$B$18),0)</f>
        <v>200643</v>
      </c>
      <c r="EW28" s="174">
        <f>+ROUND((EW26*'DATOS ENTRADA'!$B$18),0)</f>
        <v>200643</v>
      </c>
      <c r="EX28" s="174">
        <f>+ROUND((EX26*'DATOS ENTRADA'!$B$18),0)</f>
        <v>200643</v>
      </c>
      <c r="EY28" s="174">
        <f>+ROUND((EY26*'DATOS ENTRADA'!$B$18),0)</f>
        <v>200643</v>
      </c>
      <c r="EZ28" s="174">
        <f>+ROUND((EZ26*'DATOS ENTRADA'!$B$18),0)</f>
        <v>200643</v>
      </c>
      <c r="FA28" s="174">
        <f>+ROUND((FA26*'DATOS ENTRADA'!$B$18),0)</f>
        <v>200643</v>
      </c>
      <c r="FB28" s="173">
        <f t="shared" ref="FB28:FB32" si="343">+SUM(FC28:FN28)</f>
        <v>2552184</v>
      </c>
      <c r="FC28" s="174">
        <f>+ROUND((FC26*'DATOS ENTRADA'!$B$18),0)</f>
        <v>212682</v>
      </c>
      <c r="FD28" s="174">
        <f>+ROUND((FD26*'DATOS ENTRADA'!$B$18),0)</f>
        <v>212682</v>
      </c>
      <c r="FE28" s="174">
        <f>+ROUND((FE26*'DATOS ENTRADA'!$B$18),0)</f>
        <v>212682</v>
      </c>
      <c r="FF28" s="174">
        <f>+ROUND((FF26*'DATOS ENTRADA'!$B$18),0)</f>
        <v>212682</v>
      </c>
      <c r="FG28" s="174">
        <f>+ROUND((FG26*'DATOS ENTRADA'!$B$18),0)</f>
        <v>212682</v>
      </c>
      <c r="FH28" s="174">
        <f>+ROUND((FH26*'DATOS ENTRADA'!$B$18),0)</f>
        <v>212682</v>
      </c>
      <c r="FI28" s="174">
        <f>+ROUND((FI26*'DATOS ENTRADA'!$B$18),0)</f>
        <v>212682</v>
      </c>
      <c r="FJ28" s="174">
        <f>+ROUND((FJ26*'DATOS ENTRADA'!$B$18),0)</f>
        <v>212682</v>
      </c>
      <c r="FK28" s="174">
        <f>+ROUND((FK26*'DATOS ENTRADA'!$B$18),0)</f>
        <v>212682</v>
      </c>
      <c r="FL28" s="174">
        <f>+ROUND((FL26*'DATOS ENTRADA'!$B$18),0)</f>
        <v>212682</v>
      </c>
      <c r="FM28" s="174">
        <f>+ROUND((FM26*'DATOS ENTRADA'!$B$18),0)</f>
        <v>212682</v>
      </c>
      <c r="FN28" s="174">
        <f>+ROUND((FN26*'DATOS ENTRADA'!$B$18),0)</f>
        <v>212682</v>
      </c>
      <c r="FO28" s="173">
        <f t="shared" ref="FO28:FO32" si="344">+SUM(FP28:GA28)</f>
        <v>2705316</v>
      </c>
      <c r="FP28" s="174">
        <f>+ROUND((FP26*'DATOS ENTRADA'!$B$18),0)</f>
        <v>225443</v>
      </c>
      <c r="FQ28" s="174">
        <f>+ROUND((FQ26*'DATOS ENTRADA'!$B$18),0)</f>
        <v>225443</v>
      </c>
      <c r="FR28" s="174">
        <f>+ROUND((FR26*'DATOS ENTRADA'!$B$18),0)</f>
        <v>225443</v>
      </c>
      <c r="FS28" s="174">
        <f>+ROUND((FS26*'DATOS ENTRADA'!$B$18),0)</f>
        <v>225443</v>
      </c>
      <c r="FT28" s="174">
        <f>+ROUND((FT26*'DATOS ENTRADA'!$B$18),0)</f>
        <v>225443</v>
      </c>
      <c r="FU28" s="174">
        <f>+ROUND((FU26*'DATOS ENTRADA'!$B$18),0)</f>
        <v>225443</v>
      </c>
      <c r="FV28" s="174">
        <f>+ROUND((FV26*'DATOS ENTRADA'!$B$18),0)</f>
        <v>225443</v>
      </c>
      <c r="FW28" s="174">
        <f>+ROUND((FW26*'DATOS ENTRADA'!$B$18),0)</f>
        <v>225443</v>
      </c>
      <c r="FX28" s="174">
        <f>+ROUND((FX26*'DATOS ENTRADA'!$B$18),0)</f>
        <v>225443</v>
      </c>
      <c r="FY28" s="174">
        <f>+ROUND((FY26*'DATOS ENTRADA'!$B$18),0)</f>
        <v>225443</v>
      </c>
      <c r="FZ28" s="174">
        <f>+ROUND((FZ26*'DATOS ENTRADA'!$B$18),0)</f>
        <v>225443</v>
      </c>
      <c r="GA28" s="174">
        <f>+ROUND((GA26*'DATOS ENTRADA'!$B$18),0)</f>
        <v>225443</v>
      </c>
      <c r="GB28" s="173">
        <f t="shared" si="206"/>
        <v>1194845</v>
      </c>
      <c r="GC28" s="174">
        <f>+ROUND((GC26*'DATOS ENTRADA'!$B$18),0)</f>
        <v>238969</v>
      </c>
      <c r="GD28" s="174">
        <f>+ROUND((GD26*'DATOS ENTRADA'!$B$18),0)</f>
        <v>238969</v>
      </c>
      <c r="GE28" s="174">
        <f>+ROUND((GE26*'DATOS ENTRADA'!$B$18),0)</f>
        <v>238969</v>
      </c>
      <c r="GF28" s="174">
        <f>+ROUND((GF26*'DATOS ENTRADA'!$B$18),0)</f>
        <v>238969</v>
      </c>
      <c r="GG28" s="174">
        <f>+ROUND((GG26*'DATOS ENTRADA'!$B$18),0)</f>
        <v>238969</v>
      </c>
    </row>
    <row r="29" spans="1:189" s="175" customFormat="1" ht="16.5" customHeight="1" x14ac:dyDescent="0.25">
      <c r="A29" s="320" t="s">
        <v>195</v>
      </c>
      <c r="B29" s="173">
        <f t="shared" si="331"/>
        <v>20431176</v>
      </c>
      <c r="C29" s="319">
        <f>+ROUND((1702598.2),0)</f>
        <v>1702598</v>
      </c>
      <c r="D29" s="174">
        <f>+C29</f>
        <v>1702598</v>
      </c>
      <c r="E29" s="174">
        <f t="shared" ref="E29:L29" si="345">+D29</f>
        <v>1702598</v>
      </c>
      <c r="F29" s="174">
        <f t="shared" si="345"/>
        <v>1702598</v>
      </c>
      <c r="G29" s="174">
        <f t="shared" si="345"/>
        <v>1702598</v>
      </c>
      <c r="H29" s="174">
        <f t="shared" si="345"/>
        <v>1702598</v>
      </c>
      <c r="I29" s="174">
        <f t="shared" ref="I29" si="346">+H29</f>
        <v>1702598</v>
      </c>
      <c r="J29" s="174">
        <f t="shared" ref="J29" si="347">+I29</f>
        <v>1702598</v>
      </c>
      <c r="K29" s="174">
        <f t="shared" ref="K29" si="348">+J29</f>
        <v>1702598</v>
      </c>
      <c r="L29" s="174">
        <f t="shared" ref="L29" si="349">+K29</f>
        <v>1702598</v>
      </c>
      <c r="M29" s="174">
        <f t="shared" ref="M29" si="350">+L29</f>
        <v>1702598</v>
      </c>
      <c r="N29" s="174">
        <f t="shared" ref="N29" si="351">+M29</f>
        <v>1702598</v>
      </c>
      <c r="O29" s="173">
        <f t="shared" si="332"/>
        <v>20431176</v>
      </c>
      <c r="P29" s="174">
        <f>+N29</f>
        <v>1702598</v>
      </c>
      <c r="Q29" s="174">
        <f>+P29</f>
        <v>1702598</v>
      </c>
      <c r="R29" s="174">
        <f t="shared" ref="R29:AA29" si="352">+Q29</f>
        <v>1702598</v>
      </c>
      <c r="S29" s="174">
        <f t="shared" si="352"/>
        <v>1702598</v>
      </c>
      <c r="T29" s="174">
        <f t="shared" si="352"/>
        <v>1702598</v>
      </c>
      <c r="U29" s="174">
        <f t="shared" si="352"/>
        <v>1702598</v>
      </c>
      <c r="V29" s="174">
        <f t="shared" si="352"/>
        <v>1702598</v>
      </c>
      <c r="W29" s="174">
        <f t="shared" si="352"/>
        <v>1702598</v>
      </c>
      <c r="X29" s="174">
        <f t="shared" si="352"/>
        <v>1702598</v>
      </c>
      <c r="Y29" s="174">
        <f t="shared" si="352"/>
        <v>1702598</v>
      </c>
      <c r="Z29" s="174">
        <f t="shared" si="352"/>
        <v>1702598</v>
      </c>
      <c r="AA29" s="174">
        <f t="shared" si="352"/>
        <v>1702598</v>
      </c>
      <c r="AB29" s="173">
        <f t="shared" si="333"/>
        <v>20431176</v>
      </c>
      <c r="AC29" s="174">
        <f>+AA29</f>
        <v>1702598</v>
      </c>
      <c r="AD29" s="174">
        <f>+AC29</f>
        <v>1702598</v>
      </c>
      <c r="AE29" s="174">
        <f t="shared" ref="AE29:AN29" si="353">+AD29</f>
        <v>1702598</v>
      </c>
      <c r="AF29" s="174">
        <f t="shared" si="353"/>
        <v>1702598</v>
      </c>
      <c r="AG29" s="174">
        <f t="shared" si="353"/>
        <v>1702598</v>
      </c>
      <c r="AH29" s="174">
        <f t="shared" si="353"/>
        <v>1702598</v>
      </c>
      <c r="AI29" s="174">
        <f t="shared" si="353"/>
        <v>1702598</v>
      </c>
      <c r="AJ29" s="174">
        <f t="shared" si="353"/>
        <v>1702598</v>
      </c>
      <c r="AK29" s="174">
        <f t="shared" si="353"/>
        <v>1702598</v>
      </c>
      <c r="AL29" s="174">
        <f t="shared" si="353"/>
        <v>1702598</v>
      </c>
      <c r="AM29" s="174">
        <f t="shared" si="353"/>
        <v>1702598</v>
      </c>
      <c r="AN29" s="174">
        <f t="shared" si="353"/>
        <v>1702598</v>
      </c>
      <c r="AO29" s="173">
        <f t="shared" si="334"/>
        <v>20431176</v>
      </c>
      <c r="AP29" s="174">
        <f>+AN29</f>
        <v>1702598</v>
      </c>
      <c r="AQ29" s="174">
        <f>+AP29</f>
        <v>1702598</v>
      </c>
      <c r="AR29" s="174">
        <f t="shared" ref="AR29:BA29" si="354">+AQ29</f>
        <v>1702598</v>
      </c>
      <c r="AS29" s="174">
        <f t="shared" si="354"/>
        <v>1702598</v>
      </c>
      <c r="AT29" s="174">
        <f t="shared" si="354"/>
        <v>1702598</v>
      </c>
      <c r="AU29" s="174">
        <f t="shared" si="354"/>
        <v>1702598</v>
      </c>
      <c r="AV29" s="174">
        <f t="shared" si="354"/>
        <v>1702598</v>
      </c>
      <c r="AW29" s="174">
        <f t="shared" si="354"/>
        <v>1702598</v>
      </c>
      <c r="AX29" s="174">
        <f t="shared" si="354"/>
        <v>1702598</v>
      </c>
      <c r="AY29" s="174">
        <f t="shared" si="354"/>
        <v>1702598</v>
      </c>
      <c r="AZ29" s="174">
        <f t="shared" si="354"/>
        <v>1702598</v>
      </c>
      <c r="BA29" s="174">
        <f t="shared" si="354"/>
        <v>1702598</v>
      </c>
      <c r="BB29" s="173">
        <f t="shared" si="335"/>
        <v>8512990</v>
      </c>
      <c r="BC29" s="174">
        <f>+BA29</f>
        <v>1702598</v>
      </c>
      <c r="BD29" s="174">
        <f>+BC29</f>
        <v>1702598</v>
      </c>
      <c r="BE29" s="174">
        <f t="shared" ref="BE29:BG29" si="355">+BD29</f>
        <v>1702598</v>
      </c>
      <c r="BF29" s="174">
        <f t="shared" si="355"/>
        <v>1702598</v>
      </c>
      <c r="BG29" s="174">
        <f t="shared" si="355"/>
        <v>1702598</v>
      </c>
      <c r="BH29" s="174"/>
      <c r="BI29" s="174"/>
      <c r="BJ29" s="174"/>
      <c r="BK29" s="174"/>
      <c r="BL29" s="174"/>
      <c r="BM29" s="174"/>
      <c r="BN29" s="174"/>
      <c r="BO29" s="173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3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3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3"/>
      <c r="DC29" s="174"/>
      <c r="DD29" s="174"/>
      <c r="DE29" s="174"/>
      <c r="DF29" s="174"/>
      <c r="DG29" s="174"/>
      <c r="DH29" s="174"/>
      <c r="DI29" s="174"/>
      <c r="DJ29" s="174"/>
      <c r="DK29" s="174"/>
      <c r="DL29" s="174"/>
      <c r="DM29" s="174"/>
      <c r="DN29" s="174"/>
      <c r="DO29" s="173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3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4"/>
      <c r="EN29" s="174"/>
      <c r="EO29" s="173"/>
      <c r="EP29" s="174"/>
      <c r="EQ29" s="174"/>
      <c r="ER29" s="174"/>
      <c r="ES29" s="174"/>
      <c r="ET29" s="174"/>
      <c r="EU29" s="174"/>
      <c r="EV29" s="174"/>
      <c r="EW29" s="174"/>
      <c r="EX29" s="174"/>
      <c r="EY29" s="174"/>
      <c r="EZ29" s="174"/>
      <c r="FA29" s="174"/>
      <c r="FB29" s="173"/>
      <c r="FC29" s="174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3"/>
      <c r="FP29" s="174"/>
      <c r="FQ29" s="174"/>
      <c r="FR29" s="174"/>
      <c r="FS29" s="174"/>
      <c r="FT29" s="174"/>
      <c r="FU29" s="174"/>
      <c r="FV29" s="174"/>
      <c r="FW29" s="174"/>
      <c r="FX29" s="174"/>
      <c r="FY29" s="174"/>
      <c r="FZ29" s="174"/>
      <c r="GA29" s="174"/>
      <c r="GB29" s="173"/>
      <c r="GC29" s="174"/>
      <c r="GD29" s="174"/>
      <c r="GE29" s="174"/>
      <c r="GF29" s="174"/>
      <c r="GG29" s="174"/>
    </row>
    <row r="30" spans="1:189" s="175" customFormat="1" ht="16.5" customHeight="1" x14ac:dyDescent="0.25">
      <c r="A30" s="43" t="s">
        <v>194</v>
      </c>
      <c r="B30" s="173">
        <f t="shared" si="331"/>
        <v>109769244</v>
      </c>
      <c r="C30" s="174">
        <f>+CINV!C65</f>
        <v>1407298</v>
      </c>
      <c r="D30" s="174">
        <f>+CINV!C66</f>
        <v>2814596</v>
      </c>
      <c r="E30" s="174">
        <f>+CINV!C67</f>
        <v>4221894</v>
      </c>
      <c r="F30" s="174">
        <f>+CINV!C68</f>
        <v>5629192</v>
      </c>
      <c r="G30" s="174">
        <f>+CINV!C69</f>
        <v>7036490</v>
      </c>
      <c r="H30" s="174">
        <f>+CINV!C70</f>
        <v>8443788</v>
      </c>
      <c r="I30" s="174">
        <f>+CINV!C71</f>
        <v>9851086</v>
      </c>
      <c r="J30" s="174">
        <f>+CINV!C72</f>
        <v>11258384</v>
      </c>
      <c r="K30" s="174">
        <f>+CINV!C73</f>
        <v>12665682</v>
      </c>
      <c r="L30" s="174">
        <f>+CINV!C74</f>
        <v>14072980</v>
      </c>
      <c r="M30" s="174">
        <f>+CINV!C75</f>
        <v>15480278</v>
      </c>
      <c r="N30" s="174">
        <f>+CINV!C76</f>
        <v>16887576</v>
      </c>
      <c r="O30" s="173">
        <f t="shared" si="332"/>
        <v>202650888</v>
      </c>
      <c r="P30" s="174">
        <f>+CINV!P49</f>
        <v>16887574</v>
      </c>
      <c r="Q30" s="174">
        <f>+P30</f>
        <v>16887574</v>
      </c>
      <c r="R30" s="174">
        <f t="shared" ref="R30:S30" si="356">+Q30</f>
        <v>16887574</v>
      </c>
      <c r="S30" s="174">
        <f t="shared" si="356"/>
        <v>16887574</v>
      </c>
      <c r="T30" s="174">
        <f>+S30</f>
        <v>16887574</v>
      </c>
      <c r="U30" s="174">
        <f t="shared" ref="U30:AA30" si="357">+T30</f>
        <v>16887574</v>
      </c>
      <c r="V30" s="174">
        <f t="shared" si="357"/>
        <v>16887574</v>
      </c>
      <c r="W30" s="174">
        <f t="shared" si="357"/>
        <v>16887574</v>
      </c>
      <c r="X30" s="174">
        <f t="shared" si="357"/>
        <v>16887574</v>
      </c>
      <c r="Y30" s="174">
        <f t="shared" si="357"/>
        <v>16887574</v>
      </c>
      <c r="Z30" s="174">
        <f t="shared" si="357"/>
        <v>16887574</v>
      </c>
      <c r="AA30" s="174">
        <f t="shared" si="357"/>
        <v>16887574</v>
      </c>
      <c r="AB30" s="173">
        <f t="shared" si="333"/>
        <v>212783436</v>
      </c>
      <c r="AC30" s="174">
        <f>+ROUND((AA30*(1+AC5)),0)</f>
        <v>17731953</v>
      </c>
      <c r="AD30" s="174">
        <f>+AC30</f>
        <v>17731953</v>
      </c>
      <c r="AE30" s="174">
        <f t="shared" ref="AE30" si="358">+AD30</f>
        <v>17731953</v>
      </c>
      <c r="AF30" s="174">
        <f t="shared" ref="AF30" si="359">+AE30</f>
        <v>17731953</v>
      </c>
      <c r="AG30" s="174">
        <f>+AF30</f>
        <v>17731953</v>
      </c>
      <c r="AH30" s="174">
        <f t="shared" ref="AH30:AN30" si="360">+AG30</f>
        <v>17731953</v>
      </c>
      <c r="AI30" s="174">
        <f t="shared" si="360"/>
        <v>17731953</v>
      </c>
      <c r="AJ30" s="174">
        <f t="shared" si="360"/>
        <v>17731953</v>
      </c>
      <c r="AK30" s="174">
        <f t="shared" si="360"/>
        <v>17731953</v>
      </c>
      <c r="AL30" s="174">
        <f t="shared" si="360"/>
        <v>17731953</v>
      </c>
      <c r="AM30" s="174">
        <f t="shared" si="360"/>
        <v>17731953</v>
      </c>
      <c r="AN30" s="174">
        <f t="shared" si="360"/>
        <v>17731953</v>
      </c>
      <c r="AO30" s="173">
        <f t="shared" si="334"/>
        <v>223422612</v>
      </c>
      <c r="AP30" s="174">
        <f>+ROUND((AN30*(1+AP5)),0)</f>
        <v>18618551</v>
      </c>
      <c r="AQ30" s="174">
        <f>+AP30</f>
        <v>18618551</v>
      </c>
      <c r="AR30" s="174">
        <f t="shared" ref="AR30" si="361">+AQ30</f>
        <v>18618551</v>
      </c>
      <c r="AS30" s="174">
        <f t="shared" ref="AS30" si="362">+AR30</f>
        <v>18618551</v>
      </c>
      <c r="AT30" s="174">
        <f>+AS30</f>
        <v>18618551</v>
      </c>
      <c r="AU30" s="174">
        <f t="shared" ref="AU30" si="363">+AT30</f>
        <v>18618551</v>
      </c>
      <c r="AV30" s="174">
        <f t="shared" ref="AV30" si="364">+AU30</f>
        <v>18618551</v>
      </c>
      <c r="AW30" s="174">
        <f t="shared" ref="AW30" si="365">+AV30</f>
        <v>18618551</v>
      </c>
      <c r="AX30" s="174">
        <f t="shared" ref="AX30" si="366">+AW30</f>
        <v>18618551</v>
      </c>
      <c r="AY30" s="174">
        <f t="shared" ref="AY30" si="367">+AX30</f>
        <v>18618551</v>
      </c>
      <c r="AZ30" s="174">
        <f t="shared" ref="AZ30" si="368">+AY30</f>
        <v>18618551</v>
      </c>
      <c r="BA30" s="174">
        <f t="shared" ref="BA30" si="369">+AZ30</f>
        <v>18618551</v>
      </c>
      <c r="BB30" s="173">
        <f t="shared" si="335"/>
        <v>234593748</v>
      </c>
      <c r="BC30" s="174">
        <f>+ROUND((BA30*(1+BC5)),0)</f>
        <v>19549479</v>
      </c>
      <c r="BD30" s="174">
        <f>+BC30</f>
        <v>19549479</v>
      </c>
      <c r="BE30" s="174">
        <f t="shared" ref="BE30" si="370">+BD30</f>
        <v>19549479</v>
      </c>
      <c r="BF30" s="174">
        <f t="shared" ref="BF30" si="371">+BE30</f>
        <v>19549479</v>
      </c>
      <c r="BG30" s="174">
        <f>+BF30</f>
        <v>19549479</v>
      </c>
      <c r="BH30" s="174">
        <f t="shared" ref="BH30" si="372">+BG30</f>
        <v>19549479</v>
      </c>
      <c r="BI30" s="174">
        <f t="shared" ref="BI30" si="373">+BH30</f>
        <v>19549479</v>
      </c>
      <c r="BJ30" s="174">
        <f t="shared" ref="BJ30" si="374">+BI30</f>
        <v>19549479</v>
      </c>
      <c r="BK30" s="174">
        <f t="shared" ref="BK30" si="375">+BJ30</f>
        <v>19549479</v>
      </c>
      <c r="BL30" s="174">
        <f t="shared" ref="BL30" si="376">+BK30</f>
        <v>19549479</v>
      </c>
      <c r="BM30" s="174">
        <f t="shared" ref="BM30" si="377">+BL30</f>
        <v>19549479</v>
      </c>
      <c r="BN30" s="174">
        <f t="shared" ref="BN30" si="378">+BM30</f>
        <v>19549479</v>
      </c>
      <c r="BO30" s="173">
        <f t="shared" si="336"/>
        <v>246323436</v>
      </c>
      <c r="BP30" s="174">
        <f>+ROUND((BN30*(1+BP5)),0)</f>
        <v>20526953</v>
      </c>
      <c r="BQ30" s="174">
        <f>+BP30</f>
        <v>20526953</v>
      </c>
      <c r="BR30" s="174">
        <f t="shared" ref="BR30" si="379">+BQ30</f>
        <v>20526953</v>
      </c>
      <c r="BS30" s="174">
        <f t="shared" ref="BS30" si="380">+BR30</f>
        <v>20526953</v>
      </c>
      <c r="BT30" s="174">
        <f>+BS30</f>
        <v>20526953</v>
      </c>
      <c r="BU30" s="174">
        <f t="shared" ref="BU30" si="381">+BT30</f>
        <v>20526953</v>
      </c>
      <c r="BV30" s="174">
        <f t="shared" ref="BV30" si="382">+BU30</f>
        <v>20526953</v>
      </c>
      <c r="BW30" s="174">
        <f t="shared" ref="BW30" si="383">+BV30</f>
        <v>20526953</v>
      </c>
      <c r="BX30" s="174">
        <f t="shared" ref="BX30" si="384">+BW30</f>
        <v>20526953</v>
      </c>
      <c r="BY30" s="174">
        <f t="shared" ref="BY30" si="385">+BX30</f>
        <v>20526953</v>
      </c>
      <c r="BZ30" s="174">
        <f t="shared" ref="BZ30" si="386">+BY30</f>
        <v>20526953</v>
      </c>
      <c r="CA30" s="174">
        <f t="shared" ref="CA30" si="387">+BZ30</f>
        <v>20526953</v>
      </c>
      <c r="CB30" s="173">
        <f t="shared" si="337"/>
        <v>258639612</v>
      </c>
      <c r="CC30" s="174">
        <f>+ROUND((CA30*(1+CC5)),0)</f>
        <v>21553301</v>
      </c>
      <c r="CD30" s="174">
        <f>+CC30</f>
        <v>21553301</v>
      </c>
      <c r="CE30" s="174">
        <f t="shared" ref="CE30" si="388">+CD30</f>
        <v>21553301</v>
      </c>
      <c r="CF30" s="174">
        <f t="shared" ref="CF30" si="389">+CE30</f>
        <v>21553301</v>
      </c>
      <c r="CG30" s="174">
        <f>+CF30</f>
        <v>21553301</v>
      </c>
      <c r="CH30" s="174">
        <f t="shared" ref="CH30" si="390">+CG30</f>
        <v>21553301</v>
      </c>
      <c r="CI30" s="174">
        <f t="shared" ref="CI30" si="391">+CH30</f>
        <v>21553301</v>
      </c>
      <c r="CJ30" s="174">
        <f t="shared" ref="CJ30" si="392">+CI30</f>
        <v>21553301</v>
      </c>
      <c r="CK30" s="174">
        <f t="shared" ref="CK30" si="393">+CJ30</f>
        <v>21553301</v>
      </c>
      <c r="CL30" s="174">
        <f t="shared" ref="CL30" si="394">+CK30</f>
        <v>21553301</v>
      </c>
      <c r="CM30" s="174">
        <f t="shared" ref="CM30" si="395">+CL30</f>
        <v>21553301</v>
      </c>
      <c r="CN30" s="174">
        <f t="shared" ref="CN30" si="396">+CM30</f>
        <v>21553301</v>
      </c>
      <c r="CO30" s="173">
        <f t="shared" si="338"/>
        <v>271571592</v>
      </c>
      <c r="CP30" s="174">
        <f>+ROUND((CN30*(1+CP5)),0)</f>
        <v>22630966</v>
      </c>
      <c r="CQ30" s="174">
        <f>+CP30</f>
        <v>22630966</v>
      </c>
      <c r="CR30" s="174">
        <f t="shared" ref="CR30" si="397">+CQ30</f>
        <v>22630966</v>
      </c>
      <c r="CS30" s="174">
        <f t="shared" ref="CS30" si="398">+CR30</f>
        <v>22630966</v>
      </c>
      <c r="CT30" s="174">
        <f>+CS30</f>
        <v>22630966</v>
      </c>
      <c r="CU30" s="174">
        <f t="shared" ref="CU30" si="399">+CT30</f>
        <v>22630966</v>
      </c>
      <c r="CV30" s="174">
        <f t="shared" ref="CV30" si="400">+CU30</f>
        <v>22630966</v>
      </c>
      <c r="CW30" s="174">
        <f t="shared" ref="CW30" si="401">+CV30</f>
        <v>22630966</v>
      </c>
      <c r="CX30" s="174">
        <f t="shared" ref="CX30" si="402">+CW30</f>
        <v>22630966</v>
      </c>
      <c r="CY30" s="174">
        <f t="shared" ref="CY30" si="403">+CX30</f>
        <v>22630966</v>
      </c>
      <c r="CZ30" s="174">
        <f t="shared" ref="CZ30" si="404">+CY30</f>
        <v>22630966</v>
      </c>
      <c r="DA30" s="174">
        <f t="shared" ref="DA30" si="405">+CZ30</f>
        <v>22630966</v>
      </c>
      <c r="DB30" s="173">
        <f t="shared" si="339"/>
        <v>285150168</v>
      </c>
      <c r="DC30" s="174">
        <f>+ROUND((DA30*(1+DC5)),0)</f>
        <v>23762514</v>
      </c>
      <c r="DD30" s="174">
        <f>+DC30</f>
        <v>23762514</v>
      </c>
      <c r="DE30" s="174">
        <f t="shared" ref="DE30" si="406">+DD30</f>
        <v>23762514</v>
      </c>
      <c r="DF30" s="174">
        <f t="shared" ref="DF30" si="407">+DE30</f>
        <v>23762514</v>
      </c>
      <c r="DG30" s="174">
        <f>+DF30</f>
        <v>23762514</v>
      </c>
      <c r="DH30" s="174">
        <f t="shared" ref="DH30" si="408">+DG30</f>
        <v>23762514</v>
      </c>
      <c r="DI30" s="174">
        <f t="shared" ref="DI30" si="409">+DH30</f>
        <v>23762514</v>
      </c>
      <c r="DJ30" s="174">
        <f t="shared" ref="DJ30" si="410">+DI30</f>
        <v>23762514</v>
      </c>
      <c r="DK30" s="174">
        <f t="shared" ref="DK30" si="411">+DJ30</f>
        <v>23762514</v>
      </c>
      <c r="DL30" s="174">
        <f t="shared" ref="DL30" si="412">+DK30</f>
        <v>23762514</v>
      </c>
      <c r="DM30" s="174">
        <f t="shared" ref="DM30" si="413">+DL30</f>
        <v>23762514</v>
      </c>
      <c r="DN30" s="174">
        <f t="shared" ref="DN30" si="414">+DM30</f>
        <v>23762514</v>
      </c>
      <c r="DO30" s="173">
        <f t="shared" si="340"/>
        <v>299407680</v>
      </c>
      <c r="DP30" s="174">
        <f>+ROUND((DN30*(1+DP5)),0)</f>
        <v>24950640</v>
      </c>
      <c r="DQ30" s="174">
        <f>+DP30</f>
        <v>24950640</v>
      </c>
      <c r="DR30" s="174">
        <f t="shared" ref="DR30" si="415">+DQ30</f>
        <v>24950640</v>
      </c>
      <c r="DS30" s="174">
        <f t="shared" ref="DS30" si="416">+DR30</f>
        <v>24950640</v>
      </c>
      <c r="DT30" s="174">
        <f>+DS30</f>
        <v>24950640</v>
      </c>
      <c r="DU30" s="174">
        <f t="shared" ref="DU30" si="417">+DT30</f>
        <v>24950640</v>
      </c>
      <c r="DV30" s="174">
        <f t="shared" ref="DV30" si="418">+DU30</f>
        <v>24950640</v>
      </c>
      <c r="DW30" s="174">
        <f t="shared" ref="DW30" si="419">+DV30</f>
        <v>24950640</v>
      </c>
      <c r="DX30" s="174">
        <f t="shared" ref="DX30" si="420">+DW30</f>
        <v>24950640</v>
      </c>
      <c r="DY30" s="174">
        <f t="shared" ref="DY30" si="421">+DX30</f>
        <v>24950640</v>
      </c>
      <c r="DZ30" s="174">
        <f t="shared" ref="DZ30" si="422">+DY30</f>
        <v>24950640</v>
      </c>
      <c r="EA30" s="174">
        <f t="shared" ref="EA30" si="423">+DZ30</f>
        <v>24950640</v>
      </c>
      <c r="EB30" s="173">
        <f t="shared" si="341"/>
        <v>314378064</v>
      </c>
      <c r="EC30" s="174">
        <f>+ROUND((EA30*(1+EC5)),0)</f>
        <v>26198172</v>
      </c>
      <c r="ED30" s="174">
        <f>+EC30</f>
        <v>26198172</v>
      </c>
      <c r="EE30" s="174">
        <f t="shared" ref="EE30" si="424">+ED30</f>
        <v>26198172</v>
      </c>
      <c r="EF30" s="174">
        <f t="shared" ref="EF30" si="425">+EE30</f>
        <v>26198172</v>
      </c>
      <c r="EG30" s="174">
        <f>+EF30</f>
        <v>26198172</v>
      </c>
      <c r="EH30" s="174">
        <f t="shared" ref="EH30" si="426">+EG30</f>
        <v>26198172</v>
      </c>
      <c r="EI30" s="174">
        <f t="shared" ref="EI30" si="427">+EH30</f>
        <v>26198172</v>
      </c>
      <c r="EJ30" s="174">
        <f t="shared" ref="EJ30" si="428">+EI30</f>
        <v>26198172</v>
      </c>
      <c r="EK30" s="174">
        <f t="shared" ref="EK30" si="429">+EJ30</f>
        <v>26198172</v>
      </c>
      <c r="EL30" s="174">
        <f t="shared" ref="EL30" si="430">+EK30</f>
        <v>26198172</v>
      </c>
      <c r="EM30" s="174">
        <f t="shared" ref="EM30" si="431">+EL30</f>
        <v>26198172</v>
      </c>
      <c r="EN30" s="174">
        <f t="shared" ref="EN30" si="432">+EM30</f>
        <v>26198172</v>
      </c>
      <c r="EO30" s="173">
        <f t="shared" si="342"/>
        <v>330096972</v>
      </c>
      <c r="EP30" s="174">
        <f>+ROUND((EN30*(1+EP5)),0)</f>
        <v>27508081</v>
      </c>
      <c r="EQ30" s="174">
        <f>+EP30</f>
        <v>27508081</v>
      </c>
      <c r="ER30" s="174">
        <f t="shared" ref="ER30" si="433">+EQ30</f>
        <v>27508081</v>
      </c>
      <c r="ES30" s="174">
        <f t="shared" ref="ES30" si="434">+ER30</f>
        <v>27508081</v>
      </c>
      <c r="ET30" s="174">
        <f>+ES30</f>
        <v>27508081</v>
      </c>
      <c r="EU30" s="174">
        <f t="shared" ref="EU30" si="435">+ET30</f>
        <v>27508081</v>
      </c>
      <c r="EV30" s="174">
        <f t="shared" ref="EV30" si="436">+EU30</f>
        <v>27508081</v>
      </c>
      <c r="EW30" s="174">
        <f t="shared" ref="EW30" si="437">+EV30</f>
        <v>27508081</v>
      </c>
      <c r="EX30" s="174">
        <f t="shared" ref="EX30" si="438">+EW30</f>
        <v>27508081</v>
      </c>
      <c r="EY30" s="174">
        <f t="shared" ref="EY30" si="439">+EX30</f>
        <v>27508081</v>
      </c>
      <c r="EZ30" s="174">
        <f t="shared" ref="EZ30" si="440">+EY30</f>
        <v>27508081</v>
      </c>
      <c r="FA30" s="174">
        <f t="shared" ref="FA30" si="441">+EZ30</f>
        <v>27508081</v>
      </c>
      <c r="FB30" s="173">
        <f t="shared" si="343"/>
        <v>346601820</v>
      </c>
      <c r="FC30" s="174">
        <f>+ROUND((FA30*(1+FC5)),0)</f>
        <v>28883485</v>
      </c>
      <c r="FD30" s="174">
        <f>+FC30</f>
        <v>28883485</v>
      </c>
      <c r="FE30" s="174">
        <f t="shared" ref="FE30" si="442">+FD30</f>
        <v>28883485</v>
      </c>
      <c r="FF30" s="174">
        <f t="shared" ref="FF30" si="443">+FE30</f>
        <v>28883485</v>
      </c>
      <c r="FG30" s="174">
        <f>+FF30</f>
        <v>28883485</v>
      </c>
      <c r="FH30" s="174">
        <f t="shared" ref="FH30" si="444">+FG30</f>
        <v>28883485</v>
      </c>
      <c r="FI30" s="174">
        <f t="shared" ref="FI30" si="445">+FH30</f>
        <v>28883485</v>
      </c>
      <c r="FJ30" s="174">
        <f t="shared" ref="FJ30" si="446">+FI30</f>
        <v>28883485</v>
      </c>
      <c r="FK30" s="174">
        <f t="shared" ref="FK30" si="447">+FJ30</f>
        <v>28883485</v>
      </c>
      <c r="FL30" s="174">
        <f t="shared" ref="FL30" si="448">+FK30</f>
        <v>28883485</v>
      </c>
      <c r="FM30" s="174">
        <f t="shared" ref="FM30" si="449">+FL30</f>
        <v>28883485</v>
      </c>
      <c r="FN30" s="174">
        <f t="shared" ref="FN30" si="450">+FM30</f>
        <v>28883485</v>
      </c>
      <c r="FO30" s="173">
        <f t="shared" si="344"/>
        <v>363931908</v>
      </c>
      <c r="FP30" s="174">
        <f>+ROUND((FN30*(1+FP5)),0)</f>
        <v>30327659</v>
      </c>
      <c r="FQ30" s="174">
        <f>+FP30</f>
        <v>30327659</v>
      </c>
      <c r="FR30" s="174">
        <f t="shared" ref="FR30" si="451">+FQ30</f>
        <v>30327659</v>
      </c>
      <c r="FS30" s="174">
        <f t="shared" ref="FS30" si="452">+FR30</f>
        <v>30327659</v>
      </c>
      <c r="FT30" s="174">
        <f>+FS30</f>
        <v>30327659</v>
      </c>
      <c r="FU30" s="174">
        <f t="shared" ref="FU30" si="453">+FT30</f>
        <v>30327659</v>
      </c>
      <c r="FV30" s="174">
        <f t="shared" ref="FV30" si="454">+FU30</f>
        <v>30327659</v>
      </c>
      <c r="FW30" s="174">
        <f t="shared" ref="FW30" si="455">+FV30</f>
        <v>30327659</v>
      </c>
      <c r="FX30" s="174">
        <f t="shared" ref="FX30" si="456">+FW30</f>
        <v>30327659</v>
      </c>
      <c r="FY30" s="174">
        <f t="shared" ref="FY30" si="457">+FX30</f>
        <v>30327659</v>
      </c>
      <c r="FZ30" s="174">
        <f t="shared" ref="FZ30" si="458">+FY30</f>
        <v>30327659</v>
      </c>
      <c r="GA30" s="174">
        <f t="shared" ref="GA30" si="459">+FZ30</f>
        <v>30327659</v>
      </c>
      <c r="GB30" s="173">
        <f t="shared" si="206"/>
        <v>159220210</v>
      </c>
      <c r="GC30" s="174">
        <f>+ROUND((GA30*(1+GC5)),0)</f>
        <v>31844042</v>
      </c>
      <c r="GD30" s="174">
        <f>+GC30</f>
        <v>31844042</v>
      </c>
      <c r="GE30" s="174">
        <f t="shared" ref="GE30" si="460">+GD30</f>
        <v>31844042</v>
      </c>
      <c r="GF30" s="174">
        <f t="shared" ref="GF30" si="461">+GE30</f>
        <v>31844042</v>
      </c>
      <c r="GG30" s="174">
        <f>+GF30</f>
        <v>31844042</v>
      </c>
    </row>
    <row r="31" spans="1:189" s="175" customFormat="1" ht="16.5" customHeight="1" x14ac:dyDescent="0.25">
      <c r="A31" s="43" t="s">
        <v>193</v>
      </c>
      <c r="B31" s="173">
        <f t="shared" si="331"/>
        <v>850277</v>
      </c>
      <c r="C31" s="174">
        <f>+ROUND(((C27+C28)*'DATOS ENTRADA'!$B$20),0)</f>
        <v>55097</v>
      </c>
      <c r="D31" s="174">
        <f>+ROUND(((D27+D28)*'DATOS ENTRADA'!$B$20),0)</f>
        <v>57962</v>
      </c>
      <c r="E31" s="174">
        <f>+ROUND(((E27+E28)*'DATOS ENTRADA'!$B$20),0)</f>
        <v>60828</v>
      </c>
      <c r="F31" s="174">
        <f>+ROUND(((F27+F28)*'DATOS ENTRADA'!$B$20),0)</f>
        <v>63693</v>
      </c>
      <c r="G31" s="174">
        <f>+ROUND(((G27+G28)*'DATOS ENTRADA'!$B$20),0)</f>
        <v>66558</v>
      </c>
      <c r="H31" s="174">
        <f>+ROUND(((H27+H28)*'DATOS ENTRADA'!$B$20),0)</f>
        <v>69424</v>
      </c>
      <c r="I31" s="174">
        <f>+ROUND(((I27+I28)*'DATOS ENTRADA'!$B$20),0)</f>
        <v>72289</v>
      </c>
      <c r="J31" s="174">
        <f>+ROUND(((J27+J28)*'DATOS ENTRADA'!$B$20),0)</f>
        <v>75154</v>
      </c>
      <c r="K31" s="174">
        <f>+ROUND(((K27+K28)*'DATOS ENTRADA'!$B$20),0)</f>
        <v>78020</v>
      </c>
      <c r="L31" s="174">
        <f>+ROUND(((L27+L28)*'DATOS ENTRADA'!$B$20),0)</f>
        <v>80885</v>
      </c>
      <c r="M31" s="174">
        <f>+ROUND(((M27+M28)*'DATOS ENTRADA'!$B$20),0)</f>
        <v>83751</v>
      </c>
      <c r="N31" s="174">
        <f>+ROUND(((N27+N28)*'DATOS ENTRADA'!$B$20),0)</f>
        <v>86616</v>
      </c>
      <c r="O31" s="173">
        <f t="shared" si="332"/>
        <v>1039392</v>
      </c>
      <c r="P31" s="174">
        <f>+ROUND(((P27+P28)*'DATOS ENTRADA'!$B$20),0)</f>
        <v>86616</v>
      </c>
      <c r="Q31" s="174">
        <f>+ROUND(((Q27+Q28)*'DATOS ENTRADA'!$B$20),0)</f>
        <v>86616</v>
      </c>
      <c r="R31" s="174">
        <f>+ROUND(((R27+R28)*'DATOS ENTRADA'!$B$20),0)</f>
        <v>86616</v>
      </c>
      <c r="S31" s="174">
        <f>+ROUND(((S27+S28)*'DATOS ENTRADA'!$B$20),0)</f>
        <v>86616</v>
      </c>
      <c r="T31" s="174">
        <f>+ROUND(((T27+T28)*'DATOS ENTRADA'!$B$20),0)</f>
        <v>86616</v>
      </c>
      <c r="U31" s="174">
        <f>+ROUND(((U27+U28)*'DATOS ENTRADA'!$B$20),0)</f>
        <v>86616</v>
      </c>
      <c r="V31" s="174">
        <f>+ROUND(((V27+V28)*'DATOS ENTRADA'!$B$20),0)</f>
        <v>86616</v>
      </c>
      <c r="W31" s="174">
        <f>+ROUND(((W27+W28)*'DATOS ENTRADA'!$B$20),0)</f>
        <v>86616</v>
      </c>
      <c r="X31" s="174">
        <f>+ROUND(((X27+X28)*'DATOS ENTRADA'!$B$20),0)</f>
        <v>86616</v>
      </c>
      <c r="Y31" s="174">
        <f>+ROUND(((Y27+Y28)*'DATOS ENTRADA'!$B$20),0)</f>
        <v>86616</v>
      </c>
      <c r="Z31" s="174">
        <f>+ROUND(((Z27+Z28)*'DATOS ENTRADA'!$B$20),0)</f>
        <v>86616</v>
      </c>
      <c r="AA31" s="174">
        <f>+ROUND(((AA27+AA28)*'DATOS ENTRADA'!$B$20),0)</f>
        <v>86616</v>
      </c>
      <c r="AB31" s="173">
        <f t="shared" si="333"/>
        <v>1105608</v>
      </c>
      <c r="AC31" s="174">
        <f>+ROUND(((AC27+AC28)*'DATOS ENTRADA'!$B$20),0)</f>
        <v>92134</v>
      </c>
      <c r="AD31" s="174">
        <f>+ROUND(((AD27+AD28)*'DATOS ENTRADA'!$B$20),0)</f>
        <v>92134</v>
      </c>
      <c r="AE31" s="174">
        <f>+ROUND(((AE27+AE28)*'DATOS ENTRADA'!$B$20),0)</f>
        <v>92134</v>
      </c>
      <c r="AF31" s="174">
        <f>+ROUND(((AF27+AF28)*'DATOS ENTRADA'!$B$20),0)</f>
        <v>92134</v>
      </c>
      <c r="AG31" s="174">
        <f>+ROUND(((AG27+AG28)*'DATOS ENTRADA'!$B$20),0)</f>
        <v>92134</v>
      </c>
      <c r="AH31" s="174">
        <f>+ROUND(((AH27+AH28)*'DATOS ENTRADA'!$B$20),0)</f>
        <v>92134</v>
      </c>
      <c r="AI31" s="174">
        <f>+ROUND(((AI27+AI28)*'DATOS ENTRADA'!$B$20),0)</f>
        <v>92134</v>
      </c>
      <c r="AJ31" s="174">
        <f>+ROUND(((AJ27+AJ28)*'DATOS ENTRADA'!$B$20),0)</f>
        <v>92134</v>
      </c>
      <c r="AK31" s="174">
        <f>+ROUND(((AK27+AK28)*'DATOS ENTRADA'!$B$20),0)</f>
        <v>92134</v>
      </c>
      <c r="AL31" s="174">
        <f>+ROUND(((AL27+AL28)*'DATOS ENTRADA'!$B$20),0)</f>
        <v>92134</v>
      </c>
      <c r="AM31" s="174">
        <f>+ROUND(((AM27+AM28)*'DATOS ENTRADA'!$B$20),0)</f>
        <v>92134</v>
      </c>
      <c r="AN31" s="174">
        <f>+ROUND(((AN27+AN28)*'DATOS ENTRADA'!$B$20),0)</f>
        <v>92134</v>
      </c>
      <c r="AO31" s="173">
        <f t="shared" si="334"/>
        <v>1161036</v>
      </c>
      <c r="AP31" s="174">
        <f>+ROUND(((AP27+AP28)*'DATOS ENTRADA'!$B$20),0)</f>
        <v>96753</v>
      </c>
      <c r="AQ31" s="174">
        <f>+ROUND(((AQ27+AQ28)*'DATOS ENTRADA'!$B$20),0)</f>
        <v>96753</v>
      </c>
      <c r="AR31" s="174">
        <f>+ROUND(((AR27+AR28)*'DATOS ENTRADA'!$B$20),0)</f>
        <v>96753</v>
      </c>
      <c r="AS31" s="174">
        <f>+ROUND(((AS27+AS28)*'DATOS ENTRADA'!$B$20),0)</f>
        <v>96753</v>
      </c>
      <c r="AT31" s="174">
        <f>+ROUND(((AT27+AT28)*'DATOS ENTRADA'!$B$20),0)</f>
        <v>96753</v>
      </c>
      <c r="AU31" s="174">
        <f>+ROUND(((AU27+AU28)*'DATOS ENTRADA'!$B$20),0)</f>
        <v>96753</v>
      </c>
      <c r="AV31" s="174">
        <f>+ROUND(((AV27+AV28)*'DATOS ENTRADA'!$B$20),0)</f>
        <v>96753</v>
      </c>
      <c r="AW31" s="174">
        <f>+ROUND(((AW27+AW28)*'DATOS ENTRADA'!$B$20),0)</f>
        <v>96753</v>
      </c>
      <c r="AX31" s="174">
        <f>+ROUND(((AX27+AX28)*'DATOS ENTRADA'!$B$20),0)</f>
        <v>96753</v>
      </c>
      <c r="AY31" s="174">
        <f>+ROUND(((AY27+AY28)*'DATOS ENTRADA'!$B$20),0)</f>
        <v>96753</v>
      </c>
      <c r="AZ31" s="174">
        <f>+ROUND(((AZ27+AZ28)*'DATOS ENTRADA'!$B$20),0)</f>
        <v>96753</v>
      </c>
      <c r="BA31" s="174">
        <f>+ROUND(((BA27+BA28)*'DATOS ENTRADA'!$B$20),0)</f>
        <v>96753</v>
      </c>
      <c r="BB31" s="173">
        <f t="shared" si="335"/>
        <v>1219236</v>
      </c>
      <c r="BC31" s="174">
        <f>+ROUND(((BC27+BC28)*'DATOS ENTRADA'!$B$20),0)</f>
        <v>101603</v>
      </c>
      <c r="BD31" s="174">
        <f>+ROUND(((BD27+BD28)*'DATOS ENTRADA'!$B$20),0)</f>
        <v>101603</v>
      </c>
      <c r="BE31" s="174">
        <f>+ROUND(((BE27+BE28)*'DATOS ENTRADA'!$B$20),0)</f>
        <v>101603</v>
      </c>
      <c r="BF31" s="174">
        <f>+ROUND(((BF27+BF28)*'DATOS ENTRADA'!$B$20),0)</f>
        <v>101603</v>
      </c>
      <c r="BG31" s="174">
        <f>+ROUND(((BG27+BG28)*'DATOS ENTRADA'!$B$20),0)</f>
        <v>101603</v>
      </c>
      <c r="BH31" s="174">
        <f>+ROUND(((BH27+BH28)*'DATOS ENTRADA'!$B$20),0)</f>
        <v>101603</v>
      </c>
      <c r="BI31" s="174">
        <f>+ROUND(((BI27+BI28)*'DATOS ENTRADA'!$B$20),0)</f>
        <v>101603</v>
      </c>
      <c r="BJ31" s="174">
        <f>+ROUND(((BJ27+BJ28)*'DATOS ENTRADA'!$B$20),0)</f>
        <v>101603</v>
      </c>
      <c r="BK31" s="174">
        <f>+ROUND(((BK27+BK28)*'DATOS ENTRADA'!$B$20),0)</f>
        <v>101603</v>
      </c>
      <c r="BL31" s="174">
        <f>+ROUND(((BL27+BL28)*'DATOS ENTRADA'!$B$20),0)</f>
        <v>101603</v>
      </c>
      <c r="BM31" s="174">
        <f>+ROUND(((BM27+BM28)*'DATOS ENTRADA'!$B$20),0)</f>
        <v>101603</v>
      </c>
      <c r="BN31" s="174">
        <f>+ROUND(((BN27+BN28)*'DATOS ENTRADA'!$B$20),0)</f>
        <v>101603</v>
      </c>
      <c r="BO31" s="173">
        <f t="shared" si="336"/>
        <v>1280364</v>
      </c>
      <c r="BP31" s="174">
        <f>+ROUND(((BP27+BP28)*'DATOS ENTRADA'!$B$20),0)</f>
        <v>106697</v>
      </c>
      <c r="BQ31" s="174">
        <f>+ROUND(((BQ27+BQ28)*'DATOS ENTRADA'!$B$20),0)</f>
        <v>106697</v>
      </c>
      <c r="BR31" s="174">
        <f>+ROUND(((BR27+BR28)*'DATOS ENTRADA'!$B$20),0)</f>
        <v>106697</v>
      </c>
      <c r="BS31" s="174">
        <f>+ROUND(((BS27+BS28)*'DATOS ENTRADA'!$B$20),0)</f>
        <v>106697</v>
      </c>
      <c r="BT31" s="174">
        <f>+ROUND(((BT27+BT28)*'DATOS ENTRADA'!$B$20),0)</f>
        <v>106697</v>
      </c>
      <c r="BU31" s="174">
        <f>+ROUND(((BU27+BU28)*'DATOS ENTRADA'!$B$20),0)</f>
        <v>106697</v>
      </c>
      <c r="BV31" s="174">
        <f>+ROUND(((BV27+BV28)*'DATOS ENTRADA'!$B$20),0)</f>
        <v>106697</v>
      </c>
      <c r="BW31" s="174">
        <f>+ROUND(((BW27+BW28)*'DATOS ENTRADA'!$B$20),0)</f>
        <v>106697</v>
      </c>
      <c r="BX31" s="174">
        <f>+ROUND(((BX27+BX28)*'DATOS ENTRADA'!$B$20),0)</f>
        <v>106697</v>
      </c>
      <c r="BY31" s="174">
        <f>+ROUND(((BY27+BY28)*'DATOS ENTRADA'!$B$20),0)</f>
        <v>106697</v>
      </c>
      <c r="BZ31" s="174">
        <f>+ROUND(((BZ27+BZ28)*'DATOS ENTRADA'!$B$20),0)</f>
        <v>106697</v>
      </c>
      <c r="CA31" s="174">
        <f>+ROUND(((CA27+CA28)*'DATOS ENTRADA'!$B$20),0)</f>
        <v>106697</v>
      </c>
      <c r="CB31" s="173">
        <f t="shared" si="337"/>
        <v>1344552</v>
      </c>
      <c r="CC31" s="174">
        <f>+ROUND(((CC27+CC28)*'DATOS ENTRADA'!$B$20),0)</f>
        <v>112046</v>
      </c>
      <c r="CD31" s="174">
        <f>+ROUND(((CD27+CD28)*'DATOS ENTRADA'!$B$20),0)</f>
        <v>112046</v>
      </c>
      <c r="CE31" s="174">
        <f>+ROUND(((CE27+CE28)*'DATOS ENTRADA'!$B$20),0)</f>
        <v>112046</v>
      </c>
      <c r="CF31" s="174">
        <f>+ROUND(((CF27+CF28)*'DATOS ENTRADA'!$B$20),0)</f>
        <v>112046</v>
      </c>
      <c r="CG31" s="174">
        <f>+ROUND(((CG27+CG28)*'DATOS ENTRADA'!$B$20),0)</f>
        <v>112046</v>
      </c>
      <c r="CH31" s="174">
        <f>+ROUND(((CH27+CH28)*'DATOS ENTRADA'!$B$20),0)</f>
        <v>112046</v>
      </c>
      <c r="CI31" s="174">
        <f>+ROUND(((CI27+CI28)*'DATOS ENTRADA'!$B$20),0)</f>
        <v>112046</v>
      </c>
      <c r="CJ31" s="174">
        <f>+ROUND(((CJ27+CJ28)*'DATOS ENTRADA'!$B$20),0)</f>
        <v>112046</v>
      </c>
      <c r="CK31" s="174">
        <f>+ROUND(((CK27+CK28)*'DATOS ENTRADA'!$B$20),0)</f>
        <v>112046</v>
      </c>
      <c r="CL31" s="174">
        <f>+ROUND(((CL27+CL28)*'DATOS ENTRADA'!$B$20),0)</f>
        <v>112046</v>
      </c>
      <c r="CM31" s="174">
        <f>+ROUND(((CM27+CM28)*'DATOS ENTRADA'!$B$20),0)</f>
        <v>112046</v>
      </c>
      <c r="CN31" s="174">
        <f>+ROUND(((CN27+CN28)*'DATOS ENTRADA'!$B$20),0)</f>
        <v>112046</v>
      </c>
      <c r="CO31" s="173">
        <f t="shared" si="338"/>
        <v>1411956</v>
      </c>
      <c r="CP31" s="174">
        <f>+ROUND(((CP27+CP28)*'DATOS ENTRADA'!$B$20),0)</f>
        <v>117663</v>
      </c>
      <c r="CQ31" s="174">
        <f>+ROUND(((CQ27+CQ28)*'DATOS ENTRADA'!$B$20),0)</f>
        <v>117663</v>
      </c>
      <c r="CR31" s="174">
        <f>+ROUND(((CR27+CR28)*'DATOS ENTRADA'!$B$20),0)</f>
        <v>117663</v>
      </c>
      <c r="CS31" s="174">
        <f>+ROUND(((CS27+CS28)*'DATOS ENTRADA'!$B$20),0)</f>
        <v>117663</v>
      </c>
      <c r="CT31" s="174">
        <f>+ROUND(((CT27+CT28)*'DATOS ENTRADA'!$B$20),0)</f>
        <v>117663</v>
      </c>
      <c r="CU31" s="174">
        <f>+ROUND(((CU27+CU28)*'DATOS ENTRADA'!$B$20),0)</f>
        <v>117663</v>
      </c>
      <c r="CV31" s="174">
        <f>+ROUND(((CV27+CV28)*'DATOS ENTRADA'!$B$20),0)</f>
        <v>117663</v>
      </c>
      <c r="CW31" s="174">
        <f>+ROUND(((CW27+CW28)*'DATOS ENTRADA'!$B$20),0)</f>
        <v>117663</v>
      </c>
      <c r="CX31" s="174">
        <f>+ROUND(((CX27+CX28)*'DATOS ENTRADA'!$B$20),0)</f>
        <v>117663</v>
      </c>
      <c r="CY31" s="174">
        <f>+ROUND(((CY27+CY28)*'DATOS ENTRADA'!$B$20),0)</f>
        <v>117663</v>
      </c>
      <c r="CZ31" s="174">
        <f>+ROUND(((CZ27+CZ28)*'DATOS ENTRADA'!$B$20),0)</f>
        <v>117663</v>
      </c>
      <c r="DA31" s="174">
        <f>+ROUND(((DA27+DA28)*'DATOS ENTRADA'!$B$20),0)</f>
        <v>117663</v>
      </c>
      <c r="DB31" s="173">
        <f t="shared" si="339"/>
        <v>1482744</v>
      </c>
      <c r="DC31" s="174">
        <f>+ROUND(((DC27+DC28)*'DATOS ENTRADA'!$B$20),0)</f>
        <v>123562</v>
      </c>
      <c r="DD31" s="174">
        <f>+ROUND(((DD27+DD28)*'DATOS ENTRADA'!$B$20),0)</f>
        <v>123562</v>
      </c>
      <c r="DE31" s="174">
        <f>+ROUND(((DE27+DE28)*'DATOS ENTRADA'!$B$20),0)</f>
        <v>123562</v>
      </c>
      <c r="DF31" s="174">
        <f>+ROUND(((DF27+DF28)*'DATOS ENTRADA'!$B$20),0)</f>
        <v>123562</v>
      </c>
      <c r="DG31" s="174">
        <f>+ROUND(((DG27+DG28)*'DATOS ENTRADA'!$B$20),0)</f>
        <v>123562</v>
      </c>
      <c r="DH31" s="174">
        <f>+ROUND(((DH27+DH28)*'DATOS ENTRADA'!$B$20),0)</f>
        <v>123562</v>
      </c>
      <c r="DI31" s="174">
        <f>+ROUND(((DI27+DI28)*'DATOS ENTRADA'!$B$20),0)</f>
        <v>123562</v>
      </c>
      <c r="DJ31" s="174">
        <f>+ROUND(((DJ27+DJ28)*'DATOS ENTRADA'!$B$20),0)</f>
        <v>123562</v>
      </c>
      <c r="DK31" s="174">
        <f>+ROUND(((DK27+DK28)*'DATOS ENTRADA'!$B$20),0)</f>
        <v>123562</v>
      </c>
      <c r="DL31" s="174">
        <f>+ROUND(((DL27+DL28)*'DATOS ENTRADA'!$B$20),0)</f>
        <v>123562</v>
      </c>
      <c r="DM31" s="174">
        <f>+ROUND(((DM27+DM28)*'DATOS ENTRADA'!$B$20),0)</f>
        <v>123562</v>
      </c>
      <c r="DN31" s="174">
        <f>+ROUND(((DN27+DN28)*'DATOS ENTRADA'!$B$20),0)</f>
        <v>123562</v>
      </c>
      <c r="DO31" s="173">
        <f t="shared" si="340"/>
        <v>1557084</v>
      </c>
      <c r="DP31" s="174">
        <f>+ROUND(((DP27+DP28)*'DATOS ENTRADA'!$B$20),0)</f>
        <v>129757</v>
      </c>
      <c r="DQ31" s="174">
        <f>+ROUND(((DQ27+DQ28)*'DATOS ENTRADA'!$B$20),0)</f>
        <v>129757</v>
      </c>
      <c r="DR31" s="174">
        <f>+ROUND(((DR27+DR28)*'DATOS ENTRADA'!$B$20),0)</f>
        <v>129757</v>
      </c>
      <c r="DS31" s="174">
        <f>+ROUND(((DS27+DS28)*'DATOS ENTRADA'!$B$20),0)</f>
        <v>129757</v>
      </c>
      <c r="DT31" s="174">
        <f>+ROUND(((DT27+DT28)*'DATOS ENTRADA'!$B$20),0)</f>
        <v>129757</v>
      </c>
      <c r="DU31" s="174">
        <f>+ROUND(((DU27+DU28)*'DATOS ENTRADA'!$B$20),0)</f>
        <v>129757</v>
      </c>
      <c r="DV31" s="174">
        <f>+ROUND(((DV27+DV28)*'DATOS ENTRADA'!$B$20),0)</f>
        <v>129757</v>
      </c>
      <c r="DW31" s="174">
        <f>+ROUND(((DW27+DW28)*'DATOS ENTRADA'!$B$20),0)</f>
        <v>129757</v>
      </c>
      <c r="DX31" s="174">
        <f>+ROUND(((DX27+DX28)*'DATOS ENTRADA'!$B$20),0)</f>
        <v>129757</v>
      </c>
      <c r="DY31" s="174">
        <f>+ROUND(((DY27+DY28)*'DATOS ENTRADA'!$B$20),0)</f>
        <v>129757</v>
      </c>
      <c r="DZ31" s="174">
        <f>+ROUND(((DZ27+DZ28)*'DATOS ENTRADA'!$B$20),0)</f>
        <v>129757</v>
      </c>
      <c r="EA31" s="174">
        <f>+ROUND(((EA27+EA28)*'DATOS ENTRADA'!$B$20),0)</f>
        <v>129757</v>
      </c>
      <c r="EB31" s="173">
        <f t="shared" si="341"/>
        <v>1635156</v>
      </c>
      <c r="EC31" s="174">
        <f>+ROUND(((EC27+EC28)*'DATOS ENTRADA'!$B$20),0)</f>
        <v>136263</v>
      </c>
      <c r="ED31" s="174">
        <f>+ROUND(((ED27+ED28)*'DATOS ENTRADA'!$B$20),0)</f>
        <v>136263</v>
      </c>
      <c r="EE31" s="174">
        <f>+ROUND(((EE27+EE28)*'DATOS ENTRADA'!$B$20),0)</f>
        <v>136263</v>
      </c>
      <c r="EF31" s="174">
        <f>+ROUND(((EF27+EF28)*'DATOS ENTRADA'!$B$20),0)</f>
        <v>136263</v>
      </c>
      <c r="EG31" s="174">
        <f>+ROUND(((EG27+EG28)*'DATOS ENTRADA'!$B$20),0)</f>
        <v>136263</v>
      </c>
      <c r="EH31" s="174">
        <f>+ROUND(((EH27+EH28)*'DATOS ENTRADA'!$B$20),0)</f>
        <v>136263</v>
      </c>
      <c r="EI31" s="174">
        <f>+ROUND(((EI27+EI28)*'DATOS ENTRADA'!$B$20),0)</f>
        <v>136263</v>
      </c>
      <c r="EJ31" s="174">
        <f>+ROUND(((EJ27+EJ28)*'DATOS ENTRADA'!$B$20),0)</f>
        <v>136263</v>
      </c>
      <c r="EK31" s="174">
        <f>+ROUND(((EK27+EK28)*'DATOS ENTRADA'!$B$20),0)</f>
        <v>136263</v>
      </c>
      <c r="EL31" s="174">
        <f>+ROUND(((EL27+EL28)*'DATOS ENTRADA'!$B$20),0)</f>
        <v>136263</v>
      </c>
      <c r="EM31" s="174">
        <f>+ROUND(((EM27+EM28)*'DATOS ENTRADA'!$B$20),0)</f>
        <v>136263</v>
      </c>
      <c r="EN31" s="174">
        <f>+ROUND(((EN27+EN28)*'DATOS ENTRADA'!$B$20),0)</f>
        <v>136263</v>
      </c>
      <c r="EO31" s="173">
        <f t="shared" si="342"/>
        <v>1717140</v>
      </c>
      <c r="EP31" s="174">
        <f>+ROUND(((EP27+EP28)*'DATOS ENTRADA'!$B$20),0)</f>
        <v>143095</v>
      </c>
      <c r="EQ31" s="174">
        <f>+ROUND(((EQ27+EQ28)*'DATOS ENTRADA'!$B$20),0)</f>
        <v>143095</v>
      </c>
      <c r="ER31" s="174">
        <f>+ROUND(((ER27+ER28)*'DATOS ENTRADA'!$B$20),0)</f>
        <v>143095</v>
      </c>
      <c r="ES31" s="174">
        <f>+ROUND(((ES27+ES28)*'DATOS ENTRADA'!$B$20),0)</f>
        <v>143095</v>
      </c>
      <c r="ET31" s="174">
        <f>+ROUND(((ET27+ET28)*'DATOS ENTRADA'!$B$20),0)</f>
        <v>143095</v>
      </c>
      <c r="EU31" s="174">
        <f>+ROUND(((EU27+EU28)*'DATOS ENTRADA'!$B$20),0)</f>
        <v>143095</v>
      </c>
      <c r="EV31" s="174">
        <f>+ROUND(((EV27+EV28)*'DATOS ENTRADA'!$B$20),0)</f>
        <v>143095</v>
      </c>
      <c r="EW31" s="174">
        <f>+ROUND(((EW27+EW28)*'DATOS ENTRADA'!$B$20),0)</f>
        <v>143095</v>
      </c>
      <c r="EX31" s="174">
        <f>+ROUND(((EX27+EX28)*'DATOS ENTRADA'!$B$20),0)</f>
        <v>143095</v>
      </c>
      <c r="EY31" s="174">
        <f>+ROUND(((EY27+EY28)*'DATOS ENTRADA'!$B$20),0)</f>
        <v>143095</v>
      </c>
      <c r="EZ31" s="174">
        <f>+ROUND(((EZ27+EZ28)*'DATOS ENTRADA'!$B$20),0)</f>
        <v>143095</v>
      </c>
      <c r="FA31" s="174">
        <f>+ROUND(((FA27+FA28)*'DATOS ENTRADA'!$B$20),0)</f>
        <v>143095</v>
      </c>
      <c r="FB31" s="173">
        <f t="shared" si="343"/>
        <v>1803228</v>
      </c>
      <c r="FC31" s="174">
        <f>+ROUND(((FC27+FC28)*'DATOS ENTRADA'!$B$20),0)</f>
        <v>150269</v>
      </c>
      <c r="FD31" s="174">
        <f>+ROUND(((FD27+FD28)*'DATOS ENTRADA'!$B$20),0)</f>
        <v>150269</v>
      </c>
      <c r="FE31" s="174">
        <f>+ROUND(((FE27+FE28)*'DATOS ENTRADA'!$B$20),0)</f>
        <v>150269</v>
      </c>
      <c r="FF31" s="174">
        <f>+ROUND(((FF27+FF28)*'DATOS ENTRADA'!$B$20),0)</f>
        <v>150269</v>
      </c>
      <c r="FG31" s="174">
        <f>+ROUND(((FG27+FG28)*'DATOS ENTRADA'!$B$20),0)</f>
        <v>150269</v>
      </c>
      <c r="FH31" s="174">
        <f>+ROUND(((FH27+FH28)*'DATOS ENTRADA'!$B$20),0)</f>
        <v>150269</v>
      </c>
      <c r="FI31" s="174">
        <f>+ROUND(((FI27+FI28)*'DATOS ENTRADA'!$B$20),0)</f>
        <v>150269</v>
      </c>
      <c r="FJ31" s="174">
        <f>+ROUND(((FJ27+FJ28)*'DATOS ENTRADA'!$B$20),0)</f>
        <v>150269</v>
      </c>
      <c r="FK31" s="174">
        <f>+ROUND(((FK27+FK28)*'DATOS ENTRADA'!$B$20),0)</f>
        <v>150269</v>
      </c>
      <c r="FL31" s="174">
        <f>+ROUND(((FL27+FL28)*'DATOS ENTRADA'!$B$20),0)</f>
        <v>150269</v>
      </c>
      <c r="FM31" s="174">
        <f>+ROUND(((FM27+FM28)*'DATOS ENTRADA'!$B$20),0)</f>
        <v>150269</v>
      </c>
      <c r="FN31" s="174">
        <f>+ROUND(((FN27+FN28)*'DATOS ENTRADA'!$B$20),0)</f>
        <v>150269</v>
      </c>
      <c r="FO31" s="173">
        <f t="shared" si="344"/>
        <v>1893648</v>
      </c>
      <c r="FP31" s="174">
        <f>+ROUND(((FP27+FP28)*'DATOS ENTRADA'!$B$20),0)</f>
        <v>157804</v>
      </c>
      <c r="FQ31" s="174">
        <f>+ROUND(((FQ27+FQ28)*'DATOS ENTRADA'!$B$20),0)</f>
        <v>157804</v>
      </c>
      <c r="FR31" s="174">
        <f>+ROUND(((FR27+FR28)*'DATOS ENTRADA'!$B$20),0)</f>
        <v>157804</v>
      </c>
      <c r="FS31" s="174">
        <f>+ROUND(((FS27+FS28)*'DATOS ENTRADA'!$B$20),0)</f>
        <v>157804</v>
      </c>
      <c r="FT31" s="174">
        <f>+ROUND(((FT27+FT28)*'DATOS ENTRADA'!$B$20),0)</f>
        <v>157804</v>
      </c>
      <c r="FU31" s="174">
        <f>+ROUND(((FU27+FU28)*'DATOS ENTRADA'!$B$20),0)</f>
        <v>157804</v>
      </c>
      <c r="FV31" s="174">
        <f>+ROUND(((FV27+FV28)*'DATOS ENTRADA'!$B$20),0)</f>
        <v>157804</v>
      </c>
      <c r="FW31" s="174">
        <f>+ROUND(((FW27+FW28)*'DATOS ENTRADA'!$B$20),0)</f>
        <v>157804</v>
      </c>
      <c r="FX31" s="174">
        <f>+ROUND(((FX27+FX28)*'DATOS ENTRADA'!$B$20),0)</f>
        <v>157804</v>
      </c>
      <c r="FY31" s="174">
        <f>+ROUND(((FY27+FY28)*'DATOS ENTRADA'!$B$20),0)</f>
        <v>157804</v>
      </c>
      <c r="FZ31" s="174">
        <f>+ROUND(((FZ27+FZ28)*'DATOS ENTRADA'!$B$20),0)</f>
        <v>157804</v>
      </c>
      <c r="GA31" s="174">
        <f>+ROUND(((GA27+GA28)*'DATOS ENTRADA'!$B$20),0)</f>
        <v>157804</v>
      </c>
      <c r="GB31" s="173">
        <f t="shared" si="206"/>
        <v>828585</v>
      </c>
      <c r="GC31" s="174">
        <f>+ROUND(((GC27+GC28)*'DATOS ENTRADA'!$B$20),0)</f>
        <v>165717</v>
      </c>
      <c r="GD31" s="174">
        <f>+ROUND(((GD27+GD28)*'DATOS ENTRADA'!$B$20),0)</f>
        <v>165717</v>
      </c>
      <c r="GE31" s="174">
        <f>+ROUND(((GE27+GE28)*'DATOS ENTRADA'!$B$20),0)</f>
        <v>165717</v>
      </c>
      <c r="GF31" s="174">
        <f>+ROUND(((GF27+GF28)*'DATOS ENTRADA'!$B$20),0)</f>
        <v>165717</v>
      </c>
      <c r="GG31" s="174">
        <f>+ROUND(((GG27+GG28)*'DATOS ENTRADA'!$B$20),0)</f>
        <v>165717</v>
      </c>
    </row>
    <row r="32" spans="1:189" s="175" customFormat="1" ht="28.5" x14ac:dyDescent="0.25">
      <c r="A32" s="80" t="s">
        <v>68</v>
      </c>
      <c r="B32" s="173">
        <f t="shared" si="331"/>
        <v>21793044</v>
      </c>
      <c r="C32" s="174">
        <f>+ROUND(((C15)*'DATOS ENTRADA'!$B$42),0)</f>
        <v>1816087</v>
      </c>
      <c r="D32" s="174">
        <f>+ROUND(((D15)*'DATOS ENTRADA'!$B$42),0)</f>
        <v>1816087</v>
      </c>
      <c r="E32" s="174">
        <f>+ROUND(((E15)*'DATOS ENTRADA'!$B$42),0)</f>
        <v>1816087</v>
      </c>
      <c r="F32" s="174">
        <f>+ROUND(((F15)*'DATOS ENTRADA'!$B$42),0)</f>
        <v>1816087</v>
      </c>
      <c r="G32" s="174">
        <f>+ROUND(((G15)*'DATOS ENTRADA'!$B$42),0)</f>
        <v>1816087</v>
      </c>
      <c r="H32" s="174">
        <f>+ROUND(((H15)*'DATOS ENTRADA'!$B$42),0)</f>
        <v>1816087</v>
      </c>
      <c r="I32" s="174">
        <f>+ROUND(((I15)*'DATOS ENTRADA'!$B$42),0)</f>
        <v>1816087</v>
      </c>
      <c r="J32" s="174">
        <f>+ROUND(((J15)*'DATOS ENTRADA'!$B$42),0)</f>
        <v>1816087</v>
      </c>
      <c r="K32" s="174">
        <f>+ROUND(((K15)*'DATOS ENTRADA'!$B$42),0)</f>
        <v>1816087</v>
      </c>
      <c r="L32" s="174">
        <f>+ROUND(((L15)*'DATOS ENTRADA'!$B$42),0)</f>
        <v>1816087</v>
      </c>
      <c r="M32" s="174">
        <f>+ROUND(((M15)*'DATOS ENTRADA'!$B$42),0)</f>
        <v>1816087</v>
      </c>
      <c r="N32" s="174">
        <f>+ROUND(((N15)*'DATOS ENTRADA'!$B$42),0)</f>
        <v>1816087</v>
      </c>
      <c r="O32" s="173">
        <f>+SUM(P32:AA32)</f>
        <v>23100636</v>
      </c>
      <c r="P32" s="174">
        <f>+ROUND(((P15)*'DATOS ENTRADA'!$B$42),0)</f>
        <v>1925053</v>
      </c>
      <c r="Q32" s="174">
        <f>+ROUND(((Q15)*'DATOS ENTRADA'!$B$42),0)</f>
        <v>1925053</v>
      </c>
      <c r="R32" s="174">
        <f>+ROUND(((R15)*'DATOS ENTRADA'!$B$42),0)</f>
        <v>1925053</v>
      </c>
      <c r="S32" s="174">
        <f>+ROUND(((S15)*'DATOS ENTRADA'!$B$42),0)</f>
        <v>1925053</v>
      </c>
      <c r="T32" s="174">
        <f>+ROUND(((T15)*'DATOS ENTRADA'!$B$42),0)</f>
        <v>1925053</v>
      </c>
      <c r="U32" s="174">
        <f>+ROUND(((U15)*'DATOS ENTRADA'!$B$42),0)</f>
        <v>1925053</v>
      </c>
      <c r="V32" s="174">
        <f>+ROUND(((V15)*'DATOS ENTRADA'!$B$42),0)</f>
        <v>1925053</v>
      </c>
      <c r="W32" s="174">
        <f>+ROUND(((W15)*'DATOS ENTRADA'!$B$42),0)</f>
        <v>1925053</v>
      </c>
      <c r="X32" s="174">
        <f>+ROUND(((X15)*'DATOS ENTRADA'!$B$42),0)</f>
        <v>1925053</v>
      </c>
      <c r="Y32" s="174">
        <f>+ROUND(((Y15)*'DATOS ENTRADA'!$B$42),0)</f>
        <v>1925053</v>
      </c>
      <c r="Z32" s="174">
        <f>+ROUND(((Z15)*'DATOS ENTRADA'!$B$42),0)</f>
        <v>1925053</v>
      </c>
      <c r="AA32" s="174">
        <f>+ROUND(((AA15)*'DATOS ENTRADA'!$B$42),0)</f>
        <v>1925053</v>
      </c>
      <c r="AB32" s="173">
        <f t="shared" si="333"/>
        <v>24486672</v>
      </c>
      <c r="AC32" s="174">
        <f>+ROUND(((AC15)*'DATOS ENTRADA'!$B$42),0)</f>
        <v>2040556</v>
      </c>
      <c r="AD32" s="174">
        <f>+ROUND(((AD15)*'DATOS ENTRADA'!$B$42),0)</f>
        <v>2040556</v>
      </c>
      <c r="AE32" s="174">
        <f>+ROUND(((AE15)*'DATOS ENTRADA'!$B$42),0)</f>
        <v>2040556</v>
      </c>
      <c r="AF32" s="174">
        <f>+ROUND(((AF15)*'DATOS ENTRADA'!$B$42),0)</f>
        <v>2040556</v>
      </c>
      <c r="AG32" s="174">
        <f>+ROUND(((AG15)*'DATOS ENTRADA'!$B$42),0)</f>
        <v>2040556</v>
      </c>
      <c r="AH32" s="174">
        <f>+ROUND(((AH15)*'DATOS ENTRADA'!$B$42),0)</f>
        <v>2040556</v>
      </c>
      <c r="AI32" s="174">
        <f>+ROUND(((AI15)*'DATOS ENTRADA'!$B$42),0)</f>
        <v>2040556</v>
      </c>
      <c r="AJ32" s="174">
        <f>+ROUND(((AJ15)*'DATOS ENTRADA'!$B$42),0)</f>
        <v>2040556</v>
      </c>
      <c r="AK32" s="174">
        <f>+ROUND(((AK15)*'DATOS ENTRADA'!$B$42),0)</f>
        <v>2040556</v>
      </c>
      <c r="AL32" s="174">
        <f>+ROUND(((AL15)*'DATOS ENTRADA'!$B$42),0)</f>
        <v>2040556</v>
      </c>
      <c r="AM32" s="174">
        <f>+ROUND(((AM15)*'DATOS ENTRADA'!$B$42),0)</f>
        <v>2040556</v>
      </c>
      <c r="AN32" s="174">
        <f>+ROUND(((AN15)*'DATOS ENTRADA'!$B$42),0)</f>
        <v>2040556</v>
      </c>
      <c r="AO32" s="173">
        <f t="shared" si="334"/>
        <v>25955868</v>
      </c>
      <c r="AP32" s="174">
        <f>+ROUND(((AP15)*'DATOS ENTRADA'!$B$42),0)</f>
        <v>2162989</v>
      </c>
      <c r="AQ32" s="174">
        <f>+ROUND(((AQ15)*'DATOS ENTRADA'!$B$42),0)</f>
        <v>2162989</v>
      </c>
      <c r="AR32" s="174">
        <f>+ROUND(((AR15)*'DATOS ENTRADA'!$B$42),0)</f>
        <v>2162989</v>
      </c>
      <c r="AS32" s="174">
        <f>+ROUND(((AS15)*'DATOS ENTRADA'!$B$42),0)</f>
        <v>2162989</v>
      </c>
      <c r="AT32" s="174">
        <f>+ROUND(((AT15)*'DATOS ENTRADA'!$B$42),0)</f>
        <v>2162989</v>
      </c>
      <c r="AU32" s="174">
        <f>+ROUND(((AU15)*'DATOS ENTRADA'!$B$42),0)</f>
        <v>2162989</v>
      </c>
      <c r="AV32" s="174">
        <f>+ROUND(((AV15)*'DATOS ENTRADA'!$B$42),0)</f>
        <v>2162989</v>
      </c>
      <c r="AW32" s="174">
        <f>+ROUND(((AW15)*'DATOS ENTRADA'!$B$42),0)</f>
        <v>2162989</v>
      </c>
      <c r="AX32" s="174">
        <f>+ROUND(((AX15)*'DATOS ENTRADA'!$B$42),0)</f>
        <v>2162989</v>
      </c>
      <c r="AY32" s="174">
        <f>+ROUND(((AY15)*'DATOS ENTRADA'!$B$42),0)</f>
        <v>2162989</v>
      </c>
      <c r="AZ32" s="174">
        <f>+ROUND(((AZ15)*'DATOS ENTRADA'!$B$42),0)</f>
        <v>2162989</v>
      </c>
      <c r="BA32" s="174">
        <f>+ROUND(((BA15)*'DATOS ENTRADA'!$B$42),0)</f>
        <v>2162989</v>
      </c>
      <c r="BB32" s="173">
        <f t="shared" si="335"/>
        <v>27513216</v>
      </c>
      <c r="BC32" s="174">
        <f>+ROUND(((BC15)*'DATOS ENTRADA'!$B$42),0)</f>
        <v>2292768</v>
      </c>
      <c r="BD32" s="174">
        <f>+ROUND(((BD15)*'DATOS ENTRADA'!$B$42),0)</f>
        <v>2292768</v>
      </c>
      <c r="BE32" s="174">
        <f>+ROUND(((BE15)*'DATOS ENTRADA'!$B$42),0)</f>
        <v>2292768</v>
      </c>
      <c r="BF32" s="174">
        <f>+ROUND(((BF15)*'DATOS ENTRADA'!$B$42),0)</f>
        <v>2292768</v>
      </c>
      <c r="BG32" s="174">
        <f>+ROUND(((BG15)*'DATOS ENTRADA'!$B$42),0)</f>
        <v>2292768</v>
      </c>
      <c r="BH32" s="174">
        <f>+ROUND(((BH15)*'DATOS ENTRADA'!$B$42),0)</f>
        <v>2292768</v>
      </c>
      <c r="BI32" s="174">
        <f>+ROUND(((BI15)*'DATOS ENTRADA'!$B$42),0)</f>
        <v>2292768</v>
      </c>
      <c r="BJ32" s="174">
        <f>+ROUND(((BJ15)*'DATOS ENTRADA'!$B$42),0)</f>
        <v>2292768</v>
      </c>
      <c r="BK32" s="174">
        <f>+ROUND(((BK15)*'DATOS ENTRADA'!$B$42),0)</f>
        <v>2292768</v>
      </c>
      <c r="BL32" s="174">
        <f>+ROUND(((BL15)*'DATOS ENTRADA'!$B$42),0)</f>
        <v>2292768</v>
      </c>
      <c r="BM32" s="174">
        <f>+ROUND(((BM15)*'DATOS ENTRADA'!$B$42),0)</f>
        <v>2292768</v>
      </c>
      <c r="BN32" s="174">
        <f>+ROUND(((BN15)*'DATOS ENTRADA'!$B$42),0)</f>
        <v>2292768</v>
      </c>
      <c r="BO32" s="173">
        <f t="shared" si="336"/>
        <v>29164008</v>
      </c>
      <c r="BP32" s="174">
        <f>+ROUND(((BP15)*'DATOS ENTRADA'!$B$42),0)</f>
        <v>2430334</v>
      </c>
      <c r="BQ32" s="174">
        <f>+ROUND(((BQ15)*'DATOS ENTRADA'!$B$42),0)</f>
        <v>2430334</v>
      </c>
      <c r="BR32" s="174">
        <f>+ROUND(((BR15)*'DATOS ENTRADA'!$B$42),0)</f>
        <v>2430334</v>
      </c>
      <c r="BS32" s="174">
        <f>+ROUND(((BS15)*'DATOS ENTRADA'!$B$42),0)</f>
        <v>2430334</v>
      </c>
      <c r="BT32" s="174">
        <f>+ROUND(((BT15)*'DATOS ENTRADA'!$B$42),0)</f>
        <v>2430334</v>
      </c>
      <c r="BU32" s="174">
        <f>+ROUND(((BU15)*'DATOS ENTRADA'!$B$42),0)</f>
        <v>2430334</v>
      </c>
      <c r="BV32" s="174">
        <f>+ROUND(((BV15)*'DATOS ENTRADA'!$B$42),0)</f>
        <v>2430334</v>
      </c>
      <c r="BW32" s="174">
        <f>+ROUND(((BW15)*'DATOS ENTRADA'!$B$42),0)</f>
        <v>2430334</v>
      </c>
      <c r="BX32" s="174">
        <f>+ROUND(((BX15)*'DATOS ENTRADA'!$B$42),0)</f>
        <v>2430334</v>
      </c>
      <c r="BY32" s="174">
        <f>+ROUND(((BY15)*'DATOS ENTRADA'!$B$42),0)</f>
        <v>2430334</v>
      </c>
      <c r="BZ32" s="174">
        <f>+ROUND(((BZ15)*'DATOS ENTRADA'!$B$42),0)</f>
        <v>2430334</v>
      </c>
      <c r="CA32" s="174">
        <f>+ROUND(((CA15)*'DATOS ENTRADA'!$B$42),0)</f>
        <v>2430334</v>
      </c>
      <c r="CB32" s="173">
        <f t="shared" si="337"/>
        <v>30913860</v>
      </c>
      <c r="CC32" s="174">
        <f>+ROUND(((CC15)*'DATOS ENTRADA'!$B$42),0)</f>
        <v>2576155</v>
      </c>
      <c r="CD32" s="174">
        <f>+ROUND(((CD15)*'DATOS ENTRADA'!$B$42),0)</f>
        <v>2576155</v>
      </c>
      <c r="CE32" s="174">
        <f>+ROUND(((CE15)*'DATOS ENTRADA'!$B$42),0)</f>
        <v>2576155</v>
      </c>
      <c r="CF32" s="174">
        <f>+ROUND(((CF15)*'DATOS ENTRADA'!$B$42),0)</f>
        <v>2576155</v>
      </c>
      <c r="CG32" s="174">
        <f>+ROUND(((CG15)*'DATOS ENTRADA'!$B$42),0)</f>
        <v>2576155</v>
      </c>
      <c r="CH32" s="174">
        <f>+ROUND(((CH15)*'DATOS ENTRADA'!$B$42),0)</f>
        <v>2576155</v>
      </c>
      <c r="CI32" s="174">
        <f>+ROUND(((CI15)*'DATOS ENTRADA'!$B$42),0)</f>
        <v>2576155</v>
      </c>
      <c r="CJ32" s="174">
        <f>+ROUND(((CJ15)*'DATOS ENTRADA'!$B$42),0)</f>
        <v>2576155</v>
      </c>
      <c r="CK32" s="174">
        <f>+ROUND(((CK15)*'DATOS ENTRADA'!$B$42),0)</f>
        <v>2576155</v>
      </c>
      <c r="CL32" s="174">
        <f>+ROUND(((CL15)*'DATOS ENTRADA'!$B$42),0)</f>
        <v>2576155</v>
      </c>
      <c r="CM32" s="174">
        <f>+ROUND(((CM15)*'DATOS ENTRADA'!$B$42),0)</f>
        <v>2576155</v>
      </c>
      <c r="CN32" s="174">
        <f>+ROUND(((CN15)*'DATOS ENTRADA'!$B$42),0)</f>
        <v>2576155</v>
      </c>
      <c r="CO32" s="173">
        <f t="shared" si="338"/>
        <v>32768688</v>
      </c>
      <c r="CP32" s="174">
        <f>+ROUND(((CP15)*'DATOS ENTRADA'!$B$42),0)</f>
        <v>2730724</v>
      </c>
      <c r="CQ32" s="174">
        <f>+ROUND(((CQ15)*'DATOS ENTRADA'!$B$42),0)</f>
        <v>2730724</v>
      </c>
      <c r="CR32" s="174">
        <f>+ROUND(((CR15)*'DATOS ENTRADA'!$B$42),0)</f>
        <v>2730724</v>
      </c>
      <c r="CS32" s="174">
        <f>+ROUND(((CS15)*'DATOS ENTRADA'!$B$42),0)</f>
        <v>2730724</v>
      </c>
      <c r="CT32" s="174">
        <f>+ROUND(((CT15)*'DATOS ENTRADA'!$B$42),0)</f>
        <v>2730724</v>
      </c>
      <c r="CU32" s="174">
        <f>+ROUND(((CU15)*'DATOS ENTRADA'!$B$42),0)</f>
        <v>2730724</v>
      </c>
      <c r="CV32" s="174">
        <f>+ROUND(((CV15)*'DATOS ENTRADA'!$B$42),0)</f>
        <v>2730724</v>
      </c>
      <c r="CW32" s="174">
        <f>+ROUND(((CW15)*'DATOS ENTRADA'!$B$42),0)</f>
        <v>2730724</v>
      </c>
      <c r="CX32" s="174">
        <f>+ROUND(((CX15)*'DATOS ENTRADA'!$B$42),0)</f>
        <v>2730724</v>
      </c>
      <c r="CY32" s="174">
        <f>+ROUND(((CY15)*'DATOS ENTRADA'!$B$42),0)</f>
        <v>2730724</v>
      </c>
      <c r="CZ32" s="174">
        <f>+ROUND(((CZ15)*'DATOS ENTRADA'!$B$42),0)</f>
        <v>2730724</v>
      </c>
      <c r="DA32" s="174">
        <f>+ROUND(((DA15)*'DATOS ENTRADA'!$B$42),0)</f>
        <v>2730724</v>
      </c>
      <c r="DB32" s="173">
        <f t="shared" si="339"/>
        <v>34734804</v>
      </c>
      <c r="DC32" s="174">
        <f>+ROUND(((DC15)*'DATOS ENTRADA'!$B$42),0)</f>
        <v>2894567</v>
      </c>
      <c r="DD32" s="174">
        <f>+ROUND(((DD15)*'DATOS ENTRADA'!$B$42),0)</f>
        <v>2894567</v>
      </c>
      <c r="DE32" s="174">
        <f>+ROUND(((DE15)*'DATOS ENTRADA'!$B$42),0)</f>
        <v>2894567</v>
      </c>
      <c r="DF32" s="174">
        <f>+ROUND(((DF15)*'DATOS ENTRADA'!$B$42),0)</f>
        <v>2894567</v>
      </c>
      <c r="DG32" s="174">
        <f>+ROUND(((DG15)*'DATOS ENTRADA'!$B$42),0)</f>
        <v>2894567</v>
      </c>
      <c r="DH32" s="174">
        <f>+ROUND(((DH15)*'DATOS ENTRADA'!$B$42),0)</f>
        <v>2894567</v>
      </c>
      <c r="DI32" s="174">
        <f>+ROUND(((DI15)*'DATOS ENTRADA'!$B$42),0)</f>
        <v>2894567</v>
      </c>
      <c r="DJ32" s="174">
        <f>+ROUND(((DJ15)*'DATOS ENTRADA'!$B$42),0)</f>
        <v>2894567</v>
      </c>
      <c r="DK32" s="174">
        <f>+ROUND(((DK15)*'DATOS ENTRADA'!$B$42),0)</f>
        <v>2894567</v>
      </c>
      <c r="DL32" s="174">
        <f>+ROUND(((DL15)*'DATOS ENTRADA'!$B$42),0)</f>
        <v>2894567</v>
      </c>
      <c r="DM32" s="174">
        <f>+ROUND(((DM15)*'DATOS ENTRADA'!$B$42),0)</f>
        <v>2894567</v>
      </c>
      <c r="DN32" s="174">
        <f>+ROUND(((DN15)*'DATOS ENTRADA'!$B$42),0)</f>
        <v>2894567</v>
      </c>
      <c r="DO32" s="173">
        <f t="shared" si="340"/>
        <v>36818892</v>
      </c>
      <c r="DP32" s="174">
        <f>+ROUND(((DP15)*'DATOS ENTRADA'!$B$42),0)</f>
        <v>3068241</v>
      </c>
      <c r="DQ32" s="174">
        <f>+ROUND(((DQ15)*'DATOS ENTRADA'!$B$42),0)</f>
        <v>3068241</v>
      </c>
      <c r="DR32" s="174">
        <f>+ROUND(((DR15)*'DATOS ENTRADA'!$B$42),0)</f>
        <v>3068241</v>
      </c>
      <c r="DS32" s="174">
        <f>+ROUND(((DS15)*'DATOS ENTRADA'!$B$42),0)</f>
        <v>3068241</v>
      </c>
      <c r="DT32" s="174">
        <f>+ROUND(((DT15)*'DATOS ENTRADA'!$B$42),0)</f>
        <v>3068241</v>
      </c>
      <c r="DU32" s="174">
        <f>+ROUND(((DU15)*'DATOS ENTRADA'!$B$42),0)</f>
        <v>3068241</v>
      </c>
      <c r="DV32" s="174">
        <f>+ROUND(((DV15)*'DATOS ENTRADA'!$B$42),0)</f>
        <v>3068241</v>
      </c>
      <c r="DW32" s="174">
        <f>+ROUND(((DW15)*'DATOS ENTRADA'!$B$42),0)</f>
        <v>3068241</v>
      </c>
      <c r="DX32" s="174">
        <f>+ROUND(((DX15)*'DATOS ENTRADA'!$B$42),0)</f>
        <v>3068241</v>
      </c>
      <c r="DY32" s="174">
        <f>+ROUND(((DY15)*'DATOS ENTRADA'!$B$42),0)</f>
        <v>3068241</v>
      </c>
      <c r="DZ32" s="174">
        <f>+ROUND(((DZ15)*'DATOS ENTRADA'!$B$42),0)</f>
        <v>3068241</v>
      </c>
      <c r="EA32" s="174">
        <f>+ROUND(((EA15)*'DATOS ENTRADA'!$B$42),0)</f>
        <v>3068241</v>
      </c>
      <c r="EB32" s="173">
        <f t="shared" si="341"/>
        <v>39028032</v>
      </c>
      <c r="EC32" s="174">
        <f>+ROUND(((EC15)*'DATOS ENTRADA'!$B$42),0)</f>
        <v>3252336</v>
      </c>
      <c r="ED32" s="174">
        <f>+ROUND(((ED15)*'DATOS ENTRADA'!$B$42),0)</f>
        <v>3252336</v>
      </c>
      <c r="EE32" s="174">
        <f>+ROUND(((EE15)*'DATOS ENTRADA'!$B$42),0)</f>
        <v>3252336</v>
      </c>
      <c r="EF32" s="174">
        <f>+ROUND(((EF15)*'DATOS ENTRADA'!$B$42),0)</f>
        <v>3252336</v>
      </c>
      <c r="EG32" s="174">
        <f>+ROUND(((EG15)*'DATOS ENTRADA'!$B$42),0)</f>
        <v>3252336</v>
      </c>
      <c r="EH32" s="174">
        <f>+ROUND(((EH15)*'DATOS ENTRADA'!$B$42),0)</f>
        <v>3252336</v>
      </c>
      <c r="EI32" s="174">
        <f>+ROUND(((EI15)*'DATOS ENTRADA'!$B$42),0)</f>
        <v>3252336</v>
      </c>
      <c r="EJ32" s="174">
        <f>+ROUND(((EJ15)*'DATOS ENTRADA'!$B$42),0)</f>
        <v>3252336</v>
      </c>
      <c r="EK32" s="174">
        <f>+ROUND(((EK15)*'DATOS ENTRADA'!$B$42),0)</f>
        <v>3252336</v>
      </c>
      <c r="EL32" s="174">
        <f>+ROUND(((EL15)*'DATOS ENTRADA'!$B$42),0)</f>
        <v>3252336</v>
      </c>
      <c r="EM32" s="174">
        <f>+ROUND(((EM15)*'DATOS ENTRADA'!$B$42),0)</f>
        <v>3252336</v>
      </c>
      <c r="EN32" s="174">
        <f>+ROUND(((EN15)*'DATOS ENTRADA'!$B$42),0)</f>
        <v>3252336</v>
      </c>
      <c r="EO32" s="173">
        <f t="shared" si="342"/>
        <v>41369712</v>
      </c>
      <c r="EP32" s="174">
        <f>+ROUND(((EP15)*'DATOS ENTRADA'!$B$42),0)</f>
        <v>3447476</v>
      </c>
      <c r="EQ32" s="174">
        <f>+ROUND(((EQ15)*'DATOS ENTRADA'!$B$42),0)</f>
        <v>3447476</v>
      </c>
      <c r="ER32" s="174">
        <f>+ROUND(((ER15)*'DATOS ENTRADA'!$B$42),0)</f>
        <v>3447476</v>
      </c>
      <c r="ES32" s="174">
        <f>+ROUND(((ES15)*'DATOS ENTRADA'!$B$42),0)</f>
        <v>3447476</v>
      </c>
      <c r="ET32" s="174">
        <f>+ROUND(((ET15)*'DATOS ENTRADA'!$B$42),0)</f>
        <v>3447476</v>
      </c>
      <c r="EU32" s="174">
        <f>+ROUND(((EU15)*'DATOS ENTRADA'!$B$42),0)</f>
        <v>3447476</v>
      </c>
      <c r="EV32" s="174">
        <f>+ROUND(((EV15)*'DATOS ENTRADA'!$B$42),0)</f>
        <v>3447476</v>
      </c>
      <c r="EW32" s="174">
        <f>+ROUND(((EW15)*'DATOS ENTRADA'!$B$42),0)</f>
        <v>3447476</v>
      </c>
      <c r="EX32" s="174">
        <f>+ROUND(((EX15)*'DATOS ENTRADA'!$B$42),0)</f>
        <v>3447476</v>
      </c>
      <c r="EY32" s="174">
        <f>+ROUND(((EY15)*'DATOS ENTRADA'!$B$42),0)</f>
        <v>3447476</v>
      </c>
      <c r="EZ32" s="174">
        <f>+ROUND(((EZ15)*'DATOS ENTRADA'!$B$42),0)</f>
        <v>3447476</v>
      </c>
      <c r="FA32" s="174">
        <f>+ROUND(((FA15)*'DATOS ENTRADA'!$B$42),0)</f>
        <v>3447476</v>
      </c>
      <c r="FB32" s="173">
        <f t="shared" si="343"/>
        <v>43851888</v>
      </c>
      <c r="FC32" s="174">
        <f>+ROUND(((FC15)*'DATOS ENTRADA'!$B$42),0)</f>
        <v>3654324</v>
      </c>
      <c r="FD32" s="174">
        <f>+ROUND(((FD15)*'DATOS ENTRADA'!$B$42),0)</f>
        <v>3654324</v>
      </c>
      <c r="FE32" s="174">
        <f>+ROUND(((FE15)*'DATOS ENTRADA'!$B$42),0)</f>
        <v>3654324</v>
      </c>
      <c r="FF32" s="174">
        <f>+ROUND(((FF15)*'DATOS ENTRADA'!$B$42),0)</f>
        <v>3654324</v>
      </c>
      <c r="FG32" s="174">
        <f>+ROUND(((FG15)*'DATOS ENTRADA'!$B$42),0)</f>
        <v>3654324</v>
      </c>
      <c r="FH32" s="174">
        <f>+ROUND(((FH15)*'DATOS ENTRADA'!$B$42),0)</f>
        <v>3654324</v>
      </c>
      <c r="FI32" s="174">
        <f>+ROUND(((FI15)*'DATOS ENTRADA'!$B$42),0)</f>
        <v>3654324</v>
      </c>
      <c r="FJ32" s="174">
        <f>+ROUND(((FJ15)*'DATOS ENTRADA'!$B$42),0)</f>
        <v>3654324</v>
      </c>
      <c r="FK32" s="174">
        <f>+ROUND(((FK15)*'DATOS ENTRADA'!$B$42),0)</f>
        <v>3654324</v>
      </c>
      <c r="FL32" s="174">
        <f>+ROUND(((FL15)*'DATOS ENTRADA'!$B$42),0)</f>
        <v>3654324</v>
      </c>
      <c r="FM32" s="174">
        <f>+ROUND(((FM15)*'DATOS ENTRADA'!$B$42),0)</f>
        <v>3654324</v>
      </c>
      <c r="FN32" s="174">
        <f>+ROUND(((FN15)*'DATOS ENTRADA'!$B$42),0)</f>
        <v>3654324</v>
      </c>
      <c r="FO32" s="173">
        <f t="shared" si="344"/>
        <v>46483008</v>
      </c>
      <c r="FP32" s="174">
        <f>+ROUND(((FP15)*'DATOS ENTRADA'!$B$42),0)</f>
        <v>3873584</v>
      </c>
      <c r="FQ32" s="174">
        <f>+ROUND(((FQ15)*'DATOS ENTRADA'!$B$42),0)</f>
        <v>3873584</v>
      </c>
      <c r="FR32" s="174">
        <f>+ROUND(((FR15)*'DATOS ENTRADA'!$B$42),0)</f>
        <v>3873584</v>
      </c>
      <c r="FS32" s="174">
        <f>+ROUND(((FS15)*'DATOS ENTRADA'!$B$42),0)</f>
        <v>3873584</v>
      </c>
      <c r="FT32" s="174">
        <f>+ROUND(((FT15)*'DATOS ENTRADA'!$B$42),0)</f>
        <v>3873584</v>
      </c>
      <c r="FU32" s="174">
        <f>+ROUND(((FU15)*'DATOS ENTRADA'!$B$42),0)</f>
        <v>3873584</v>
      </c>
      <c r="FV32" s="174">
        <f>+ROUND(((FV15)*'DATOS ENTRADA'!$B$42),0)</f>
        <v>3873584</v>
      </c>
      <c r="FW32" s="174">
        <f>+ROUND(((FW15)*'DATOS ENTRADA'!$B$42),0)</f>
        <v>3873584</v>
      </c>
      <c r="FX32" s="174">
        <f>+ROUND(((FX15)*'DATOS ENTRADA'!$B$42),0)</f>
        <v>3873584</v>
      </c>
      <c r="FY32" s="174">
        <f>+ROUND(((FY15)*'DATOS ENTRADA'!$B$42),0)</f>
        <v>3873584</v>
      </c>
      <c r="FZ32" s="174">
        <f>+ROUND(((FZ15)*'DATOS ENTRADA'!$B$42),0)</f>
        <v>3873584</v>
      </c>
      <c r="GA32" s="174">
        <f>+ROUND(((GA15)*'DATOS ENTRADA'!$B$42),0)</f>
        <v>3873584</v>
      </c>
      <c r="GB32" s="173">
        <f t="shared" si="206"/>
        <v>20529995</v>
      </c>
      <c r="GC32" s="174">
        <f>+ROUND(((GC15)*'DATOS ENTRADA'!$B$42),0)</f>
        <v>4105999</v>
      </c>
      <c r="GD32" s="174">
        <f>+ROUND(((GD15)*'DATOS ENTRADA'!$B$42),0)</f>
        <v>4105999</v>
      </c>
      <c r="GE32" s="174">
        <f>+ROUND(((GE15)*'DATOS ENTRADA'!$B$42),0)</f>
        <v>4105999</v>
      </c>
      <c r="GF32" s="174">
        <f>+ROUND(((GF15)*'DATOS ENTRADA'!$B$42),0)</f>
        <v>4105999</v>
      </c>
      <c r="GG32" s="174">
        <f>+ROUND(((GG15)*'DATOS ENTRADA'!$B$42),0)</f>
        <v>4105999</v>
      </c>
    </row>
    <row r="33" spans="1:190" s="175" customFormat="1" ht="16.5" customHeight="1" x14ac:dyDescent="0.25">
      <c r="A33" s="78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  <c r="CF33" s="176"/>
      <c r="CG33" s="176"/>
      <c r="CH33" s="176"/>
      <c r="CI33" s="176"/>
      <c r="CJ33" s="176"/>
      <c r="CK33" s="176"/>
      <c r="CL33" s="176"/>
      <c r="CM33" s="176"/>
      <c r="CN33" s="176"/>
      <c r="CO33" s="176"/>
      <c r="CP33" s="176"/>
      <c r="CQ33" s="176"/>
      <c r="CR33" s="176"/>
      <c r="CS33" s="176"/>
      <c r="CT33" s="176"/>
      <c r="CU33" s="176"/>
      <c r="CV33" s="176"/>
      <c r="CW33" s="176"/>
      <c r="CX33" s="176"/>
      <c r="CY33" s="176"/>
      <c r="CZ33" s="176"/>
      <c r="DA33" s="176"/>
      <c r="DB33" s="176"/>
      <c r="DC33" s="176"/>
      <c r="DD33" s="176"/>
      <c r="DE33" s="176"/>
      <c r="DF33" s="176"/>
      <c r="DG33" s="176"/>
      <c r="DH33" s="176"/>
      <c r="DI33" s="176"/>
      <c r="DJ33" s="176"/>
      <c r="DK33" s="176"/>
      <c r="DL33" s="176"/>
      <c r="DM33" s="176"/>
      <c r="DN33" s="176"/>
      <c r="DO33" s="176"/>
      <c r="DP33" s="176"/>
      <c r="DQ33" s="176"/>
      <c r="DR33" s="176"/>
      <c r="DS33" s="176"/>
      <c r="DT33" s="176"/>
      <c r="DU33" s="176"/>
      <c r="DV33" s="176"/>
      <c r="DW33" s="176"/>
      <c r="DX33" s="176"/>
      <c r="DY33" s="176"/>
      <c r="DZ33" s="176"/>
      <c r="EA33" s="176"/>
      <c r="EB33" s="176"/>
      <c r="EC33" s="176"/>
      <c r="ED33" s="176"/>
      <c r="EE33" s="176"/>
      <c r="EF33" s="176"/>
      <c r="EG33" s="176"/>
      <c r="EH33" s="176"/>
      <c r="EI33" s="176"/>
      <c r="EJ33" s="176"/>
      <c r="EK33" s="176"/>
      <c r="EL33" s="176"/>
      <c r="EM33" s="176"/>
      <c r="EN33" s="176"/>
      <c r="EO33" s="176"/>
      <c r="EP33" s="176"/>
      <c r="EQ33" s="176"/>
      <c r="ER33" s="176"/>
      <c r="ES33" s="176"/>
      <c r="ET33" s="176"/>
      <c r="EU33" s="176"/>
      <c r="EV33" s="176"/>
      <c r="EW33" s="176"/>
      <c r="EX33" s="176"/>
      <c r="EY33" s="176"/>
      <c r="EZ33" s="176"/>
      <c r="FA33" s="176"/>
      <c r="FB33" s="176"/>
      <c r="FC33" s="176"/>
      <c r="FD33" s="176"/>
      <c r="FE33" s="176"/>
      <c r="FF33" s="176"/>
      <c r="FG33" s="176"/>
      <c r="FH33" s="176"/>
      <c r="FI33" s="176"/>
      <c r="FJ33" s="176"/>
      <c r="FK33" s="176"/>
      <c r="FL33" s="176"/>
      <c r="FM33" s="176"/>
      <c r="FN33" s="176"/>
      <c r="FO33" s="176"/>
      <c r="FP33" s="176"/>
      <c r="FQ33" s="176"/>
      <c r="FR33" s="176"/>
      <c r="FS33" s="176"/>
      <c r="FT33" s="176"/>
      <c r="FU33" s="176"/>
      <c r="FV33" s="176"/>
      <c r="FW33" s="176"/>
      <c r="FX33" s="176"/>
      <c r="FY33" s="176"/>
      <c r="FZ33" s="176"/>
      <c r="GA33" s="176"/>
      <c r="GB33" s="176"/>
      <c r="GC33" s="176"/>
      <c r="GD33" s="176"/>
      <c r="GE33" s="176"/>
      <c r="GF33" s="176"/>
      <c r="GG33" s="176"/>
    </row>
    <row r="34" spans="1:190" s="182" customFormat="1" ht="16.5" customHeight="1" x14ac:dyDescent="0.25">
      <c r="A34" s="249" t="s">
        <v>71</v>
      </c>
      <c r="B34" s="250">
        <f>+SUM(B35:B36)</f>
        <v>7471332</v>
      </c>
      <c r="C34" s="250">
        <f>+SUM(C35:C36)</f>
        <v>622611</v>
      </c>
      <c r="D34" s="250">
        <f t="shared" ref="D34:AH34" si="462">+SUM(D35:D36)</f>
        <v>622611</v>
      </c>
      <c r="E34" s="250">
        <f t="shared" si="462"/>
        <v>622611</v>
      </c>
      <c r="F34" s="250">
        <f t="shared" si="462"/>
        <v>622611</v>
      </c>
      <c r="G34" s="250">
        <f t="shared" si="462"/>
        <v>622611</v>
      </c>
      <c r="H34" s="250">
        <f t="shared" si="462"/>
        <v>622611</v>
      </c>
      <c r="I34" s="250">
        <f t="shared" si="462"/>
        <v>622611</v>
      </c>
      <c r="J34" s="250">
        <f t="shared" si="462"/>
        <v>622611</v>
      </c>
      <c r="K34" s="250">
        <f t="shared" si="462"/>
        <v>622611</v>
      </c>
      <c r="L34" s="250">
        <f t="shared" si="462"/>
        <v>622611</v>
      </c>
      <c r="M34" s="250">
        <f t="shared" si="462"/>
        <v>622611</v>
      </c>
      <c r="N34" s="250">
        <f t="shared" si="462"/>
        <v>622611</v>
      </c>
      <c r="O34" s="250">
        <f>+SUM(O35:O36)</f>
        <v>8004912</v>
      </c>
      <c r="P34" s="250">
        <f t="shared" si="462"/>
        <v>667076</v>
      </c>
      <c r="Q34" s="250">
        <f t="shared" si="462"/>
        <v>667076</v>
      </c>
      <c r="R34" s="250">
        <f t="shared" si="462"/>
        <v>667076</v>
      </c>
      <c r="S34" s="250">
        <f t="shared" si="462"/>
        <v>667076</v>
      </c>
      <c r="T34" s="250">
        <f t="shared" si="462"/>
        <v>667076</v>
      </c>
      <c r="U34" s="250">
        <f t="shared" si="462"/>
        <v>667076</v>
      </c>
      <c r="V34" s="250">
        <f t="shared" si="462"/>
        <v>667076</v>
      </c>
      <c r="W34" s="250">
        <f t="shared" si="462"/>
        <v>667076</v>
      </c>
      <c r="X34" s="250">
        <f t="shared" si="462"/>
        <v>667076</v>
      </c>
      <c r="Y34" s="250">
        <f t="shared" si="462"/>
        <v>667076</v>
      </c>
      <c r="Z34" s="250">
        <f t="shared" si="462"/>
        <v>667076</v>
      </c>
      <c r="AA34" s="250">
        <f t="shared" si="462"/>
        <v>667076</v>
      </c>
      <c r="AB34" s="250">
        <f>+SUM(AB35:AB36)</f>
        <v>8487768</v>
      </c>
      <c r="AC34" s="250">
        <f t="shared" si="462"/>
        <v>707314</v>
      </c>
      <c r="AD34" s="250">
        <f t="shared" si="462"/>
        <v>707314</v>
      </c>
      <c r="AE34" s="250">
        <f t="shared" si="462"/>
        <v>707314</v>
      </c>
      <c r="AF34" s="250">
        <f t="shared" si="462"/>
        <v>707314</v>
      </c>
      <c r="AG34" s="250">
        <f t="shared" si="462"/>
        <v>707314</v>
      </c>
      <c r="AH34" s="250">
        <f t="shared" si="462"/>
        <v>707314</v>
      </c>
      <c r="AI34" s="250">
        <f t="shared" ref="AI34:CY34" si="463">+SUM(AI35:AI36)</f>
        <v>707314</v>
      </c>
      <c r="AJ34" s="250">
        <f t="shared" si="463"/>
        <v>707314</v>
      </c>
      <c r="AK34" s="250">
        <f t="shared" si="463"/>
        <v>707314</v>
      </c>
      <c r="AL34" s="250">
        <f t="shared" si="463"/>
        <v>707314</v>
      </c>
      <c r="AM34" s="250">
        <f t="shared" si="463"/>
        <v>707314</v>
      </c>
      <c r="AN34" s="250">
        <f t="shared" si="463"/>
        <v>707314</v>
      </c>
      <c r="AO34" s="250">
        <f>+SUM(AO35:AO36)</f>
        <v>8999736</v>
      </c>
      <c r="AP34" s="250">
        <f t="shared" si="463"/>
        <v>749978</v>
      </c>
      <c r="AQ34" s="250">
        <f t="shared" si="463"/>
        <v>749978</v>
      </c>
      <c r="AR34" s="250">
        <f t="shared" si="463"/>
        <v>749978</v>
      </c>
      <c r="AS34" s="250">
        <f t="shared" si="463"/>
        <v>749978</v>
      </c>
      <c r="AT34" s="250">
        <f t="shared" si="463"/>
        <v>749978</v>
      </c>
      <c r="AU34" s="250">
        <f t="shared" si="463"/>
        <v>749978</v>
      </c>
      <c r="AV34" s="250">
        <f t="shared" si="463"/>
        <v>749978</v>
      </c>
      <c r="AW34" s="250">
        <f t="shared" si="463"/>
        <v>749978</v>
      </c>
      <c r="AX34" s="250">
        <f t="shared" si="463"/>
        <v>749978</v>
      </c>
      <c r="AY34" s="250">
        <f t="shared" si="463"/>
        <v>749978</v>
      </c>
      <c r="AZ34" s="250">
        <f t="shared" si="463"/>
        <v>749978</v>
      </c>
      <c r="BA34" s="250">
        <f t="shared" si="463"/>
        <v>749978</v>
      </c>
      <c r="BB34" s="250">
        <f>+SUM(BB35:BB36)</f>
        <v>9542544</v>
      </c>
      <c r="BC34" s="250">
        <f t="shared" si="463"/>
        <v>795212</v>
      </c>
      <c r="BD34" s="250">
        <f t="shared" si="463"/>
        <v>795212</v>
      </c>
      <c r="BE34" s="250">
        <f t="shared" si="463"/>
        <v>795212</v>
      </c>
      <c r="BF34" s="250">
        <f t="shared" si="463"/>
        <v>795212</v>
      </c>
      <c r="BG34" s="250">
        <f>+SUM(BG35:BG36)</f>
        <v>795212</v>
      </c>
      <c r="BH34" s="250">
        <f t="shared" si="463"/>
        <v>795212</v>
      </c>
      <c r="BI34" s="250">
        <f t="shared" si="463"/>
        <v>795212</v>
      </c>
      <c r="BJ34" s="250">
        <f t="shared" si="463"/>
        <v>795212</v>
      </c>
      <c r="BK34" s="250">
        <f t="shared" si="463"/>
        <v>795212</v>
      </c>
      <c r="BL34" s="250">
        <f t="shared" si="463"/>
        <v>795212</v>
      </c>
      <c r="BM34" s="250">
        <f t="shared" si="463"/>
        <v>795212</v>
      </c>
      <c r="BN34" s="250">
        <f t="shared" si="463"/>
        <v>795212</v>
      </c>
      <c r="BO34" s="250">
        <f>+SUM(BO35:BO36)</f>
        <v>10118064</v>
      </c>
      <c r="BP34" s="250">
        <f t="shared" si="463"/>
        <v>843172</v>
      </c>
      <c r="BQ34" s="250">
        <f t="shared" si="463"/>
        <v>843172</v>
      </c>
      <c r="BR34" s="250">
        <f t="shared" si="463"/>
        <v>843172</v>
      </c>
      <c r="BS34" s="250">
        <f t="shared" si="463"/>
        <v>843172</v>
      </c>
      <c r="BT34" s="250">
        <f t="shared" si="463"/>
        <v>843172</v>
      </c>
      <c r="BU34" s="250">
        <f t="shared" si="463"/>
        <v>843172</v>
      </c>
      <c r="BV34" s="250">
        <f t="shared" si="463"/>
        <v>843172</v>
      </c>
      <c r="BW34" s="250">
        <f t="shared" si="463"/>
        <v>843172</v>
      </c>
      <c r="BX34" s="250">
        <f t="shared" si="463"/>
        <v>843172</v>
      </c>
      <c r="BY34" s="250">
        <f t="shared" si="463"/>
        <v>843172</v>
      </c>
      <c r="BZ34" s="250">
        <f t="shared" si="463"/>
        <v>843172</v>
      </c>
      <c r="CA34" s="250">
        <f t="shared" si="463"/>
        <v>843172</v>
      </c>
      <c r="CB34" s="250">
        <f>+SUM(CB35:CB36)</f>
        <v>10728264</v>
      </c>
      <c r="CC34" s="250">
        <f t="shared" si="463"/>
        <v>894022</v>
      </c>
      <c r="CD34" s="250">
        <f t="shared" si="463"/>
        <v>894022</v>
      </c>
      <c r="CE34" s="250">
        <f t="shared" si="463"/>
        <v>894022</v>
      </c>
      <c r="CF34" s="250">
        <f t="shared" si="463"/>
        <v>894022</v>
      </c>
      <c r="CG34" s="250">
        <f t="shared" si="463"/>
        <v>894022</v>
      </c>
      <c r="CH34" s="250">
        <f t="shared" si="463"/>
        <v>894022</v>
      </c>
      <c r="CI34" s="250">
        <f t="shared" si="463"/>
        <v>894022</v>
      </c>
      <c r="CJ34" s="250">
        <f t="shared" si="463"/>
        <v>894022</v>
      </c>
      <c r="CK34" s="250">
        <f t="shared" si="463"/>
        <v>894022</v>
      </c>
      <c r="CL34" s="250">
        <f t="shared" si="463"/>
        <v>894022</v>
      </c>
      <c r="CM34" s="250">
        <f t="shared" si="463"/>
        <v>894022</v>
      </c>
      <c r="CN34" s="250">
        <f t="shared" si="463"/>
        <v>894022</v>
      </c>
      <c r="CO34" s="250">
        <f>+SUM(CO35:CO36)</f>
        <v>11375244</v>
      </c>
      <c r="CP34" s="250">
        <f t="shared" si="463"/>
        <v>947937</v>
      </c>
      <c r="CQ34" s="250">
        <f t="shared" si="463"/>
        <v>947937</v>
      </c>
      <c r="CR34" s="250">
        <f t="shared" si="463"/>
        <v>947937</v>
      </c>
      <c r="CS34" s="250">
        <f t="shared" si="463"/>
        <v>947937</v>
      </c>
      <c r="CT34" s="250">
        <f t="shared" si="463"/>
        <v>947937</v>
      </c>
      <c r="CU34" s="250">
        <f t="shared" si="463"/>
        <v>947937</v>
      </c>
      <c r="CV34" s="250">
        <f t="shared" si="463"/>
        <v>947937</v>
      </c>
      <c r="CW34" s="250">
        <f t="shared" si="463"/>
        <v>947937</v>
      </c>
      <c r="CX34" s="250">
        <f t="shared" si="463"/>
        <v>947937</v>
      </c>
      <c r="CY34" s="250">
        <f t="shared" si="463"/>
        <v>947937</v>
      </c>
      <c r="CZ34" s="250">
        <f t="shared" ref="CZ34:FQ34" si="464">+SUM(CZ35:CZ36)</f>
        <v>947937</v>
      </c>
      <c r="DA34" s="250">
        <f t="shared" si="464"/>
        <v>947937</v>
      </c>
      <c r="DB34" s="250">
        <f>+SUM(DB35:DB36)</f>
        <v>12061200</v>
      </c>
      <c r="DC34" s="250">
        <f t="shared" si="464"/>
        <v>1005100</v>
      </c>
      <c r="DD34" s="250">
        <f t="shared" si="464"/>
        <v>1005100</v>
      </c>
      <c r="DE34" s="250">
        <f t="shared" si="464"/>
        <v>1005100</v>
      </c>
      <c r="DF34" s="250">
        <f t="shared" si="464"/>
        <v>1005100</v>
      </c>
      <c r="DG34" s="250">
        <f t="shared" si="464"/>
        <v>1005100</v>
      </c>
      <c r="DH34" s="250">
        <f t="shared" si="464"/>
        <v>1005100</v>
      </c>
      <c r="DI34" s="250">
        <f t="shared" si="464"/>
        <v>1005100</v>
      </c>
      <c r="DJ34" s="250">
        <f t="shared" si="464"/>
        <v>1005100</v>
      </c>
      <c r="DK34" s="250">
        <f t="shared" si="464"/>
        <v>1005100</v>
      </c>
      <c r="DL34" s="250">
        <f t="shared" si="464"/>
        <v>1005100</v>
      </c>
      <c r="DM34" s="250">
        <f t="shared" si="464"/>
        <v>1005100</v>
      </c>
      <c r="DN34" s="250">
        <f t="shared" si="464"/>
        <v>1005100</v>
      </c>
      <c r="DO34" s="250">
        <f>+SUM(DO35:DO36)</f>
        <v>12788472</v>
      </c>
      <c r="DP34" s="250">
        <f t="shared" si="464"/>
        <v>1065706</v>
      </c>
      <c r="DQ34" s="250">
        <f t="shared" si="464"/>
        <v>1065706</v>
      </c>
      <c r="DR34" s="250">
        <f t="shared" si="464"/>
        <v>1065706</v>
      </c>
      <c r="DS34" s="250">
        <f t="shared" si="464"/>
        <v>1065706</v>
      </c>
      <c r="DT34" s="250">
        <f t="shared" si="464"/>
        <v>1065706</v>
      </c>
      <c r="DU34" s="250">
        <f t="shared" si="464"/>
        <v>1065706</v>
      </c>
      <c r="DV34" s="250">
        <f t="shared" si="464"/>
        <v>1065706</v>
      </c>
      <c r="DW34" s="250">
        <f t="shared" si="464"/>
        <v>1065706</v>
      </c>
      <c r="DX34" s="250">
        <f t="shared" si="464"/>
        <v>1065706</v>
      </c>
      <c r="DY34" s="250">
        <f t="shared" si="464"/>
        <v>1065706</v>
      </c>
      <c r="DZ34" s="250">
        <f t="shared" si="464"/>
        <v>1065706</v>
      </c>
      <c r="EA34" s="250">
        <f t="shared" si="464"/>
        <v>1065706</v>
      </c>
      <c r="EB34" s="250">
        <f>+SUM(EB35:EB36)</f>
        <v>13559568</v>
      </c>
      <c r="EC34" s="250">
        <f t="shared" si="464"/>
        <v>1129964</v>
      </c>
      <c r="ED34" s="250">
        <f t="shared" si="464"/>
        <v>1129964</v>
      </c>
      <c r="EE34" s="250">
        <f t="shared" si="464"/>
        <v>1129964</v>
      </c>
      <c r="EF34" s="250">
        <f t="shared" si="464"/>
        <v>1129964</v>
      </c>
      <c r="EG34" s="250">
        <f t="shared" si="464"/>
        <v>1129964</v>
      </c>
      <c r="EH34" s="250">
        <f t="shared" si="464"/>
        <v>1129964</v>
      </c>
      <c r="EI34" s="250">
        <f t="shared" si="464"/>
        <v>1129964</v>
      </c>
      <c r="EJ34" s="250">
        <f t="shared" si="464"/>
        <v>1129964</v>
      </c>
      <c r="EK34" s="250">
        <f t="shared" si="464"/>
        <v>1129964</v>
      </c>
      <c r="EL34" s="250">
        <f t="shared" si="464"/>
        <v>1129964</v>
      </c>
      <c r="EM34" s="250">
        <f t="shared" si="464"/>
        <v>1129964</v>
      </c>
      <c r="EN34" s="250">
        <f t="shared" si="464"/>
        <v>1129964</v>
      </c>
      <c r="EO34" s="250">
        <f>+SUM(EO35:EO36)</f>
        <v>14377116</v>
      </c>
      <c r="EP34" s="250">
        <f t="shared" si="464"/>
        <v>1198093</v>
      </c>
      <c r="EQ34" s="250">
        <f t="shared" si="464"/>
        <v>1198093</v>
      </c>
      <c r="ER34" s="250">
        <f t="shared" si="464"/>
        <v>1198093</v>
      </c>
      <c r="ES34" s="250">
        <f t="shared" si="464"/>
        <v>1198093</v>
      </c>
      <c r="ET34" s="250">
        <f t="shared" si="464"/>
        <v>1198093</v>
      </c>
      <c r="EU34" s="250">
        <f t="shared" si="464"/>
        <v>1198093</v>
      </c>
      <c r="EV34" s="250">
        <f t="shared" si="464"/>
        <v>1198093</v>
      </c>
      <c r="EW34" s="250">
        <f t="shared" si="464"/>
        <v>1198093</v>
      </c>
      <c r="EX34" s="250">
        <f t="shared" si="464"/>
        <v>1198093</v>
      </c>
      <c r="EY34" s="250">
        <f t="shared" si="464"/>
        <v>1198093</v>
      </c>
      <c r="EZ34" s="250">
        <f t="shared" si="464"/>
        <v>1198093</v>
      </c>
      <c r="FA34" s="250">
        <f t="shared" si="464"/>
        <v>1198093</v>
      </c>
      <c r="FB34" s="250">
        <f>+SUM(FB35:FB36)</f>
        <v>15243912</v>
      </c>
      <c r="FC34" s="250">
        <f t="shared" si="464"/>
        <v>1270326</v>
      </c>
      <c r="FD34" s="250">
        <f t="shared" si="464"/>
        <v>1270326</v>
      </c>
      <c r="FE34" s="250">
        <f t="shared" si="464"/>
        <v>1270326</v>
      </c>
      <c r="FF34" s="250">
        <f t="shared" si="464"/>
        <v>1270326</v>
      </c>
      <c r="FG34" s="250">
        <f t="shared" si="464"/>
        <v>1270326</v>
      </c>
      <c r="FH34" s="250">
        <f t="shared" si="464"/>
        <v>1270326</v>
      </c>
      <c r="FI34" s="250">
        <f t="shared" si="464"/>
        <v>1270326</v>
      </c>
      <c r="FJ34" s="250">
        <f t="shared" si="464"/>
        <v>1270326</v>
      </c>
      <c r="FK34" s="250">
        <f t="shared" si="464"/>
        <v>1270326</v>
      </c>
      <c r="FL34" s="250">
        <f t="shared" si="464"/>
        <v>1270326</v>
      </c>
      <c r="FM34" s="250">
        <f t="shared" si="464"/>
        <v>1270326</v>
      </c>
      <c r="FN34" s="250">
        <f t="shared" si="464"/>
        <v>1270326</v>
      </c>
      <c r="FO34" s="250">
        <f>+SUM(FO35:FO36)</f>
        <v>16162932</v>
      </c>
      <c r="FP34" s="250">
        <f t="shared" si="464"/>
        <v>1346911</v>
      </c>
      <c r="FQ34" s="250">
        <f t="shared" si="464"/>
        <v>1346911</v>
      </c>
      <c r="FR34" s="250">
        <f t="shared" ref="FR34:GG34" si="465">+SUM(FR35:FR36)</f>
        <v>1346911</v>
      </c>
      <c r="FS34" s="250">
        <f t="shared" si="465"/>
        <v>1346911</v>
      </c>
      <c r="FT34" s="250">
        <f t="shared" si="465"/>
        <v>1346911</v>
      </c>
      <c r="FU34" s="250">
        <f t="shared" si="465"/>
        <v>1346911</v>
      </c>
      <c r="FV34" s="250">
        <f t="shared" si="465"/>
        <v>1346911</v>
      </c>
      <c r="FW34" s="250">
        <f t="shared" si="465"/>
        <v>1346911</v>
      </c>
      <c r="FX34" s="250">
        <f t="shared" si="465"/>
        <v>1346911</v>
      </c>
      <c r="FY34" s="250">
        <f t="shared" si="465"/>
        <v>1346911</v>
      </c>
      <c r="FZ34" s="250">
        <f t="shared" si="465"/>
        <v>1346911</v>
      </c>
      <c r="GA34" s="250">
        <f t="shared" si="465"/>
        <v>1346911</v>
      </c>
      <c r="GB34" s="250">
        <f>+SUM(GB35:GB36)</f>
        <v>7140545</v>
      </c>
      <c r="GC34" s="250">
        <f t="shared" si="465"/>
        <v>1428109</v>
      </c>
      <c r="GD34" s="250">
        <f t="shared" si="465"/>
        <v>1428109</v>
      </c>
      <c r="GE34" s="250">
        <f t="shared" si="465"/>
        <v>1428109</v>
      </c>
      <c r="GF34" s="250">
        <f t="shared" si="465"/>
        <v>1428109</v>
      </c>
      <c r="GG34" s="250">
        <f t="shared" si="465"/>
        <v>1428109</v>
      </c>
    </row>
    <row r="35" spans="1:190" s="175" customFormat="1" ht="16.5" customHeight="1" x14ac:dyDescent="0.25">
      <c r="A35" s="80" t="s">
        <v>130</v>
      </c>
      <c r="B35" s="173">
        <f>+SUM(C35:N35)</f>
        <v>7140000</v>
      </c>
      <c r="C35" s="174">
        <f>+ROUND(('DATOS ENTRADA'!$B$36)*(1+'DATOS ENTRADA'!$B$38),0)</f>
        <v>595000</v>
      </c>
      <c r="D35" s="174">
        <f>+ROUND(('DATOS ENTRADA'!$B$36)*(1+'DATOS ENTRADA'!$B$38),0)</f>
        <v>595000</v>
      </c>
      <c r="E35" s="174">
        <f>+ROUND(('DATOS ENTRADA'!$B$36)*(1+'DATOS ENTRADA'!$B$38),0)</f>
        <v>595000</v>
      </c>
      <c r="F35" s="174">
        <f>+ROUND(('DATOS ENTRADA'!$B$36)*(1+'DATOS ENTRADA'!$B$38),0)</f>
        <v>595000</v>
      </c>
      <c r="G35" s="174">
        <f>+ROUND(('DATOS ENTRADA'!$B$36)*(1+'DATOS ENTRADA'!$B$38),0)</f>
        <v>595000</v>
      </c>
      <c r="H35" s="174">
        <f>+ROUND(('DATOS ENTRADA'!$B$36)*(1+'DATOS ENTRADA'!$B$38),0)</f>
        <v>595000</v>
      </c>
      <c r="I35" s="174">
        <f>+ROUND(('DATOS ENTRADA'!$B$36)*(1+'DATOS ENTRADA'!$B$38),0)</f>
        <v>595000</v>
      </c>
      <c r="J35" s="174">
        <f>+ROUND(('DATOS ENTRADA'!$B$36)*(1+'DATOS ENTRADA'!$B$38),0)</f>
        <v>595000</v>
      </c>
      <c r="K35" s="174">
        <f>+ROUND(('DATOS ENTRADA'!$B$36)*(1+'DATOS ENTRADA'!$B$38),0)</f>
        <v>595000</v>
      </c>
      <c r="L35" s="174">
        <f>+ROUND(('DATOS ENTRADA'!$B$36)*(1+'DATOS ENTRADA'!$B$38),0)</f>
        <v>595000</v>
      </c>
      <c r="M35" s="174">
        <f>+ROUND(('DATOS ENTRADA'!$B$36)*(1+'DATOS ENTRADA'!$B$38),0)</f>
        <v>595000</v>
      </c>
      <c r="N35" s="174">
        <f>+ROUND(('DATOS ENTRADA'!$B$36)*(1+'DATOS ENTRADA'!$B$38),0)</f>
        <v>595000</v>
      </c>
      <c r="O35" s="173">
        <f>+SUM(P35:AA35)</f>
        <v>7568400</v>
      </c>
      <c r="P35" s="174">
        <f>+ROUND((N35*(1+P3)),0)</f>
        <v>630700</v>
      </c>
      <c r="Q35" s="174">
        <f>+P35</f>
        <v>630700</v>
      </c>
      <c r="R35" s="174">
        <f t="shared" ref="R35:AA35" si="466">+Q35</f>
        <v>630700</v>
      </c>
      <c r="S35" s="174">
        <f t="shared" si="466"/>
        <v>630700</v>
      </c>
      <c r="T35" s="174">
        <f t="shared" si="466"/>
        <v>630700</v>
      </c>
      <c r="U35" s="174">
        <f t="shared" si="466"/>
        <v>630700</v>
      </c>
      <c r="V35" s="174">
        <f t="shared" si="466"/>
        <v>630700</v>
      </c>
      <c r="W35" s="174">
        <f>+V35</f>
        <v>630700</v>
      </c>
      <c r="X35" s="174">
        <f t="shared" si="466"/>
        <v>630700</v>
      </c>
      <c r="Y35" s="174">
        <f t="shared" si="466"/>
        <v>630700</v>
      </c>
      <c r="Z35" s="174">
        <f t="shared" si="466"/>
        <v>630700</v>
      </c>
      <c r="AA35" s="174">
        <f t="shared" si="466"/>
        <v>630700</v>
      </c>
      <c r="AB35" s="173">
        <f>+SUM(AC35:AN35)</f>
        <v>8022504</v>
      </c>
      <c r="AC35" s="174">
        <f>+ROUND((AA35*(1+AC3)),0)</f>
        <v>668542</v>
      </c>
      <c r="AD35" s="174">
        <f>+AC35</f>
        <v>668542</v>
      </c>
      <c r="AE35" s="174">
        <f t="shared" ref="AE35:AN35" si="467">+AD35</f>
        <v>668542</v>
      </c>
      <c r="AF35" s="174">
        <f t="shared" si="467"/>
        <v>668542</v>
      </c>
      <c r="AG35" s="174">
        <f t="shared" si="467"/>
        <v>668542</v>
      </c>
      <c r="AH35" s="174">
        <f t="shared" si="467"/>
        <v>668542</v>
      </c>
      <c r="AI35" s="174">
        <f t="shared" si="467"/>
        <v>668542</v>
      </c>
      <c r="AJ35" s="174">
        <f>+AI35</f>
        <v>668542</v>
      </c>
      <c r="AK35" s="174">
        <f t="shared" si="467"/>
        <v>668542</v>
      </c>
      <c r="AL35" s="174">
        <f t="shared" si="467"/>
        <v>668542</v>
      </c>
      <c r="AM35" s="174">
        <f t="shared" si="467"/>
        <v>668542</v>
      </c>
      <c r="AN35" s="174">
        <f t="shared" si="467"/>
        <v>668542</v>
      </c>
      <c r="AO35" s="173">
        <f>+SUM(AP35:BA35)</f>
        <v>8503860</v>
      </c>
      <c r="AP35" s="174">
        <f>+ROUND((AN35*(1+AP3)),0)</f>
        <v>708655</v>
      </c>
      <c r="AQ35" s="174">
        <f>+AP35</f>
        <v>708655</v>
      </c>
      <c r="AR35" s="174">
        <f t="shared" ref="AR35:BA35" si="468">+AQ35</f>
        <v>708655</v>
      </c>
      <c r="AS35" s="174">
        <f t="shared" si="468"/>
        <v>708655</v>
      </c>
      <c r="AT35" s="174">
        <f t="shared" si="468"/>
        <v>708655</v>
      </c>
      <c r="AU35" s="174">
        <f t="shared" si="468"/>
        <v>708655</v>
      </c>
      <c r="AV35" s="174">
        <f t="shared" si="468"/>
        <v>708655</v>
      </c>
      <c r="AW35" s="174">
        <f>+AV35</f>
        <v>708655</v>
      </c>
      <c r="AX35" s="174">
        <f t="shared" si="468"/>
        <v>708655</v>
      </c>
      <c r="AY35" s="174">
        <f t="shared" si="468"/>
        <v>708655</v>
      </c>
      <c r="AZ35" s="174">
        <f t="shared" si="468"/>
        <v>708655</v>
      </c>
      <c r="BA35" s="174">
        <f t="shared" si="468"/>
        <v>708655</v>
      </c>
      <c r="BB35" s="173">
        <f>+SUM(BC35:BN35)</f>
        <v>9014088</v>
      </c>
      <c r="BC35" s="174">
        <f>+ROUND((BA35*(1+BC3)),0)</f>
        <v>751174</v>
      </c>
      <c r="BD35" s="174">
        <f>+BC35</f>
        <v>751174</v>
      </c>
      <c r="BE35" s="174">
        <f t="shared" ref="BE35:BN35" si="469">+BD35</f>
        <v>751174</v>
      </c>
      <c r="BF35" s="174">
        <f t="shared" si="469"/>
        <v>751174</v>
      </c>
      <c r="BG35" s="174">
        <f t="shared" si="469"/>
        <v>751174</v>
      </c>
      <c r="BH35" s="174">
        <f t="shared" si="469"/>
        <v>751174</v>
      </c>
      <c r="BI35" s="174">
        <f t="shared" si="469"/>
        <v>751174</v>
      </c>
      <c r="BJ35" s="174">
        <f>+BI35</f>
        <v>751174</v>
      </c>
      <c r="BK35" s="174">
        <f t="shared" si="469"/>
        <v>751174</v>
      </c>
      <c r="BL35" s="174">
        <f t="shared" si="469"/>
        <v>751174</v>
      </c>
      <c r="BM35" s="174">
        <f t="shared" si="469"/>
        <v>751174</v>
      </c>
      <c r="BN35" s="174">
        <f t="shared" si="469"/>
        <v>751174</v>
      </c>
      <c r="BO35" s="173">
        <f>+SUM(BP35:CA35)</f>
        <v>9554928</v>
      </c>
      <c r="BP35" s="174">
        <f>+ROUND((BN35*(1+BP3)),0)</f>
        <v>796244</v>
      </c>
      <c r="BQ35" s="174">
        <f>+BP35</f>
        <v>796244</v>
      </c>
      <c r="BR35" s="174">
        <f t="shared" ref="BR35:CA35" si="470">+BQ35</f>
        <v>796244</v>
      </c>
      <c r="BS35" s="174">
        <f t="shared" si="470"/>
        <v>796244</v>
      </c>
      <c r="BT35" s="174">
        <f t="shared" si="470"/>
        <v>796244</v>
      </c>
      <c r="BU35" s="174">
        <f t="shared" si="470"/>
        <v>796244</v>
      </c>
      <c r="BV35" s="174">
        <f t="shared" si="470"/>
        <v>796244</v>
      </c>
      <c r="BW35" s="174">
        <f>+BV35</f>
        <v>796244</v>
      </c>
      <c r="BX35" s="174">
        <f t="shared" si="470"/>
        <v>796244</v>
      </c>
      <c r="BY35" s="174">
        <f t="shared" si="470"/>
        <v>796244</v>
      </c>
      <c r="BZ35" s="174">
        <f t="shared" si="470"/>
        <v>796244</v>
      </c>
      <c r="CA35" s="174">
        <f t="shared" si="470"/>
        <v>796244</v>
      </c>
      <c r="CB35" s="173">
        <f>+SUM(CC35:CN35)</f>
        <v>10128228</v>
      </c>
      <c r="CC35" s="174">
        <f>+ROUND((CA35*(1+CC3)),0)</f>
        <v>844019</v>
      </c>
      <c r="CD35" s="174">
        <f>+CC35</f>
        <v>844019</v>
      </c>
      <c r="CE35" s="174">
        <f t="shared" ref="CE35:CN35" si="471">+CD35</f>
        <v>844019</v>
      </c>
      <c r="CF35" s="174">
        <f t="shared" si="471"/>
        <v>844019</v>
      </c>
      <c r="CG35" s="174">
        <f t="shared" si="471"/>
        <v>844019</v>
      </c>
      <c r="CH35" s="174">
        <f t="shared" si="471"/>
        <v>844019</v>
      </c>
      <c r="CI35" s="174">
        <f t="shared" si="471"/>
        <v>844019</v>
      </c>
      <c r="CJ35" s="174">
        <f>+CI35</f>
        <v>844019</v>
      </c>
      <c r="CK35" s="174">
        <f t="shared" si="471"/>
        <v>844019</v>
      </c>
      <c r="CL35" s="174">
        <f t="shared" si="471"/>
        <v>844019</v>
      </c>
      <c r="CM35" s="174">
        <f t="shared" si="471"/>
        <v>844019</v>
      </c>
      <c r="CN35" s="174">
        <f t="shared" si="471"/>
        <v>844019</v>
      </c>
      <c r="CO35" s="173">
        <f>+SUM(CP35:DA35)</f>
        <v>10735920</v>
      </c>
      <c r="CP35" s="174">
        <f>+ROUND((CN35*(1+CP3)),0)</f>
        <v>894660</v>
      </c>
      <c r="CQ35" s="174">
        <f>+CP35</f>
        <v>894660</v>
      </c>
      <c r="CR35" s="174">
        <f t="shared" ref="CR35:DA35" si="472">+CQ35</f>
        <v>894660</v>
      </c>
      <c r="CS35" s="174">
        <f t="shared" si="472"/>
        <v>894660</v>
      </c>
      <c r="CT35" s="174">
        <f t="shared" si="472"/>
        <v>894660</v>
      </c>
      <c r="CU35" s="174">
        <f t="shared" si="472"/>
        <v>894660</v>
      </c>
      <c r="CV35" s="174">
        <f t="shared" si="472"/>
        <v>894660</v>
      </c>
      <c r="CW35" s="174">
        <f>+CV35</f>
        <v>894660</v>
      </c>
      <c r="CX35" s="174">
        <f t="shared" si="472"/>
        <v>894660</v>
      </c>
      <c r="CY35" s="174">
        <f t="shared" si="472"/>
        <v>894660</v>
      </c>
      <c r="CZ35" s="174">
        <f t="shared" si="472"/>
        <v>894660</v>
      </c>
      <c r="DA35" s="174">
        <f t="shared" si="472"/>
        <v>894660</v>
      </c>
      <c r="DB35" s="173">
        <f>+SUM(DC35:DN35)</f>
        <v>11380080</v>
      </c>
      <c r="DC35" s="174">
        <f>+ROUND((DA35*(1+DC3)),0)</f>
        <v>948340</v>
      </c>
      <c r="DD35" s="174">
        <f>+DC35</f>
        <v>948340</v>
      </c>
      <c r="DE35" s="174">
        <f t="shared" ref="DE35:DN35" si="473">+DD35</f>
        <v>948340</v>
      </c>
      <c r="DF35" s="174">
        <f t="shared" si="473"/>
        <v>948340</v>
      </c>
      <c r="DG35" s="174">
        <f t="shared" si="473"/>
        <v>948340</v>
      </c>
      <c r="DH35" s="174">
        <f t="shared" si="473"/>
        <v>948340</v>
      </c>
      <c r="DI35" s="174">
        <f t="shared" si="473"/>
        <v>948340</v>
      </c>
      <c r="DJ35" s="174">
        <f>+DI35</f>
        <v>948340</v>
      </c>
      <c r="DK35" s="174">
        <f t="shared" si="473"/>
        <v>948340</v>
      </c>
      <c r="DL35" s="174">
        <f t="shared" si="473"/>
        <v>948340</v>
      </c>
      <c r="DM35" s="174">
        <f t="shared" si="473"/>
        <v>948340</v>
      </c>
      <c r="DN35" s="174">
        <f t="shared" si="473"/>
        <v>948340</v>
      </c>
      <c r="DO35" s="173">
        <f>+SUM(DP35:EA35)</f>
        <v>12062880</v>
      </c>
      <c r="DP35" s="174">
        <f>+ROUND((DN35*(1+DP3)),0)</f>
        <v>1005240</v>
      </c>
      <c r="DQ35" s="174">
        <f>+DP35</f>
        <v>1005240</v>
      </c>
      <c r="DR35" s="174">
        <f t="shared" ref="DR35:EA35" si="474">+DQ35</f>
        <v>1005240</v>
      </c>
      <c r="DS35" s="174">
        <f t="shared" si="474"/>
        <v>1005240</v>
      </c>
      <c r="DT35" s="174">
        <f t="shared" si="474"/>
        <v>1005240</v>
      </c>
      <c r="DU35" s="174">
        <f t="shared" si="474"/>
        <v>1005240</v>
      </c>
      <c r="DV35" s="174">
        <f t="shared" si="474"/>
        <v>1005240</v>
      </c>
      <c r="DW35" s="174">
        <f>+DV35</f>
        <v>1005240</v>
      </c>
      <c r="DX35" s="174">
        <f t="shared" si="474"/>
        <v>1005240</v>
      </c>
      <c r="DY35" s="174">
        <f t="shared" si="474"/>
        <v>1005240</v>
      </c>
      <c r="DZ35" s="174">
        <f t="shared" si="474"/>
        <v>1005240</v>
      </c>
      <c r="EA35" s="174">
        <f t="shared" si="474"/>
        <v>1005240</v>
      </c>
      <c r="EB35" s="173">
        <f>+SUM(EC35:EN35)</f>
        <v>12786648</v>
      </c>
      <c r="EC35" s="174">
        <f>+ROUND((EA35*(1+EC3)),0)</f>
        <v>1065554</v>
      </c>
      <c r="ED35" s="174">
        <f>+EC35</f>
        <v>1065554</v>
      </c>
      <c r="EE35" s="174">
        <f t="shared" ref="EE35:EN35" si="475">+ED35</f>
        <v>1065554</v>
      </c>
      <c r="EF35" s="174">
        <f t="shared" si="475"/>
        <v>1065554</v>
      </c>
      <c r="EG35" s="174">
        <f t="shared" si="475"/>
        <v>1065554</v>
      </c>
      <c r="EH35" s="174">
        <f t="shared" si="475"/>
        <v>1065554</v>
      </c>
      <c r="EI35" s="174">
        <f t="shared" si="475"/>
        <v>1065554</v>
      </c>
      <c r="EJ35" s="174">
        <f>+EI35</f>
        <v>1065554</v>
      </c>
      <c r="EK35" s="174">
        <f t="shared" si="475"/>
        <v>1065554</v>
      </c>
      <c r="EL35" s="174">
        <f t="shared" si="475"/>
        <v>1065554</v>
      </c>
      <c r="EM35" s="174">
        <f t="shared" si="475"/>
        <v>1065554</v>
      </c>
      <c r="EN35" s="174">
        <f t="shared" si="475"/>
        <v>1065554</v>
      </c>
      <c r="EO35" s="173">
        <f>+SUM(EP35:FA35)</f>
        <v>13553844</v>
      </c>
      <c r="EP35" s="174">
        <f>+ROUND((EN35*(1+EP3)),0)</f>
        <v>1129487</v>
      </c>
      <c r="EQ35" s="174">
        <f>+EP35</f>
        <v>1129487</v>
      </c>
      <c r="ER35" s="174">
        <f t="shared" ref="ER35:FA35" si="476">+EQ35</f>
        <v>1129487</v>
      </c>
      <c r="ES35" s="174">
        <f t="shared" si="476"/>
        <v>1129487</v>
      </c>
      <c r="ET35" s="174">
        <f t="shared" si="476"/>
        <v>1129487</v>
      </c>
      <c r="EU35" s="174">
        <f t="shared" si="476"/>
        <v>1129487</v>
      </c>
      <c r="EV35" s="174">
        <f t="shared" si="476"/>
        <v>1129487</v>
      </c>
      <c r="EW35" s="174">
        <f>+EV35</f>
        <v>1129487</v>
      </c>
      <c r="EX35" s="174">
        <f t="shared" si="476"/>
        <v>1129487</v>
      </c>
      <c r="EY35" s="174">
        <f t="shared" si="476"/>
        <v>1129487</v>
      </c>
      <c r="EZ35" s="174">
        <f t="shared" si="476"/>
        <v>1129487</v>
      </c>
      <c r="FA35" s="174">
        <f t="shared" si="476"/>
        <v>1129487</v>
      </c>
      <c r="FB35" s="173">
        <f>+SUM(FC35:FN35)</f>
        <v>14367072</v>
      </c>
      <c r="FC35" s="174">
        <f>+ROUND((FA35*(1+FC3)),0)</f>
        <v>1197256</v>
      </c>
      <c r="FD35" s="174">
        <f>+FC35</f>
        <v>1197256</v>
      </c>
      <c r="FE35" s="174">
        <f t="shared" ref="FE35:FN35" si="477">+FD35</f>
        <v>1197256</v>
      </c>
      <c r="FF35" s="174">
        <f t="shared" si="477"/>
        <v>1197256</v>
      </c>
      <c r="FG35" s="174">
        <f t="shared" si="477"/>
        <v>1197256</v>
      </c>
      <c r="FH35" s="174">
        <f t="shared" si="477"/>
        <v>1197256</v>
      </c>
      <c r="FI35" s="174">
        <f t="shared" si="477"/>
        <v>1197256</v>
      </c>
      <c r="FJ35" s="174">
        <f>+FI35</f>
        <v>1197256</v>
      </c>
      <c r="FK35" s="174">
        <f t="shared" si="477"/>
        <v>1197256</v>
      </c>
      <c r="FL35" s="174">
        <f t="shared" si="477"/>
        <v>1197256</v>
      </c>
      <c r="FM35" s="174">
        <f t="shared" si="477"/>
        <v>1197256</v>
      </c>
      <c r="FN35" s="174">
        <f t="shared" si="477"/>
        <v>1197256</v>
      </c>
      <c r="FO35" s="173">
        <f>+SUM(FP35:GA35)</f>
        <v>15229092</v>
      </c>
      <c r="FP35" s="174">
        <f>+ROUND((FN35*(1+FP3)),0)</f>
        <v>1269091</v>
      </c>
      <c r="FQ35" s="174">
        <f>+FP35</f>
        <v>1269091</v>
      </c>
      <c r="FR35" s="174">
        <f t="shared" ref="FR35:GA35" si="478">+FQ35</f>
        <v>1269091</v>
      </c>
      <c r="FS35" s="174">
        <f t="shared" si="478"/>
        <v>1269091</v>
      </c>
      <c r="FT35" s="174">
        <f t="shared" si="478"/>
        <v>1269091</v>
      </c>
      <c r="FU35" s="174">
        <f t="shared" si="478"/>
        <v>1269091</v>
      </c>
      <c r="FV35" s="174">
        <f t="shared" si="478"/>
        <v>1269091</v>
      </c>
      <c r="FW35" s="174">
        <f>+FV35</f>
        <v>1269091</v>
      </c>
      <c r="FX35" s="174">
        <f t="shared" si="478"/>
        <v>1269091</v>
      </c>
      <c r="FY35" s="174">
        <f t="shared" si="478"/>
        <v>1269091</v>
      </c>
      <c r="FZ35" s="174">
        <f t="shared" si="478"/>
        <v>1269091</v>
      </c>
      <c r="GA35" s="174">
        <f t="shared" si="478"/>
        <v>1269091</v>
      </c>
      <c r="GB35" s="173">
        <f>+SUM(GC35:GG35)</f>
        <v>6726180</v>
      </c>
      <c r="GC35" s="174">
        <f>+ROUND((GA35*(1+GC3)),0)</f>
        <v>1345236</v>
      </c>
      <c r="GD35" s="174">
        <f>+GC35</f>
        <v>1345236</v>
      </c>
      <c r="GE35" s="174">
        <f t="shared" ref="GE35:GG35" si="479">+GD35</f>
        <v>1345236</v>
      </c>
      <c r="GF35" s="174">
        <f t="shared" si="479"/>
        <v>1345236</v>
      </c>
      <c r="GG35" s="174">
        <f t="shared" si="479"/>
        <v>1345236</v>
      </c>
    </row>
    <row r="36" spans="1:190" s="175" customFormat="1" ht="16.5" customHeight="1" x14ac:dyDescent="0.25">
      <c r="A36" s="80" t="s">
        <v>64</v>
      </c>
      <c r="B36" s="173">
        <f>+SUM(C36:N36)</f>
        <v>331332</v>
      </c>
      <c r="C36" s="176">
        <f>+ROUND(((C15-C22)*'DATOS ENTRADA'!$B$45),0)</f>
        <v>27611</v>
      </c>
      <c r="D36" s="176">
        <f>+ROUND(((D15-D22)*'DATOS ENTRADA'!$B$45),0)</f>
        <v>27611</v>
      </c>
      <c r="E36" s="176">
        <f>+ROUND(((E15-E22)*'DATOS ENTRADA'!$B$45),0)</f>
        <v>27611</v>
      </c>
      <c r="F36" s="176">
        <f>+ROUND(((F15-F22)*'DATOS ENTRADA'!$B$45),0)</f>
        <v>27611</v>
      </c>
      <c r="G36" s="176">
        <f>+ROUND(((G15-G22)*'DATOS ENTRADA'!$B$45),0)</f>
        <v>27611</v>
      </c>
      <c r="H36" s="176">
        <f>+ROUND(((H15-H22)*'DATOS ENTRADA'!$B$45),0)</f>
        <v>27611</v>
      </c>
      <c r="I36" s="176">
        <f>+ROUND(((I15-I22)*'DATOS ENTRADA'!$B$45),0)</f>
        <v>27611</v>
      </c>
      <c r="J36" s="176">
        <f>+ROUND(((J15-J22)*'DATOS ENTRADA'!$B$45),0)</f>
        <v>27611</v>
      </c>
      <c r="K36" s="176">
        <f>+ROUND(((K15-K22)*'DATOS ENTRADA'!$B$45),0)</f>
        <v>27611</v>
      </c>
      <c r="L36" s="176">
        <f>+ROUND(((L15-L22)*'DATOS ENTRADA'!$B$45),0)</f>
        <v>27611</v>
      </c>
      <c r="M36" s="176">
        <f>+ROUND(((M15-M22)*'DATOS ENTRADA'!$B$45),0)</f>
        <v>27611</v>
      </c>
      <c r="N36" s="176">
        <f>+ROUND(((N15-N22)*'DATOS ENTRADA'!$B$45),0)</f>
        <v>27611</v>
      </c>
      <c r="O36" s="173">
        <f>+SUM(P36:AA36)</f>
        <v>436512</v>
      </c>
      <c r="P36" s="176">
        <f>+ROUND(((P15-P22)*'DATOS ENTRADA'!$B$45),0)</f>
        <v>36376</v>
      </c>
      <c r="Q36" s="176">
        <f>+ROUND(((Q15-Q22)*'DATOS ENTRADA'!$B$45),0)</f>
        <v>36376</v>
      </c>
      <c r="R36" s="176">
        <f>+ROUND(((R15-R22)*'DATOS ENTRADA'!$B$45),0)</f>
        <v>36376</v>
      </c>
      <c r="S36" s="176">
        <f>+ROUND(((S15-S22)*'DATOS ENTRADA'!$B$45),0)</f>
        <v>36376</v>
      </c>
      <c r="T36" s="176">
        <f>+ROUND(((T15-T22)*'DATOS ENTRADA'!$B$45),0)</f>
        <v>36376</v>
      </c>
      <c r="U36" s="176">
        <f>+ROUND(((U15-U22)*'DATOS ENTRADA'!$B$45),0)</f>
        <v>36376</v>
      </c>
      <c r="V36" s="176">
        <f>+ROUND(((V15-V22)*'DATOS ENTRADA'!$B$45),0)</f>
        <v>36376</v>
      </c>
      <c r="W36" s="176">
        <f>+ROUND(((W15-W22)*'DATOS ENTRADA'!$B$45),0)</f>
        <v>36376</v>
      </c>
      <c r="X36" s="176">
        <f>+ROUND(((X15-X22)*'DATOS ENTRADA'!$B$45),0)</f>
        <v>36376</v>
      </c>
      <c r="Y36" s="176">
        <f>+ROUND(((Y15-Y22)*'DATOS ENTRADA'!$B$45),0)</f>
        <v>36376</v>
      </c>
      <c r="Z36" s="176">
        <f>+ROUND(((Z15-Z22)*'DATOS ENTRADA'!$B$45),0)</f>
        <v>36376</v>
      </c>
      <c r="AA36" s="176">
        <f>+ROUND(((AA15-AA22)*'DATOS ENTRADA'!$B$45),0)</f>
        <v>36376</v>
      </c>
      <c r="AB36" s="173">
        <f>+SUM(AC36:AN36)</f>
        <v>465264</v>
      </c>
      <c r="AC36" s="176">
        <f>+ROUND(((AC15-AC22)*'DATOS ENTRADA'!$B$45),0)</f>
        <v>38772</v>
      </c>
      <c r="AD36" s="176">
        <f>+ROUND(((AD15-AD22)*'DATOS ENTRADA'!$B$45),0)</f>
        <v>38772</v>
      </c>
      <c r="AE36" s="176">
        <f>+ROUND(((AE15-AE22)*'DATOS ENTRADA'!$B$45),0)</f>
        <v>38772</v>
      </c>
      <c r="AF36" s="176">
        <f>+ROUND(((AF15-AF22)*'DATOS ENTRADA'!$B$45),0)</f>
        <v>38772</v>
      </c>
      <c r="AG36" s="176">
        <f>+ROUND(((AG15-AG22)*'DATOS ENTRADA'!$B$45),0)</f>
        <v>38772</v>
      </c>
      <c r="AH36" s="176">
        <f>+ROUND(((AH15-AH22)*'DATOS ENTRADA'!$B$45),0)</f>
        <v>38772</v>
      </c>
      <c r="AI36" s="176">
        <f>+ROUND(((AI15-AI22)*'DATOS ENTRADA'!$B$45),0)</f>
        <v>38772</v>
      </c>
      <c r="AJ36" s="176">
        <f>+ROUND(((AJ15-AJ22)*'DATOS ENTRADA'!$B$45),0)</f>
        <v>38772</v>
      </c>
      <c r="AK36" s="176">
        <f>+ROUND(((AK15-AK22)*'DATOS ENTRADA'!$B$45),0)</f>
        <v>38772</v>
      </c>
      <c r="AL36" s="176">
        <f>+ROUND(((AL15-AL22)*'DATOS ENTRADA'!$B$45),0)</f>
        <v>38772</v>
      </c>
      <c r="AM36" s="176">
        <f>+ROUND(((AM15-AM22)*'DATOS ENTRADA'!$B$45),0)</f>
        <v>38772</v>
      </c>
      <c r="AN36" s="176">
        <f>+ROUND(((AN15-AN22)*'DATOS ENTRADA'!$B$45),0)</f>
        <v>38772</v>
      </c>
      <c r="AO36" s="173">
        <f>+SUM(AP36:BA36)</f>
        <v>495876</v>
      </c>
      <c r="AP36" s="176">
        <f>+ROUND(((AP15-AP22)*'DATOS ENTRADA'!$B$45),0)</f>
        <v>41323</v>
      </c>
      <c r="AQ36" s="176">
        <f>+ROUND(((AQ15-AQ22)*'DATOS ENTRADA'!$B$45),0)</f>
        <v>41323</v>
      </c>
      <c r="AR36" s="176">
        <f>+ROUND(((AR15-AR22)*'DATOS ENTRADA'!$B$45),0)</f>
        <v>41323</v>
      </c>
      <c r="AS36" s="176">
        <f>+ROUND(((AS15-AS22)*'DATOS ENTRADA'!$B$45),0)</f>
        <v>41323</v>
      </c>
      <c r="AT36" s="176">
        <f>+ROUND(((AT15-AT22)*'DATOS ENTRADA'!$B$45),0)</f>
        <v>41323</v>
      </c>
      <c r="AU36" s="176">
        <f>+ROUND(((AU15-AU22)*'DATOS ENTRADA'!$B$45),0)</f>
        <v>41323</v>
      </c>
      <c r="AV36" s="176">
        <f>+ROUND(((AV15-AV22)*'DATOS ENTRADA'!$B$45),0)</f>
        <v>41323</v>
      </c>
      <c r="AW36" s="176">
        <f>+ROUND(((AW15-AW22)*'DATOS ENTRADA'!$B$45),0)</f>
        <v>41323</v>
      </c>
      <c r="AX36" s="176">
        <f>+ROUND(((AX15-AX22)*'DATOS ENTRADA'!$B$45),0)</f>
        <v>41323</v>
      </c>
      <c r="AY36" s="176">
        <f>+ROUND(((AY15-AY22)*'DATOS ENTRADA'!$B$45),0)</f>
        <v>41323</v>
      </c>
      <c r="AZ36" s="176">
        <f>+ROUND(((AZ15-AZ22)*'DATOS ENTRADA'!$B$45),0)</f>
        <v>41323</v>
      </c>
      <c r="BA36" s="176">
        <f>+ROUND(((BA15-BA22)*'DATOS ENTRADA'!$B$45),0)</f>
        <v>41323</v>
      </c>
      <c r="BB36" s="173">
        <f>+SUM(BC36:BN36)</f>
        <v>528456</v>
      </c>
      <c r="BC36" s="176">
        <f>+ROUND(((BC15-BC22)*'DATOS ENTRADA'!$B$45),0)</f>
        <v>44038</v>
      </c>
      <c r="BD36" s="176">
        <f>+ROUND(((BD15-BD22)*'DATOS ENTRADA'!$B$45),0)</f>
        <v>44038</v>
      </c>
      <c r="BE36" s="176">
        <f>+ROUND(((BE15-BE22)*'DATOS ENTRADA'!$B$45),0)</f>
        <v>44038</v>
      </c>
      <c r="BF36" s="176">
        <f>+ROUND(((BF15-BF22)*'DATOS ENTRADA'!$B$45),0)</f>
        <v>44038</v>
      </c>
      <c r="BG36" s="176">
        <f>+ROUND(((BG15-BG22)*'DATOS ENTRADA'!$B$45),0)</f>
        <v>44038</v>
      </c>
      <c r="BH36" s="176">
        <f>+ROUND(((BH15-BH22)*'DATOS ENTRADA'!$B$45),0)</f>
        <v>44038</v>
      </c>
      <c r="BI36" s="176">
        <f>+ROUND(((BI15-BI22)*'DATOS ENTRADA'!$B$45),0)</f>
        <v>44038</v>
      </c>
      <c r="BJ36" s="176">
        <f>+ROUND(((BJ15-BJ22)*'DATOS ENTRADA'!$B$45),0)</f>
        <v>44038</v>
      </c>
      <c r="BK36" s="176">
        <f>+ROUND(((BK15-BK22)*'DATOS ENTRADA'!$B$45),0)</f>
        <v>44038</v>
      </c>
      <c r="BL36" s="176">
        <f>+ROUND(((BL15-BL22)*'DATOS ENTRADA'!$B$45),0)</f>
        <v>44038</v>
      </c>
      <c r="BM36" s="176">
        <f>+ROUND(((BM15-BM22)*'DATOS ENTRADA'!$B$45),0)</f>
        <v>44038</v>
      </c>
      <c r="BN36" s="176">
        <f>+ROUND(((BN15-BN22)*'DATOS ENTRADA'!$B$45),0)</f>
        <v>44038</v>
      </c>
      <c r="BO36" s="173">
        <f>+SUM(BP36:CA36)</f>
        <v>563136</v>
      </c>
      <c r="BP36" s="176">
        <f>+ROUND(((BP15-BP22)*'DATOS ENTRADA'!$B$45),0)</f>
        <v>46928</v>
      </c>
      <c r="BQ36" s="176">
        <f>+ROUND(((BQ15-BQ22)*'DATOS ENTRADA'!$B$45),0)</f>
        <v>46928</v>
      </c>
      <c r="BR36" s="176">
        <f>+ROUND(((BR15-BR22)*'DATOS ENTRADA'!$B$45),0)</f>
        <v>46928</v>
      </c>
      <c r="BS36" s="176">
        <f>+ROUND(((BS15-BS22)*'DATOS ENTRADA'!$B$45),0)</f>
        <v>46928</v>
      </c>
      <c r="BT36" s="176">
        <f>+ROUND(((BT15-BT22)*'DATOS ENTRADA'!$B$45),0)</f>
        <v>46928</v>
      </c>
      <c r="BU36" s="176">
        <f>+ROUND(((BU15-BU22)*'DATOS ENTRADA'!$B$45),0)</f>
        <v>46928</v>
      </c>
      <c r="BV36" s="176">
        <f>+ROUND(((BV15-BV22)*'DATOS ENTRADA'!$B$45),0)</f>
        <v>46928</v>
      </c>
      <c r="BW36" s="176">
        <f>+ROUND(((BW15-BW22)*'DATOS ENTRADA'!$B$45),0)</f>
        <v>46928</v>
      </c>
      <c r="BX36" s="176">
        <f>+ROUND(((BX15-BX22)*'DATOS ENTRADA'!$B$45),0)</f>
        <v>46928</v>
      </c>
      <c r="BY36" s="176">
        <f>+ROUND(((BY15-BY22)*'DATOS ENTRADA'!$B$45),0)</f>
        <v>46928</v>
      </c>
      <c r="BZ36" s="176">
        <f>+ROUND(((BZ15-BZ22)*'DATOS ENTRADA'!$B$45),0)</f>
        <v>46928</v>
      </c>
      <c r="CA36" s="176">
        <f>+ROUND(((CA15-CA22)*'DATOS ENTRADA'!$B$45),0)</f>
        <v>46928</v>
      </c>
      <c r="CB36" s="173">
        <f>+SUM(CC36:CN36)</f>
        <v>600036</v>
      </c>
      <c r="CC36" s="176">
        <f>+ROUND(((CC15-CC22)*'DATOS ENTRADA'!$B$45),0)</f>
        <v>50003</v>
      </c>
      <c r="CD36" s="176">
        <f>+ROUND(((CD15-CD22)*'DATOS ENTRADA'!$B$45),0)</f>
        <v>50003</v>
      </c>
      <c r="CE36" s="176">
        <f>+ROUND(((CE15-CE22)*'DATOS ENTRADA'!$B$45),0)</f>
        <v>50003</v>
      </c>
      <c r="CF36" s="176">
        <f>+ROUND(((CF15-CF22)*'DATOS ENTRADA'!$B$45),0)</f>
        <v>50003</v>
      </c>
      <c r="CG36" s="176">
        <f>+ROUND(((CG15-CG22)*'DATOS ENTRADA'!$B$45),0)</f>
        <v>50003</v>
      </c>
      <c r="CH36" s="176">
        <f>+ROUND(((CH15-CH22)*'DATOS ENTRADA'!$B$45),0)</f>
        <v>50003</v>
      </c>
      <c r="CI36" s="176">
        <f>+ROUND(((CI15-CI22)*'DATOS ENTRADA'!$B$45),0)</f>
        <v>50003</v>
      </c>
      <c r="CJ36" s="176">
        <f>+ROUND(((CJ15-CJ22)*'DATOS ENTRADA'!$B$45),0)</f>
        <v>50003</v>
      </c>
      <c r="CK36" s="176">
        <f>+ROUND(((CK15-CK22)*'DATOS ENTRADA'!$B$45),0)</f>
        <v>50003</v>
      </c>
      <c r="CL36" s="176">
        <f>+ROUND(((CL15-CL22)*'DATOS ENTRADA'!$B$45),0)</f>
        <v>50003</v>
      </c>
      <c r="CM36" s="176">
        <f>+ROUND(((CM15-CM22)*'DATOS ENTRADA'!$B$45),0)</f>
        <v>50003</v>
      </c>
      <c r="CN36" s="176">
        <f>+ROUND(((CN15-CN22)*'DATOS ENTRADA'!$B$45),0)</f>
        <v>50003</v>
      </c>
      <c r="CO36" s="173">
        <f>+SUM(CP36:DA36)</f>
        <v>639324</v>
      </c>
      <c r="CP36" s="176">
        <f>+ROUND(((CP15-CP22)*'DATOS ENTRADA'!$B$45),0)</f>
        <v>53277</v>
      </c>
      <c r="CQ36" s="176">
        <f>+ROUND(((CQ15-CQ22)*'DATOS ENTRADA'!$B$45),0)</f>
        <v>53277</v>
      </c>
      <c r="CR36" s="176">
        <f>+ROUND(((CR15-CR22)*'DATOS ENTRADA'!$B$45),0)</f>
        <v>53277</v>
      </c>
      <c r="CS36" s="176">
        <f>+ROUND(((CS15-CS22)*'DATOS ENTRADA'!$B$45),0)</f>
        <v>53277</v>
      </c>
      <c r="CT36" s="176">
        <f>+ROUND(((CT15-CT22)*'DATOS ENTRADA'!$B$45),0)</f>
        <v>53277</v>
      </c>
      <c r="CU36" s="176">
        <f>+ROUND(((CU15-CU22)*'DATOS ENTRADA'!$B$45),0)</f>
        <v>53277</v>
      </c>
      <c r="CV36" s="176">
        <f>+ROUND(((CV15-CV22)*'DATOS ENTRADA'!$B$45),0)</f>
        <v>53277</v>
      </c>
      <c r="CW36" s="176">
        <f>+ROUND(((CW15-CW22)*'DATOS ENTRADA'!$B$45),0)</f>
        <v>53277</v>
      </c>
      <c r="CX36" s="176">
        <f>+ROUND(((CX15-CX22)*'DATOS ENTRADA'!$B$45),0)</f>
        <v>53277</v>
      </c>
      <c r="CY36" s="176">
        <f>+ROUND(((CY15-CY22)*'DATOS ENTRADA'!$B$45),0)</f>
        <v>53277</v>
      </c>
      <c r="CZ36" s="176">
        <f>+ROUND(((CZ15-CZ22)*'DATOS ENTRADA'!$B$45),0)</f>
        <v>53277</v>
      </c>
      <c r="DA36" s="176">
        <f>+ROUND(((DA15-DA22)*'DATOS ENTRADA'!$B$45),0)</f>
        <v>53277</v>
      </c>
      <c r="DB36" s="173">
        <f>+SUM(DC36:DN36)</f>
        <v>681120</v>
      </c>
      <c r="DC36" s="176">
        <f>+ROUND(((DC15-DC22)*'DATOS ENTRADA'!$B$45),0)</f>
        <v>56760</v>
      </c>
      <c r="DD36" s="176">
        <f>+ROUND(((DD15-DD22)*'DATOS ENTRADA'!$B$45),0)</f>
        <v>56760</v>
      </c>
      <c r="DE36" s="176">
        <f>+ROUND(((DE15-DE22)*'DATOS ENTRADA'!$B$45),0)</f>
        <v>56760</v>
      </c>
      <c r="DF36" s="176">
        <f>+ROUND(((DF15-DF22)*'DATOS ENTRADA'!$B$45),0)</f>
        <v>56760</v>
      </c>
      <c r="DG36" s="176">
        <f>+ROUND(((DG15-DG22)*'DATOS ENTRADA'!$B$45),0)</f>
        <v>56760</v>
      </c>
      <c r="DH36" s="176">
        <f>+ROUND(((DH15-DH22)*'DATOS ENTRADA'!$B$45),0)</f>
        <v>56760</v>
      </c>
      <c r="DI36" s="176">
        <f>+ROUND(((DI15-DI22)*'DATOS ENTRADA'!$B$45),0)</f>
        <v>56760</v>
      </c>
      <c r="DJ36" s="176">
        <f>+ROUND(((DJ15-DJ22)*'DATOS ENTRADA'!$B$45),0)</f>
        <v>56760</v>
      </c>
      <c r="DK36" s="176">
        <f>+ROUND(((DK15-DK22)*'DATOS ENTRADA'!$B$45),0)</f>
        <v>56760</v>
      </c>
      <c r="DL36" s="176">
        <f>+ROUND(((DL15-DL22)*'DATOS ENTRADA'!$B$45),0)</f>
        <v>56760</v>
      </c>
      <c r="DM36" s="176">
        <f>+ROUND(((DM15-DM22)*'DATOS ENTRADA'!$B$45),0)</f>
        <v>56760</v>
      </c>
      <c r="DN36" s="176">
        <f>+ROUND(((DN15-DN22)*'DATOS ENTRADA'!$B$45),0)</f>
        <v>56760</v>
      </c>
      <c r="DO36" s="173">
        <f>+SUM(DP36:EA36)</f>
        <v>725592</v>
      </c>
      <c r="DP36" s="176">
        <f>+ROUND(((DP15-DP22)*'DATOS ENTRADA'!$B$45),0)</f>
        <v>60466</v>
      </c>
      <c r="DQ36" s="176">
        <f>+ROUND(((DQ15-DQ22)*'DATOS ENTRADA'!$B$45),0)</f>
        <v>60466</v>
      </c>
      <c r="DR36" s="176">
        <f>+ROUND(((DR15-DR22)*'DATOS ENTRADA'!$B$45),0)</f>
        <v>60466</v>
      </c>
      <c r="DS36" s="176">
        <f>+ROUND(((DS15-DS22)*'DATOS ENTRADA'!$B$45),0)</f>
        <v>60466</v>
      </c>
      <c r="DT36" s="176">
        <f>+ROUND(((DT15-DT22)*'DATOS ENTRADA'!$B$45),0)</f>
        <v>60466</v>
      </c>
      <c r="DU36" s="176">
        <f>+ROUND(((DU15-DU22)*'DATOS ENTRADA'!$B$45),0)</f>
        <v>60466</v>
      </c>
      <c r="DV36" s="176">
        <f>+ROUND(((DV15-DV22)*'DATOS ENTRADA'!$B$45),0)</f>
        <v>60466</v>
      </c>
      <c r="DW36" s="176">
        <f>+ROUND(((DW15-DW22)*'DATOS ENTRADA'!$B$45),0)</f>
        <v>60466</v>
      </c>
      <c r="DX36" s="176">
        <f>+ROUND(((DX15-DX22)*'DATOS ENTRADA'!$B$45),0)</f>
        <v>60466</v>
      </c>
      <c r="DY36" s="176">
        <f>+ROUND(((DY15-DY22)*'DATOS ENTRADA'!$B$45),0)</f>
        <v>60466</v>
      </c>
      <c r="DZ36" s="176">
        <f>+ROUND(((DZ15-DZ22)*'DATOS ENTRADA'!$B$45),0)</f>
        <v>60466</v>
      </c>
      <c r="EA36" s="176">
        <f>+ROUND(((EA15-EA22)*'DATOS ENTRADA'!$B$45),0)</f>
        <v>60466</v>
      </c>
      <c r="EB36" s="173">
        <f>+SUM(EC36:EN36)</f>
        <v>772920</v>
      </c>
      <c r="EC36" s="176">
        <f>+ROUND(((EC15-EC22)*'DATOS ENTRADA'!$B$45),0)</f>
        <v>64410</v>
      </c>
      <c r="ED36" s="176">
        <f>+ROUND(((ED15-ED22)*'DATOS ENTRADA'!$B$45),0)</f>
        <v>64410</v>
      </c>
      <c r="EE36" s="176">
        <f>+ROUND(((EE15-EE22)*'DATOS ENTRADA'!$B$45),0)</f>
        <v>64410</v>
      </c>
      <c r="EF36" s="176">
        <f>+ROUND(((EF15-EF22)*'DATOS ENTRADA'!$B$45),0)</f>
        <v>64410</v>
      </c>
      <c r="EG36" s="176">
        <f>+ROUND(((EG15-EG22)*'DATOS ENTRADA'!$B$45),0)</f>
        <v>64410</v>
      </c>
      <c r="EH36" s="176">
        <f>+ROUND(((EH15-EH22)*'DATOS ENTRADA'!$B$45),0)</f>
        <v>64410</v>
      </c>
      <c r="EI36" s="176">
        <f>+ROUND(((EI15-EI22)*'DATOS ENTRADA'!$B$45),0)</f>
        <v>64410</v>
      </c>
      <c r="EJ36" s="176">
        <f>+ROUND(((EJ15-EJ22)*'DATOS ENTRADA'!$B$45),0)</f>
        <v>64410</v>
      </c>
      <c r="EK36" s="176">
        <f>+ROUND(((EK15-EK22)*'DATOS ENTRADA'!$B$45),0)</f>
        <v>64410</v>
      </c>
      <c r="EL36" s="176">
        <f>+ROUND(((EL15-EL22)*'DATOS ENTRADA'!$B$45),0)</f>
        <v>64410</v>
      </c>
      <c r="EM36" s="176">
        <f>+ROUND(((EM15-EM22)*'DATOS ENTRADA'!$B$45),0)</f>
        <v>64410</v>
      </c>
      <c r="EN36" s="176">
        <f>+ROUND(((EN15-EN22)*'DATOS ENTRADA'!$B$45),0)</f>
        <v>64410</v>
      </c>
      <c r="EO36" s="173">
        <f>+SUM(EP36:FA36)</f>
        <v>823272</v>
      </c>
      <c r="EP36" s="176">
        <f>+ROUND(((EP15-EP22)*'DATOS ENTRADA'!$B$45),0)</f>
        <v>68606</v>
      </c>
      <c r="EQ36" s="176">
        <f>+ROUND(((EQ15-EQ22)*'DATOS ENTRADA'!$B$45),0)</f>
        <v>68606</v>
      </c>
      <c r="ER36" s="176">
        <f>+ROUND(((ER15-ER22)*'DATOS ENTRADA'!$B$45),0)</f>
        <v>68606</v>
      </c>
      <c r="ES36" s="176">
        <f>+ROUND(((ES15-ES22)*'DATOS ENTRADA'!$B$45),0)</f>
        <v>68606</v>
      </c>
      <c r="ET36" s="176">
        <f>+ROUND(((ET15-ET22)*'DATOS ENTRADA'!$B$45),0)</f>
        <v>68606</v>
      </c>
      <c r="EU36" s="176">
        <f>+ROUND(((EU15-EU22)*'DATOS ENTRADA'!$B$45),0)</f>
        <v>68606</v>
      </c>
      <c r="EV36" s="176">
        <f>+ROUND(((EV15-EV22)*'DATOS ENTRADA'!$B$45),0)</f>
        <v>68606</v>
      </c>
      <c r="EW36" s="176">
        <f>+ROUND(((EW15-EW22)*'DATOS ENTRADA'!$B$45),0)</f>
        <v>68606</v>
      </c>
      <c r="EX36" s="176">
        <f>+ROUND(((EX15-EX22)*'DATOS ENTRADA'!$B$45),0)</f>
        <v>68606</v>
      </c>
      <c r="EY36" s="176">
        <f>+ROUND(((EY15-EY22)*'DATOS ENTRADA'!$B$45),0)</f>
        <v>68606</v>
      </c>
      <c r="EZ36" s="176">
        <f>+ROUND(((EZ15-EZ22)*'DATOS ENTRADA'!$B$45),0)</f>
        <v>68606</v>
      </c>
      <c r="FA36" s="176">
        <f>+ROUND(((FA15-FA22)*'DATOS ENTRADA'!$B$45),0)</f>
        <v>68606</v>
      </c>
      <c r="FB36" s="173">
        <f>+SUM(FC36:FN36)</f>
        <v>876840</v>
      </c>
      <c r="FC36" s="176">
        <f>+ROUND(((FC15-FC22)*'DATOS ENTRADA'!$B$45),0)</f>
        <v>73070</v>
      </c>
      <c r="FD36" s="176">
        <f>+ROUND(((FD15-FD22)*'DATOS ENTRADA'!$B$45),0)</f>
        <v>73070</v>
      </c>
      <c r="FE36" s="176">
        <f>+ROUND(((FE15-FE22)*'DATOS ENTRADA'!$B$45),0)</f>
        <v>73070</v>
      </c>
      <c r="FF36" s="176">
        <f>+ROUND(((FF15-FF22)*'DATOS ENTRADA'!$B$45),0)</f>
        <v>73070</v>
      </c>
      <c r="FG36" s="176">
        <f>+ROUND(((FG15-FG22)*'DATOS ENTRADA'!$B$45),0)</f>
        <v>73070</v>
      </c>
      <c r="FH36" s="176">
        <f>+ROUND(((FH15-FH22)*'DATOS ENTRADA'!$B$45),0)</f>
        <v>73070</v>
      </c>
      <c r="FI36" s="176">
        <f>+ROUND(((FI15-FI22)*'DATOS ENTRADA'!$B$45),0)</f>
        <v>73070</v>
      </c>
      <c r="FJ36" s="176">
        <f>+ROUND(((FJ15-FJ22)*'DATOS ENTRADA'!$B$45),0)</f>
        <v>73070</v>
      </c>
      <c r="FK36" s="176">
        <f>+ROUND(((FK15-FK22)*'DATOS ENTRADA'!$B$45),0)</f>
        <v>73070</v>
      </c>
      <c r="FL36" s="176">
        <f>+ROUND(((FL15-FL22)*'DATOS ENTRADA'!$B$45),0)</f>
        <v>73070</v>
      </c>
      <c r="FM36" s="176">
        <f>+ROUND(((FM15-FM22)*'DATOS ENTRADA'!$B$45),0)</f>
        <v>73070</v>
      </c>
      <c r="FN36" s="176">
        <f>+ROUND(((FN15-FN22)*'DATOS ENTRADA'!$B$45),0)</f>
        <v>73070</v>
      </c>
      <c r="FO36" s="173">
        <f>+SUM(FP36:GA36)</f>
        <v>933840</v>
      </c>
      <c r="FP36" s="176">
        <f>+ROUND(((FP15-FP22)*'DATOS ENTRADA'!$B$45),0)</f>
        <v>77820</v>
      </c>
      <c r="FQ36" s="176">
        <f>+ROUND(((FQ15-FQ22)*'DATOS ENTRADA'!$B$45),0)</f>
        <v>77820</v>
      </c>
      <c r="FR36" s="176">
        <f>+ROUND(((FR15-FR22)*'DATOS ENTRADA'!$B$45),0)</f>
        <v>77820</v>
      </c>
      <c r="FS36" s="176">
        <f>+ROUND(((FS15-FS22)*'DATOS ENTRADA'!$B$45),0)</f>
        <v>77820</v>
      </c>
      <c r="FT36" s="176">
        <f>+ROUND(((FT15-FT22)*'DATOS ENTRADA'!$B$45),0)</f>
        <v>77820</v>
      </c>
      <c r="FU36" s="176">
        <f>+ROUND(((FU15-FU22)*'DATOS ENTRADA'!$B$45),0)</f>
        <v>77820</v>
      </c>
      <c r="FV36" s="176">
        <f>+ROUND(((FV15-FV22)*'DATOS ENTRADA'!$B$45),0)</f>
        <v>77820</v>
      </c>
      <c r="FW36" s="176">
        <f>+ROUND(((FW15-FW22)*'DATOS ENTRADA'!$B$45),0)</f>
        <v>77820</v>
      </c>
      <c r="FX36" s="176">
        <f>+ROUND(((FX15-FX22)*'DATOS ENTRADA'!$B$45),0)</f>
        <v>77820</v>
      </c>
      <c r="FY36" s="176">
        <f>+ROUND(((FY15-FY22)*'DATOS ENTRADA'!$B$45),0)</f>
        <v>77820</v>
      </c>
      <c r="FZ36" s="176">
        <f>+ROUND(((FZ15-FZ22)*'DATOS ENTRADA'!$B$45),0)</f>
        <v>77820</v>
      </c>
      <c r="GA36" s="176">
        <f>+ROUND(((GA15-GA22)*'DATOS ENTRADA'!$B$45),0)</f>
        <v>77820</v>
      </c>
      <c r="GB36" s="173">
        <f>+SUM(GC36:GG36)</f>
        <v>414365</v>
      </c>
      <c r="GC36" s="176">
        <f>+ROUND(((GC15-GC22)*'DATOS ENTRADA'!$B$45),0)</f>
        <v>82873</v>
      </c>
      <c r="GD36" s="176">
        <f>+ROUND(((GD15-GD22)*'DATOS ENTRADA'!$B$45),0)</f>
        <v>82873</v>
      </c>
      <c r="GE36" s="176">
        <f>+ROUND(((GE15-GE22)*'DATOS ENTRADA'!$B$45),0)</f>
        <v>82873</v>
      </c>
      <c r="GF36" s="176">
        <f>+ROUND(((GF15-GF22)*'DATOS ENTRADA'!$B$45),0)</f>
        <v>82873</v>
      </c>
      <c r="GG36" s="176">
        <f>+ROUND(((GG15-GG22)*'DATOS ENTRADA'!$B$45),0)</f>
        <v>82873</v>
      </c>
    </row>
    <row r="37" spans="1:190" s="182" customFormat="1" ht="16.5" customHeight="1" x14ac:dyDescent="0.25">
      <c r="A37" s="246" t="s">
        <v>73</v>
      </c>
      <c r="B37" s="248">
        <f>+B21+B25+B34</f>
        <v>475578323</v>
      </c>
      <c r="C37" s="248">
        <f>+C21+C25+C34</f>
        <v>30274165</v>
      </c>
      <c r="D37" s="248">
        <f t="shared" ref="D37:M37" si="480">+D21+D25+D34</f>
        <v>31970865</v>
      </c>
      <c r="E37" s="248">
        <f t="shared" si="480"/>
        <v>33698178</v>
      </c>
      <c r="F37" s="248">
        <f t="shared" si="480"/>
        <v>35394878</v>
      </c>
      <c r="G37" s="248">
        <f t="shared" si="480"/>
        <v>37091578</v>
      </c>
      <c r="H37" s="248">
        <f t="shared" si="480"/>
        <v>38788279</v>
      </c>
      <c r="I37" s="248">
        <f t="shared" si="480"/>
        <v>40484979</v>
      </c>
      <c r="J37" s="248">
        <f t="shared" si="480"/>
        <v>42181679</v>
      </c>
      <c r="K37" s="248">
        <f t="shared" si="480"/>
        <v>43878380</v>
      </c>
      <c r="L37" s="248">
        <f t="shared" si="480"/>
        <v>45575080</v>
      </c>
      <c r="M37" s="248">
        <f t="shared" si="480"/>
        <v>47271781</v>
      </c>
      <c r="N37" s="248">
        <f>+N21+N25+N34</f>
        <v>48968481</v>
      </c>
      <c r="O37" s="248">
        <f>+O21+O25+O34</f>
        <v>548624686</v>
      </c>
      <c r="P37" s="248">
        <f>+P21+P25+P34</f>
        <v>45691683</v>
      </c>
      <c r="Q37" s="248">
        <f t="shared" ref="Q37:AA37" si="481">+Q21+Q25+Q34</f>
        <v>45691683</v>
      </c>
      <c r="R37" s="248">
        <f t="shared" si="481"/>
        <v>45724132</v>
      </c>
      <c r="S37" s="248">
        <f t="shared" si="481"/>
        <v>45724132</v>
      </c>
      <c r="T37" s="248">
        <f t="shared" si="481"/>
        <v>45724132</v>
      </c>
      <c r="U37" s="248">
        <f t="shared" si="481"/>
        <v>45724132</v>
      </c>
      <c r="V37" s="248">
        <f t="shared" si="481"/>
        <v>45724132</v>
      </c>
      <c r="W37" s="248">
        <f t="shared" si="481"/>
        <v>45724132</v>
      </c>
      <c r="X37" s="248">
        <f t="shared" si="481"/>
        <v>45724132</v>
      </c>
      <c r="Y37" s="248">
        <f t="shared" si="481"/>
        <v>45724132</v>
      </c>
      <c r="Z37" s="248">
        <f t="shared" si="481"/>
        <v>45724132</v>
      </c>
      <c r="AA37" s="248">
        <f t="shared" si="481"/>
        <v>45724132</v>
      </c>
      <c r="AB37" s="248">
        <f>+AB21+AB25+AB34</f>
        <v>591732304</v>
      </c>
      <c r="AC37" s="248">
        <f>+AC21+AC25+AC34</f>
        <v>49282362</v>
      </c>
      <c r="AD37" s="248">
        <f t="shared" ref="AD37:AN37" si="482">+AD21+AD25+AD34</f>
        <v>49282362</v>
      </c>
      <c r="AE37" s="248">
        <f t="shared" si="482"/>
        <v>49316758</v>
      </c>
      <c r="AF37" s="248">
        <f t="shared" si="482"/>
        <v>49316758</v>
      </c>
      <c r="AG37" s="248">
        <f t="shared" si="482"/>
        <v>49316758</v>
      </c>
      <c r="AH37" s="248">
        <f t="shared" si="482"/>
        <v>49316758</v>
      </c>
      <c r="AI37" s="248">
        <f t="shared" si="482"/>
        <v>49316758</v>
      </c>
      <c r="AJ37" s="248">
        <f t="shared" si="482"/>
        <v>49316758</v>
      </c>
      <c r="AK37" s="248">
        <f t="shared" si="482"/>
        <v>49316758</v>
      </c>
      <c r="AL37" s="248">
        <f t="shared" si="482"/>
        <v>49316758</v>
      </c>
      <c r="AM37" s="248">
        <f t="shared" si="482"/>
        <v>49316758</v>
      </c>
      <c r="AN37" s="248">
        <f t="shared" si="482"/>
        <v>49316758</v>
      </c>
      <c r="AO37" s="248">
        <f>+AO21+AO25+AO34</f>
        <v>621059250</v>
      </c>
      <c r="AP37" s="248">
        <f>+AP21+AP25+AP34</f>
        <v>51724555</v>
      </c>
      <c r="AQ37" s="248">
        <f t="shared" ref="AQ37:BA37" si="483">+AQ21+AQ25+AQ34</f>
        <v>51724555</v>
      </c>
      <c r="AR37" s="248">
        <f t="shared" si="483"/>
        <v>51761014</v>
      </c>
      <c r="AS37" s="248">
        <f t="shared" si="483"/>
        <v>51761014</v>
      </c>
      <c r="AT37" s="248">
        <f t="shared" si="483"/>
        <v>51761014</v>
      </c>
      <c r="AU37" s="248">
        <f t="shared" si="483"/>
        <v>51761014</v>
      </c>
      <c r="AV37" s="248">
        <f t="shared" si="483"/>
        <v>51761014</v>
      </c>
      <c r="AW37" s="248">
        <f t="shared" si="483"/>
        <v>51761014</v>
      </c>
      <c r="AX37" s="248">
        <f t="shared" si="483"/>
        <v>51761014</v>
      </c>
      <c r="AY37" s="248">
        <f t="shared" si="483"/>
        <v>51761014</v>
      </c>
      <c r="AZ37" s="248">
        <f t="shared" si="483"/>
        <v>51761014</v>
      </c>
      <c r="BA37" s="248">
        <f t="shared" si="483"/>
        <v>51761014</v>
      </c>
      <c r="BB37" s="248">
        <f>+BB21+BB25+BB34</f>
        <v>635200693</v>
      </c>
      <c r="BC37" s="248">
        <f>+BC21+BC25+BC34</f>
        <v>54292647</v>
      </c>
      <c r="BD37" s="248">
        <f t="shared" ref="BD37:BN37" si="484">+BD21+BD25+BD34</f>
        <v>54292647</v>
      </c>
      <c r="BE37" s="248">
        <f t="shared" si="484"/>
        <v>54331294</v>
      </c>
      <c r="BF37" s="248">
        <f t="shared" si="484"/>
        <v>54331294</v>
      </c>
      <c r="BG37" s="248">
        <f t="shared" si="484"/>
        <v>54331294</v>
      </c>
      <c r="BH37" s="248">
        <f t="shared" si="484"/>
        <v>51945931</v>
      </c>
      <c r="BI37" s="248">
        <f t="shared" si="484"/>
        <v>51945931</v>
      </c>
      <c r="BJ37" s="248">
        <f t="shared" si="484"/>
        <v>51945931</v>
      </c>
      <c r="BK37" s="248">
        <f t="shared" si="484"/>
        <v>51945931</v>
      </c>
      <c r="BL37" s="248">
        <f t="shared" si="484"/>
        <v>51945931</v>
      </c>
      <c r="BM37" s="248">
        <f t="shared" si="484"/>
        <v>51945931</v>
      </c>
      <c r="BN37" s="248">
        <f t="shared" si="484"/>
        <v>51945931</v>
      </c>
      <c r="BO37" s="248">
        <f>+BO21+BO25+BO34</f>
        <v>655293624</v>
      </c>
      <c r="BP37" s="248">
        <f>+BP21+BP25+BP34</f>
        <v>54607802</v>
      </c>
      <c r="BQ37" s="248">
        <f t="shared" ref="BQ37:CA37" si="485">+BQ21+BQ25+BQ34</f>
        <v>54607802</v>
      </c>
      <c r="BR37" s="248">
        <f t="shared" si="485"/>
        <v>54607802</v>
      </c>
      <c r="BS37" s="248">
        <f t="shared" si="485"/>
        <v>54607802</v>
      </c>
      <c r="BT37" s="248">
        <f t="shared" si="485"/>
        <v>54607802</v>
      </c>
      <c r="BU37" s="248">
        <f t="shared" si="485"/>
        <v>54607802</v>
      </c>
      <c r="BV37" s="248">
        <f t="shared" si="485"/>
        <v>54607802</v>
      </c>
      <c r="BW37" s="248">
        <f t="shared" si="485"/>
        <v>54607802</v>
      </c>
      <c r="BX37" s="248">
        <f t="shared" si="485"/>
        <v>54607802</v>
      </c>
      <c r="BY37" s="248">
        <f t="shared" si="485"/>
        <v>54607802</v>
      </c>
      <c r="BZ37" s="248">
        <f t="shared" si="485"/>
        <v>54607802</v>
      </c>
      <c r="CA37" s="248">
        <f t="shared" si="485"/>
        <v>54607802</v>
      </c>
      <c r="CB37" s="248">
        <f>+CB21+CB25+CB34</f>
        <v>688879692</v>
      </c>
      <c r="CC37" s="248">
        <f>+CC21+CC25+CC34</f>
        <v>57406641</v>
      </c>
      <c r="CD37" s="248">
        <f t="shared" ref="CD37:CN37" si="486">+CD21+CD25+CD34</f>
        <v>57406641</v>
      </c>
      <c r="CE37" s="248">
        <f t="shared" si="486"/>
        <v>57406641</v>
      </c>
      <c r="CF37" s="248">
        <f t="shared" si="486"/>
        <v>57406641</v>
      </c>
      <c r="CG37" s="248">
        <f t="shared" si="486"/>
        <v>57406641</v>
      </c>
      <c r="CH37" s="248">
        <f t="shared" si="486"/>
        <v>57406641</v>
      </c>
      <c r="CI37" s="248">
        <f t="shared" si="486"/>
        <v>57406641</v>
      </c>
      <c r="CJ37" s="248">
        <f t="shared" si="486"/>
        <v>57406641</v>
      </c>
      <c r="CK37" s="248">
        <f t="shared" si="486"/>
        <v>57406641</v>
      </c>
      <c r="CL37" s="248">
        <f t="shared" si="486"/>
        <v>57406641</v>
      </c>
      <c r="CM37" s="248">
        <f t="shared" si="486"/>
        <v>57406641</v>
      </c>
      <c r="CN37" s="248">
        <f t="shared" si="486"/>
        <v>57406641</v>
      </c>
      <c r="CO37" s="248">
        <f>+CO21+CO25+CO34</f>
        <v>724194348</v>
      </c>
      <c r="CP37" s="248">
        <f>+CP21+CP25+CP34</f>
        <v>60349529</v>
      </c>
      <c r="CQ37" s="248">
        <f t="shared" ref="CQ37:DA37" si="487">+CQ21+CQ25+CQ34</f>
        <v>60349529</v>
      </c>
      <c r="CR37" s="248">
        <f t="shared" si="487"/>
        <v>60349529</v>
      </c>
      <c r="CS37" s="248">
        <f t="shared" si="487"/>
        <v>60349529</v>
      </c>
      <c r="CT37" s="248">
        <f t="shared" si="487"/>
        <v>60349529</v>
      </c>
      <c r="CU37" s="248">
        <f t="shared" si="487"/>
        <v>60349529</v>
      </c>
      <c r="CV37" s="248">
        <f t="shared" si="487"/>
        <v>60349529</v>
      </c>
      <c r="CW37" s="248">
        <f t="shared" si="487"/>
        <v>60349529</v>
      </c>
      <c r="CX37" s="248">
        <f t="shared" si="487"/>
        <v>60349529</v>
      </c>
      <c r="CY37" s="248">
        <f t="shared" si="487"/>
        <v>60349529</v>
      </c>
      <c r="CZ37" s="248">
        <f t="shared" si="487"/>
        <v>60349529</v>
      </c>
      <c r="DA37" s="248">
        <f t="shared" si="487"/>
        <v>60349529</v>
      </c>
      <c r="DB37" s="248">
        <f>+DB21+DB25+DB34</f>
        <v>761326956</v>
      </c>
      <c r="DC37" s="248">
        <f>+DC21+DC25+DC34</f>
        <v>63443913</v>
      </c>
      <c r="DD37" s="248">
        <f t="shared" ref="DD37:DN37" si="488">+DD21+DD25+DD34</f>
        <v>63443913</v>
      </c>
      <c r="DE37" s="248">
        <f t="shared" si="488"/>
        <v>63443913</v>
      </c>
      <c r="DF37" s="248">
        <f t="shared" si="488"/>
        <v>63443913</v>
      </c>
      <c r="DG37" s="248">
        <f t="shared" si="488"/>
        <v>63443913</v>
      </c>
      <c r="DH37" s="248">
        <f t="shared" si="488"/>
        <v>63443913</v>
      </c>
      <c r="DI37" s="248">
        <f t="shared" si="488"/>
        <v>63443913</v>
      </c>
      <c r="DJ37" s="248">
        <f t="shared" si="488"/>
        <v>63443913</v>
      </c>
      <c r="DK37" s="248">
        <f t="shared" si="488"/>
        <v>63443913</v>
      </c>
      <c r="DL37" s="248">
        <f t="shared" si="488"/>
        <v>63443913</v>
      </c>
      <c r="DM37" s="248">
        <f t="shared" si="488"/>
        <v>63443913</v>
      </c>
      <c r="DN37" s="248">
        <f t="shared" si="488"/>
        <v>63443913</v>
      </c>
      <c r="DO37" s="248">
        <f>+DO21+DO25+DO34</f>
        <v>800371584</v>
      </c>
      <c r="DP37" s="248">
        <f>+DP21+DP25+DP34</f>
        <v>66697632</v>
      </c>
      <c r="DQ37" s="248">
        <f t="shared" ref="DQ37:EA37" si="489">+DQ21+DQ25+DQ34</f>
        <v>66697632</v>
      </c>
      <c r="DR37" s="248">
        <f t="shared" si="489"/>
        <v>66697632</v>
      </c>
      <c r="DS37" s="248">
        <f t="shared" si="489"/>
        <v>66697632</v>
      </c>
      <c r="DT37" s="248">
        <f t="shared" si="489"/>
        <v>66697632</v>
      </c>
      <c r="DU37" s="248">
        <f t="shared" si="489"/>
        <v>66697632</v>
      </c>
      <c r="DV37" s="248">
        <f t="shared" si="489"/>
        <v>66697632</v>
      </c>
      <c r="DW37" s="248">
        <f t="shared" si="489"/>
        <v>66697632</v>
      </c>
      <c r="DX37" s="248">
        <f t="shared" si="489"/>
        <v>66697632</v>
      </c>
      <c r="DY37" s="248">
        <f t="shared" si="489"/>
        <v>66697632</v>
      </c>
      <c r="DZ37" s="248">
        <f t="shared" si="489"/>
        <v>66697632</v>
      </c>
      <c r="EA37" s="248">
        <f t="shared" si="489"/>
        <v>66697632</v>
      </c>
      <c r="EB37" s="248">
        <f>+EB21+EB25+EB34</f>
        <v>841427124</v>
      </c>
      <c r="EC37" s="248">
        <f>+EC21+EC25+EC34</f>
        <v>70118927</v>
      </c>
      <c r="ED37" s="248">
        <f t="shared" ref="ED37:EN37" si="490">+ED21+ED25+ED34</f>
        <v>70118927</v>
      </c>
      <c r="EE37" s="248">
        <f t="shared" si="490"/>
        <v>70118927</v>
      </c>
      <c r="EF37" s="248">
        <f t="shared" si="490"/>
        <v>70118927</v>
      </c>
      <c r="EG37" s="248">
        <f t="shared" si="490"/>
        <v>70118927</v>
      </c>
      <c r="EH37" s="248">
        <f t="shared" si="490"/>
        <v>70118927</v>
      </c>
      <c r="EI37" s="248">
        <f t="shared" si="490"/>
        <v>70118927</v>
      </c>
      <c r="EJ37" s="248">
        <f t="shared" si="490"/>
        <v>70118927</v>
      </c>
      <c r="EK37" s="248">
        <f t="shared" si="490"/>
        <v>70118927</v>
      </c>
      <c r="EL37" s="248">
        <f t="shared" si="490"/>
        <v>70118927</v>
      </c>
      <c r="EM37" s="248">
        <f t="shared" si="490"/>
        <v>70118927</v>
      </c>
      <c r="EN37" s="248">
        <f t="shared" si="490"/>
        <v>70118927</v>
      </c>
      <c r="EO37" s="248">
        <f>+EO21+EO25+EO34</f>
        <v>884597676</v>
      </c>
      <c r="EP37" s="248">
        <f>+EP21+EP25+EP34</f>
        <v>73716473</v>
      </c>
      <c r="EQ37" s="248">
        <f t="shared" ref="EQ37:FA37" si="491">+EQ21+EQ25+EQ34</f>
        <v>73716473</v>
      </c>
      <c r="ER37" s="248">
        <f t="shared" si="491"/>
        <v>73716473</v>
      </c>
      <c r="ES37" s="248">
        <f t="shared" si="491"/>
        <v>73716473</v>
      </c>
      <c r="ET37" s="248">
        <f t="shared" si="491"/>
        <v>73716473</v>
      </c>
      <c r="EU37" s="248">
        <f t="shared" si="491"/>
        <v>73716473</v>
      </c>
      <c r="EV37" s="248">
        <f t="shared" si="491"/>
        <v>73716473</v>
      </c>
      <c r="EW37" s="248">
        <f t="shared" si="491"/>
        <v>73716473</v>
      </c>
      <c r="EX37" s="248">
        <f t="shared" si="491"/>
        <v>73716473</v>
      </c>
      <c r="EY37" s="248">
        <f t="shared" si="491"/>
        <v>73716473</v>
      </c>
      <c r="EZ37" s="248">
        <f t="shared" si="491"/>
        <v>73716473</v>
      </c>
      <c r="FA37" s="248">
        <f t="shared" si="491"/>
        <v>73716473</v>
      </c>
      <c r="FB37" s="248">
        <f>+FB21+FB25+FB34</f>
        <v>929992680</v>
      </c>
      <c r="FC37" s="248">
        <f>+FC21+FC25+FC34</f>
        <v>77499390</v>
      </c>
      <c r="FD37" s="248">
        <f t="shared" ref="FD37:FN37" si="492">+FD21+FD25+FD34</f>
        <v>77499390</v>
      </c>
      <c r="FE37" s="248">
        <f t="shared" si="492"/>
        <v>77499390</v>
      </c>
      <c r="FF37" s="248">
        <f t="shared" si="492"/>
        <v>77499390</v>
      </c>
      <c r="FG37" s="248">
        <f t="shared" si="492"/>
        <v>77499390</v>
      </c>
      <c r="FH37" s="248">
        <f t="shared" si="492"/>
        <v>77499390</v>
      </c>
      <c r="FI37" s="248">
        <f t="shared" si="492"/>
        <v>77499390</v>
      </c>
      <c r="FJ37" s="248">
        <f t="shared" si="492"/>
        <v>77499390</v>
      </c>
      <c r="FK37" s="248">
        <f t="shared" si="492"/>
        <v>77499390</v>
      </c>
      <c r="FL37" s="248">
        <f t="shared" si="492"/>
        <v>77499390</v>
      </c>
      <c r="FM37" s="248">
        <f t="shared" si="492"/>
        <v>77499390</v>
      </c>
      <c r="FN37" s="248">
        <f t="shared" si="492"/>
        <v>77499390</v>
      </c>
      <c r="FO37" s="248">
        <f>+FO21+FO25+FO34</f>
        <v>977727348</v>
      </c>
      <c r="FP37" s="248">
        <f>+FP21+FP25+FP34</f>
        <v>81477279</v>
      </c>
      <c r="FQ37" s="248">
        <f t="shared" ref="FQ37:GA37" si="493">+FQ21+FQ25+FQ34</f>
        <v>81477279</v>
      </c>
      <c r="FR37" s="248">
        <f t="shared" si="493"/>
        <v>81477279</v>
      </c>
      <c r="FS37" s="248">
        <f t="shared" si="493"/>
        <v>81477279</v>
      </c>
      <c r="FT37" s="248">
        <f t="shared" si="493"/>
        <v>81477279</v>
      </c>
      <c r="FU37" s="248">
        <f t="shared" si="493"/>
        <v>81477279</v>
      </c>
      <c r="FV37" s="248">
        <f t="shared" si="493"/>
        <v>81477279</v>
      </c>
      <c r="FW37" s="248">
        <f t="shared" si="493"/>
        <v>81477279</v>
      </c>
      <c r="FX37" s="248">
        <f t="shared" si="493"/>
        <v>81477279</v>
      </c>
      <c r="FY37" s="248">
        <f t="shared" si="493"/>
        <v>81477279</v>
      </c>
      <c r="FZ37" s="248">
        <f t="shared" si="493"/>
        <v>81477279</v>
      </c>
      <c r="GA37" s="248">
        <f t="shared" si="493"/>
        <v>81477279</v>
      </c>
      <c r="GB37" s="248">
        <f>+GB21+GB25+GB34</f>
        <v>428301190</v>
      </c>
      <c r="GC37" s="248">
        <f>+GC21+GC25+GC34</f>
        <v>85660238</v>
      </c>
      <c r="GD37" s="248">
        <f t="shared" ref="GD37:GG37" si="494">+GD21+GD25+GD34</f>
        <v>85660238</v>
      </c>
      <c r="GE37" s="248">
        <f t="shared" si="494"/>
        <v>85660238</v>
      </c>
      <c r="GF37" s="248">
        <f t="shared" si="494"/>
        <v>85660238</v>
      </c>
      <c r="GG37" s="248">
        <f t="shared" si="494"/>
        <v>85660238</v>
      </c>
    </row>
    <row r="38" spans="1:190" s="175" customFormat="1" ht="16.5" customHeight="1" x14ac:dyDescent="0.25">
      <c r="A38" s="81"/>
      <c r="B38" s="183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83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83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83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83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83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83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176"/>
      <c r="CN38" s="176"/>
      <c r="CO38" s="183"/>
      <c r="CP38" s="176"/>
      <c r="CQ38" s="176"/>
      <c r="CR38" s="176"/>
      <c r="CS38" s="176"/>
      <c r="CT38" s="176"/>
      <c r="CU38" s="176"/>
      <c r="CV38" s="176"/>
      <c r="CW38" s="176"/>
      <c r="CX38" s="176"/>
      <c r="CY38" s="176"/>
      <c r="CZ38" s="176"/>
      <c r="DA38" s="176"/>
      <c r="DB38" s="183"/>
      <c r="DC38" s="176"/>
      <c r="DD38" s="176"/>
      <c r="DE38" s="176"/>
      <c r="DF38" s="176"/>
      <c r="DG38" s="176"/>
      <c r="DH38" s="176"/>
      <c r="DI38" s="176"/>
      <c r="DJ38" s="176"/>
      <c r="DK38" s="176"/>
      <c r="DL38" s="176"/>
      <c r="DM38" s="176"/>
      <c r="DN38" s="176"/>
      <c r="DO38" s="183"/>
      <c r="DP38" s="176"/>
      <c r="DQ38" s="176"/>
      <c r="DR38" s="176"/>
      <c r="DS38" s="176"/>
      <c r="DT38" s="176"/>
      <c r="DU38" s="176"/>
      <c r="DV38" s="176"/>
      <c r="DW38" s="176"/>
      <c r="DX38" s="176"/>
      <c r="DY38" s="176"/>
      <c r="DZ38" s="176"/>
      <c r="EA38" s="176"/>
      <c r="EB38" s="183"/>
      <c r="EC38" s="176"/>
      <c r="ED38" s="176"/>
      <c r="EE38" s="176"/>
      <c r="EF38" s="176"/>
      <c r="EG38" s="176"/>
      <c r="EH38" s="176"/>
      <c r="EI38" s="176"/>
      <c r="EJ38" s="176"/>
      <c r="EK38" s="176"/>
      <c r="EL38" s="176"/>
      <c r="EM38" s="176"/>
      <c r="EN38" s="176"/>
      <c r="EO38" s="183"/>
      <c r="EP38" s="176"/>
      <c r="EQ38" s="176"/>
      <c r="ER38" s="176"/>
      <c r="ES38" s="176"/>
      <c r="ET38" s="176"/>
      <c r="EU38" s="176"/>
      <c r="EV38" s="176"/>
      <c r="EW38" s="176"/>
      <c r="EX38" s="176"/>
      <c r="EY38" s="176"/>
      <c r="EZ38" s="176"/>
      <c r="FA38" s="176"/>
      <c r="FB38" s="183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83"/>
      <c r="FP38" s="176"/>
      <c r="FQ38" s="176"/>
      <c r="FR38" s="176"/>
      <c r="FS38" s="176"/>
      <c r="FT38" s="176"/>
      <c r="FU38" s="176"/>
      <c r="FV38" s="176"/>
      <c r="FW38" s="176"/>
      <c r="FX38" s="176"/>
      <c r="FY38" s="176"/>
      <c r="FZ38" s="176"/>
      <c r="GA38" s="176"/>
      <c r="GB38" s="183"/>
      <c r="GC38" s="176"/>
      <c r="GD38" s="176"/>
      <c r="GE38" s="176"/>
      <c r="GF38" s="176"/>
      <c r="GG38" s="176"/>
    </row>
    <row r="39" spans="1:190" s="182" customFormat="1" ht="16.5" customHeight="1" x14ac:dyDescent="0.25">
      <c r="A39" s="84" t="s">
        <v>78</v>
      </c>
      <c r="B39" s="184">
        <f>+B18-B37</f>
        <v>121437837</v>
      </c>
      <c r="C39" s="184">
        <f>+C18-C37</f>
        <v>18839430</v>
      </c>
      <c r="D39" s="184">
        <f t="shared" ref="D39:BM39" si="495">+D18-D37</f>
        <v>17142730</v>
      </c>
      <c r="E39" s="184">
        <f t="shared" si="495"/>
        <v>16180719</v>
      </c>
      <c r="F39" s="184">
        <f t="shared" si="495"/>
        <v>14484019</v>
      </c>
      <c r="G39" s="184">
        <f t="shared" si="495"/>
        <v>12787319</v>
      </c>
      <c r="H39" s="184">
        <f t="shared" si="495"/>
        <v>11090618</v>
      </c>
      <c r="I39" s="184">
        <f t="shared" si="495"/>
        <v>9393918</v>
      </c>
      <c r="J39" s="184">
        <f t="shared" si="495"/>
        <v>7697218</v>
      </c>
      <c r="K39" s="184">
        <f t="shared" si="495"/>
        <v>6000517</v>
      </c>
      <c r="L39" s="184">
        <f t="shared" si="495"/>
        <v>4303817</v>
      </c>
      <c r="M39" s="184">
        <f t="shared" si="495"/>
        <v>2607116</v>
      </c>
      <c r="N39" s="184">
        <f>+N18-N37</f>
        <v>910416</v>
      </c>
      <c r="O39" s="184">
        <f>+O18-O37</f>
        <v>84326170</v>
      </c>
      <c r="P39" s="184">
        <f>+P18-P37</f>
        <v>6378205</v>
      </c>
      <c r="Q39" s="184">
        <f t="shared" si="495"/>
        <v>6378205</v>
      </c>
      <c r="R39" s="184">
        <f t="shared" si="495"/>
        <v>7156976</v>
      </c>
      <c r="S39" s="184">
        <f t="shared" si="495"/>
        <v>7156976</v>
      </c>
      <c r="T39" s="184">
        <f t="shared" si="495"/>
        <v>7156976</v>
      </c>
      <c r="U39" s="184">
        <f t="shared" si="495"/>
        <v>7156976</v>
      </c>
      <c r="V39" s="184">
        <f t="shared" si="495"/>
        <v>7156976</v>
      </c>
      <c r="W39" s="184">
        <f t="shared" si="495"/>
        <v>7156976</v>
      </c>
      <c r="X39" s="184">
        <f t="shared" si="495"/>
        <v>7156976</v>
      </c>
      <c r="Y39" s="184">
        <f t="shared" si="495"/>
        <v>7156976</v>
      </c>
      <c r="Z39" s="184">
        <f t="shared" si="495"/>
        <v>7156976</v>
      </c>
      <c r="AA39" s="184">
        <f t="shared" si="495"/>
        <v>7156976</v>
      </c>
      <c r="AB39" s="184">
        <f>+AB18-AB37</f>
        <v>79199030</v>
      </c>
      <c r="AC39" s="184">
        <f t="shared" si="495"/>
        <v>5912005</v>
      </c>
      <c r="AD39" s="184">
        <f t="shared" si="495"/>
        <v>5912005</v>
      </c>
      <c r="AE39" s="184">
        <f t="shared" si="495"/>
        <v>6737502</v>
      </c>
      <c r="AF39" s="184">
        <f t="shared" si="495"/>
        <v>6737502</v>
      </c>
      <c r="AG39" s="184">
        <f t="shared" si="495"/>
        <v>6737502</v>
      </c>
      <c r="AH39" s="184">
        <f t="shared" si="495"/>
        <v>6737502</v>
      </c>
      <c r="AI39" s="184">
        <f t="shared" si="495"/>
        <v>6737502</v>
      </c>
      <c r="AJ39" s="184">
        <f t="shared" si="495"/>
        <v>6737502</v>
      </c>
      <c r="AK39" s="184">
        <f t="shared" si="495"/>
        <v>6737502</v>
      </c>
      <c r="AL39" s="184">
        <f t="shared" si="495"/>
        <v>6737502</v>
      </c>
      <c r="AM39" s="184">
        <f t="shared" si="495"/>
        <v>6737502</v>
      </c>
      <c r="AN39" s="184">
        <f t="shared" si="495"/>
        <v>6737502</v>
      </c>
      <c r="AO39" s="184">
        <f>+AO18-AO37</f>
        <v>90131556</v>
      </c>
      <c r="AP39" s="184">
        <f t="shared" si="495"/>
        <v>6781773</v>
      </c>
      <c r="AQ39" s="184">
        <f t="shared" si="495"/>
        <v>6781773</v>
      </c>
      <c r="AR39" s="184">
        <f t="shared" si="495"/>
        <v>7656801</v>
      </c>
      <c r="AS39" s="184">
        <f t="shared" si="495"/>
        <v>7656801</v>
      </c>
      <c r="AT39" s="184">
        <f t="shared" si="495"/>
        <v>7656801</v>
      </c>
      <c r="AU39" s="184">
        <f t="shared" si="495"/>
        <v>7656801</v>
      </c>
      <c r="AV39" s="184">
        <f t="shared" si="495"/>
        <v>7656801</v>
      </c>
      <c r="AW39" s="184">
        <f t="shared" si="495"/>
        <v>7656801</v>
      </c>
      <c r="AX39" s="184">
        <f t="shared" si="495"/>
        <v>7656801</v>
      </c>
      <c r="AY39" s="184">
        <f t="shared" si="495"/>
        <v>7656801</v>
      </c>
      <c r="AZ39" s="184">
        <f t="shared" si="495"/>
        <v>7656801</v>
      </c>
      <c r="BA39" s="184">
        <f t="shared" si="495"/>
        <v>7656801</v>
      </c>
      <c r="BB39" s="184">
        <f>+BB18-BB37</f>
        <v>-818460</v>
      </c>
      <c r="BC39" s="184">
        <f t="shared" si="495"/>
        <v>7724375</v>
      </c>
      <c r="BD39" s="184">
        <f t="shared" si="495"/>
        <v>7724375</v>
      </c>
      <c r="BE39" s="184">
        <f t="shared" si="495"/>
        <v>8651904</v>
      </c>
      <c r="BF39" s="184">
        <f t="shared" si="495"/>
        <v>8651904</v>
      </c>
      <c r="BG39" s="184">
        <f t="shared" si="495"/>
        <v>8651904</v>
      </c>
      <c r="BH39" s="184">
        <f t="shared" si="495"/>
        <v>-6031846</v>
      </c>
      <c r="BI39" s="184">
        <f t="shared" si="495"/>
        <v>-6031846</v>
      </c>
      <c r="BJ39" s="184">
        <f t="shared" si="495"/>
        <v>-6031846</v>
      </c>
      <c r="BK39" s="184">
        <f t="shared" si="495"/>
        <v>-6031846</v>
      </c>
      <c r="BL39" s="184">
        <f t="shared" si="495"/>
        <v>-6031846</v>
      </c>
      <c r="BM39" s="184">
        <f t="shared" si="495"/>
        <v>-6031846</v>
      </c>
      <c r="BN39" s="184">
        <f t="shared" ref="BN39:DY39" si="496">+BN18-BN37</f>
        <v>-6031846</v>
      </c>
      <c r="BO39" s="184">
        <f>+BO18-BO37</f>
        <v>-71262504</v>
      </c>
      <c r="BP39" s="184">
        <f t="shared" si="496"/>
        <v>-5938542</v>
      </c>
      <c r="BQ39" s="184">
        <f t="shared" si="496"/>
        <v>-5938542</v>
      </c>
      <c r="BR39" s="184">
        <f t="shared" si="496"/>
        <v>-5938542</v>
      </c>
      <c r="BS39" s="184">
        <f t="shared" si="496"/>
        <v>-5938542</v>
      </c>
      <c r="BT39" s="184">
        <f t="shared" si="496"/>
        <v>-5938542</v>
      </c>
      <c r="BU39" s="184">
        <f t="shared" si="496"/>
        <v>-5938542</v>
      </c>
      <c r="BV39" s="184">
        <f t="shared" si="496"/>
        <v>-5938542</v>
      </c>
      <c r="BW39" s="184">
        <f t="shared" si="496"/>
        <v>-5938542</v>
      </c>
      <c r="BX39" s="184">
        <f t="shared" si="496"/>
        <v>-5938542</v>
      </c>
      <c r="BY39" s="184">
        <f t="shared" si="496"/>
        <v>-5938542</v>
      </c>
      <c r="BZ39" s="184">
        <f t="shared" si="496"/>
        <v>-5938542</v>
      </c>
      <c r="CA39" s="184">
        <f t="shared" si="496"/>
        <v>-5938542</v>
      </c>
      <c r="CB39" s="184">
        <f>+CB18-CB37</f>
        <v>-69802560</v>
      </c>
      <c r="CC39" s="184">
        <f t="shared" si="496"/>
        <v>-5816880</v>
      </c>
      <c r="CD39" s="184">
        <f t="shared" si="496"/>
        <v>-5816880</v>
      </c>
      <c r="CE39" s="184">
        <f t="shared" si="496"/>
        <v>-5816880</v>
      </c>
      <c r="CF39" s="184">
        <f t="shared" si="496"/>
        <v>-5816880</v>
      </c>
      <c r="CG39" s="184">
        <f t="shared" si="496"/>
        <v>-5816880</v>
      </c>
      <c r="CH39" s="184">
        <f t="shared" si="496"/>
        <v>-5816880</v>
      </c>
      <c r="CI39" s="184">
        <f t="shared" si="496"/>
        <v>-5816880</v>
      </c>
      <c r="CJ39" s="184">
        <f t="shared" si="496"/>
        <v>-5816880</v>
      </c>
      <c r="CK39" s="184">
        <f t="shared" si="496"/>
        <v>-5816880</v>
      </c>
      <c r="CL39" s="184">
        <f t="shared" si="496"/>
        <v>-5816880</v>
      </c>
      <c r="CM39" s="184">
        <f t="shared" si="496"/>
        <v>-5816880</v>
      </c>
      <c r="CN39" s="184">
        <f t="shared" si="496"/>
        <v>-5816880</v>
      </c>
      <c r="CO39" s="184">
        <f>+CO18-CO37</f>
        <v>-67968228</v>
      </c>
      <c r="CP39" s="184">
        <f t="shared" si="496"/>
        <v>-5664019</v>
      </c>
      <c r="CQ39" s="184">
        <f t="shared" si="496"/>
        <v>-5664019</v>
      </c>
      <c r="CR39" s="184">
        <f t="shared" si="496"/>
        <v>-5664019</v>
      </c>
      <c r="CS39" s="184">
        <f t="shared" si="496"/>
        <v>-5664019</v>
      </c>
      <c r="CT39" s="184">
        <f t="shared" si="496"/>
        <v>-5664019</v>
      </c>
      <c r="CU39" s="184">
        <f t="shared" si="496"/>
        <v>-5664019</v>
      </c>
      <c r="CV39" s="184">
        <f t="shared" si="496"/>
        <v>-5664019</v>
      </c>
      <c r="CW39" s="184">
        <f t="shared" si="496"/>
        <v>-5664019</v>
      </c>
      <c r="CX39" s="184">
        <f t="shared" si="496"/>
        <v>-5664019</v>
      </c>
      <c r="CY39" s="184">
        <f t="shared" si="496"/>
        <v>-5664019</v>
      </c>
      <c r="CZ39" s="184">
        <f t="shared" si="496"/>
        <v>-5664019</v>
      </c>
      <c r="DA39" s="184">
        <f t="shared" si="496"/>
        <v>-5664019</v>
      </c>
      <c r="DB39" s="184">
        <f>+DB18-DB37</f>
        <v>-65722680</v>
      </c>
      <c r="DC39" s="184">
        <f t="shared" si="496"/>
        <v>-5476890</v>
      </c>
      <c r="DD39" s="184">
        <f t="shared" si="496"/>
        <v>-5476890</v>
      </c>
      <c r="DE39" s="184">
        <f t="shared" si="496"/>
        <v>-5476890</v>
      </c>
      <c r="DF39" s="184">
        <f t="shared" si="496"/>
        <v>-5476890</v>
      </c>
      <c r="DG39" s="184">
        <f t="shared" si="496"/>
        <v>-5476890</v>
      </c>
      <c r="DH39" s="184">
        <f t="shared" si="496"/>
        <v>-5476890</v>
      </c>
      <c r="DI39" s="184">
        <f t="shared" si="496"/>
        <v>-5476890</v>
      </c>
      <c r="DJ39" s="184">
        <f t="shared" si="496"/>
        <v>-5476890</v>
      </c>
      <c r="DK39" s="184">
        <f t="shared" si="496"/>
        <v>-5476890</v>
      </c>
      <c r="DL39" s="184">
        <f t="shared" si="496"/>
        <v>-5476890</v>
      </c>
      <c r="DM39" s="184">
        <f t="shared" si="496"/>
        <v>-5476890</v>
      </c>
      <c r="DN39" s="184">
        <f t="shared" si="496"/>
        <v>-5476890</v>
      </c>
      <c r="DO39" s="184">
        <f>+DO18-DO37</f>
        <v>-63026232</v>
      </c>
      <c r="DP39" s="184">
        <f t="shared" si="496"/>
        <v>-5252186</v>
      </c>
      <c r="DQ39" s="184">
        <f t="shared" si="496"/>
        <v>-5252186</v>
      </c>
      <c r="DR39" s="184">
        <f t="shared" si="496"/>
        <v>-5252186</v>
      </c>
      <c r="DS39" s="184">
        <f t="shared" si="496"/>
        <v>-5252186</v>
      </c>
      <c r="DT39" s="184">
        <f t="shared" si="496"/>
        <v>-5252186</v>
      </c>
      <c r="DU39" s="184">
        <f t="shared" si="496"/>
        <v>-5252186</v>
      </c>
      <c r="DV39" s="184">
        <f t="shared" si="496"/>
        <v>-5252186</v>
      </c>
      <c r="DW39" s="184">
        <f t="shared" si="496"/>
        <v>-5252186</v>
      </c>
      <c r="DX39" s="184">
        <f t="shared" si="496"/>
        <v>-5252186</v>
      </c>
      <c r="DY39" s="184">
        <f t="shared" si="496"/>
        <v>-5252186</v>
      </c>
      <c r="DZ39" s="184">
        <f t="shared" ref="DZ39:GG39" si="497">+DZ18-DZ37</f>
        <v>-5252186</v>
      </c>
      <c r="EA39" s="184">
        <f t="shared" si="497"/>
        <v>-5252186</v>
      </c>
      <c r="EB39" s="184">
        <f>+EB18-EB37</f>
        <v>-59835984</v>
      </c>
      <c r="EC39" s="184">
        <f t="shared" si="497"/>
        <v>-4986332</v>
      </c>
      <c r="ED39" s="184">
        <f t="shared" si="497"/>
        <v>-4986332</v>
      </c>
      <c r="EE39" s="184">
        <f t="shared" si="497"/>
        <v>-4986332</v>
      </c>
      <c r="EF39" s="184">
        <f t="shared" si="497"/>
        <v>-4986332</v>
      </c>
      <c r="EG39" s="184">
        <f t="shared" si="497"/>
        <v>-4986332</v>
      </c>
      <c r="EH39" s="184">
        <f t="shared" si="497"/>
        <v>-4986332</v>
      </c>
      <c r="EI39" s="184">
        <f t="shared" si="497"/>
        <v>-4986332</v>
      </c>
      <c r="EJ39" s="184">
        <f t="shared" si="497"/>
        <v>-4986332</v>
      </c>
      <c r="EK39" s="184">
        <f t="shared" si="497"/>
        <v>-4986332</v>
      </c>
      <c r="EL39" s="184">
        <f t="shared" si="497"/>
        <v>-4986332</v>
      </c>
      <c r="EM39" s="184">
        <f t="shared" si="497"/>
        <v>-4986332</v>
      </c>
      <c r="EN39" s="184">
        <f t="shared" si="497"/>
        <v>-4986332</v>
      </c>
      <c r="EO39" s="184">
        <f>+EO18-EO37</f>
        <v>-56105772</v>
      </c>
      <c r="EP39" s="184">
        <f t="shared" si="497"/>
        <v>-4675481</v>
      </c>
      <c r="EQ39" s="184">
        <f t="shared" si="497"/>
        <v>-4675481</v>
      </c>
      <c r="ER39" s="184">
        <f t="shared" si="497"/>
        <v>-4675481</v>
      </c>
      <c r="ES39" s="184">
        <f t="shared" si="497"/>
        <v>-4675481</v>
      </c>
      <c r="ET39" s="184">
        <f t="shared" si="497"/>
        <v>-4675481</v>
      </c>
      <c r="EU39" s="184">
        <f t="shared" si="497"/>
        <v>-4675481</v>
      </c>
      <c r="EV39" s="184">
        <f t="shared" si="497"/>
        <v>-4675481</v>
      </c>
      <c r="EW39" s="184">
        <f t="shared" si="497"/>
        <v>-4675481</v>
      </c>
      <c r="EX39" s="184">
        <f t="shared" si="497"/>
        <v>-4675481</v>
      </c>
      <c r="EY39" s="184">
        <f t="shared" si="497"/>
        <v>-4675481</v>
      </c>
      <c r="EZ39" s="184">
        <f t="shared" si="497"/>
        <v>-4675481</v>
      </c>
      <c r="FA39" s="184">
        <f t="shared" si="497"/>
        <v>-4675481</v>
      </c>
      <c r="FB39" s="184">
        <f>+FB18-FB37</f>
        <v>-51785688</v>
      </c>
      <c r="FC39" s="184">
        <f t="shared" si="497"/>
        <v>-4315474</v>
      </c>
      <c r="FD39" s="184">
        <f t="shared" si="497"/>
        <v>-4315474</v>
      </c>
      <c r="FE39" s="184">
        <f t="shared" si="497"/>
        <v>-4315474</v>
      </c>
      <c r="FF39" s="184">
        <f t="shared" si="497"/>
        <v>-4315474</v>
      </c>
      <c r="FG39" s="184">
        <f t="shared" si="497"/>
        <v>-4315474</v>
      </c>
      <c r="FH39" s="184">
        <f t="shared" si="497"/>
        <v>-4315474</v>
      </c>
      <c r="FI39" s="184">
        <f t="shared" si="497"/>
        <v>-4315474</v>
      </c>
      <c r="FJ39" s="184">
        <f t="shared" si="497"/>
        <v>-4315474</v>
      </c>
      <c r="FK39" s="184">
        <f t="shared" si="497"/>
        <v>-4315474</v>
      </c>
      <c r="FL39" s="184">
        <f t="shared" si="497"/>
        <v>-4315474</v>
      </c>
      <c r="FM39" s="184">
        <f t="shared" si="497"/>
        <v>-4315474</v>
      </c>
      <c r="FN39" s="184">
        <f t="shared" si="497"/>
        <v>-4315474</v>
      </c>
      <c r="FO39" s="184">
        <f>+FO18-FO37</f>
        <v>-46822092</v>
      </c>
      <c r="FP39" s="184">
        <f t="shared" si="497"/>
        <v>-3901841</v>
      </c>
      <c r="FQ39" s="184">
        <f t="shared" si="497"/>
        <v>-3901841</v>
      </c>
      <c r="FR39" s="184">
        <f t="shared" si="497"/>
        <v>-3901841</v>
      </c>
      <c r="FS39" s="184">
        <f t="shared" si="497"/>
        <v>-3901841</v>
      </c>
      <c r="FT39" s="184">
        <f t="shared" si="497"/>
        <v>-3901841</v>
      </c>
      <c r="FU39" s="184">
        <f t="shared" si="497"/>
        <v>-3901841</v>
      </c>
      <c r="FV39" s="184">
        <f t="shared" si="497"/>
        <v>-3901841</v>
      </c>
      <c r="FW39" s="184">
        <f t="shared" si="497"/>
        <v>-3901841</v>
      </c>
      <c r="FX39" s="184">
        <f t="shared" si="497"/>
        <v>-3901841</v>
      </c>
      <c r="FY39" s="184">
        <f t="shared" si="497"/>
        <v>-3901841</v>
      </c>
      <c r="FZ39" s="184">
        <f t="shared" si="497"/>
        <v>-3901841</v>
      </c>
      <c r="GA39" s="184">
        <f t="shared" si="497"/>
        <v>-3901841</v>
      </c>
      <c r="GB39" s="184">
        <f>+GB18-GB37</f>
        <v>-17148805</v>
      </c>
      <c r="GC39" s="184">
        <f t="shared" si="497"/>
        <v>-3429761</v>
      </c>
      <c r="GD39" s="184">
        <f t="shared" si="497"/>
        <v>-3429761</v>
      </c>
      <c r="GE39" s="184">
        <f t="shared" si="497"/>
        <v>-3429761</v>
      </c>
      <c r="GF39" s="184">
        <f t="shared" si="497"/>
        <v>-3429761</v>
      </c>
      <c r="GG39" s="184">
        <f t="shared" si="497"/>
        <v>-3429761</v>
      </c>
    </row>
    <row r="40" spans="1:190" s="175" customFormat="1" ht="16.5" customHeight="1" x14ac:dyDescent="0.25">
      <c r="A40" s="82"/>
      <c r="B40" s="18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83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83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83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83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83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83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83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  <c r="DA40" s="174"/>
      <c r="DB40" s="183"/>
      <c r="DC40" s="174"/>
      <c r="DD40" s="174"/>
      <c r="DE40" s="174"/>
      <c r="DF40" s="174"/>
      <c r="DG40" s="174"/>
      <c r="DH40" s="174"/>
      <c r="DI40" s="174"/>
      <c r="DJ40" s="174"/>
      <c r="DK40" s="174"/>
      <c r="DL40" s="174"/>
      <c r="DM40" s="174"/>
      <c r="DN40" s="174"/>
      <c r="DO40" s="183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83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4"/>
      <c r="EN40" s="174"/>
      <c r="EO40" s="183"/>
      <c r="EP40" s="174"/>
      <c r="EQ40" s="174"/>
      <c r="ER40" s="174"/>
      <c r="ES40" s="174"/>
      <c r="ET40" s="174"/>
      <c r="EU40" s="174"/>
      <c r="EV40" s="174"/>
      <c r="EW40" s="174"/>
      <c r="EX40" s="174"/>
      <c r="EY40" s="174"/>
      <c r="EZ40" s="174"/>
      <c r="FA40" s="174"/>
      <c r="FB40" s="183"/>
      <c r="FC40" s="174"/>
      <c r="FD40" s="174"/>
      <c r="FE40" s="174"/>
      <c r="FF40" s="174"/>
      <c r="FG40" s="174"/>
      <c r="FH40" s="174"/>
      <c r="FI40" s="174"/>
      <c r="FJ40" s="174"/>
      <c r="FK40" s="174"/>
      <c r="FL40" s="174"/>
      <c r="FM40" s="174"/>
      <c r="FN40" s="174"/>
      <c r="FO40" s="183"/>
      <c r="FP40" s="174"/>
      <c r="FQ40" s="174"/>
      <c r="FR40" s="174"/>
      <c r="FS40" s="174"/>
      <c r="FT40" s="174"/>
      <c r="FU40" s="174"/>
      <c r="FV40" s="174"/>
      <c r="FW40" s="174"/>
      <c r="FX40" s="174"/>
      <c r="FY40" s="174"/>
      <c r="FZ40" s="174"/>
      <c r="GA40" s="174"/>
      <c r="GB40" s="183"/>
      <c r="GC40" s="174"/>
      <c r="GD40" s="174"/>
      <c r="GE40" s="174"/>
      <c r="GF40" s="174"/>
      <c r="GG40" s="174"/>
    </row>
    <row r="41" spans="1:190" s="182" customFormat="1" ht="16.5" customHeight="1" x14ac:dyDescent="0.25">
      <c r="A41" s="85" t="s">
        <v>81</v>
      </c>
      <c r="B41" s="184">
        <f t="shared" ref="B41:BM41" si="498">+B12+B39</f>
        <v>403163283.58999997</v>
      </c>
      <c r="C41" s="184">
        <f>+C12+C39</f>
        <v>300564877</v>
      </c>
      <c r="D41" s="184">
        <f t="shared" si="498"/>
        <v>317707607</v>
      </c>
      <c r="E41" s="184">
        <f t="shared" si="498"/>
        <v>333888326</v>
      </c>
      <c r="F41" s="184">
        <f t="shared" si="498"/>
        <v>348372345</v>
      </c>
      <c r="G41" s="184">
        <f t="shared" si="498"/>
        <v>361159664</v>
      </c>
      <c r="H41" s="184">
        <f t="shared" si="498"/>
        <v>372250282</v>
      </c>
      <c r="I41" s="184">
        <f t="shared" si="498"/>
        <v>381644200</v>
      </c>
      <c r="J41" s="184">
        <f t="shared" si="498"/>
        <v>389341418</v>
      </c>
      <c r="K41" s="184">
        <f t="shared" si="498"/>
        <v>395341935</v>
      </c>
      <c r="L41" s="184">
        <f t="shared" si="498"/>
        <v>399645752</v>
      </c>
      <c r="M41" s="184">
        <f t="shared" si="498"/>
        <v>402252868</v>
      </c>
      <c r="N41" s="184">
        <f t="shared" si="498"/>
        <v>403163284</v>
      </c>
      <c r="O41" s="184">
        <f t="shared" si="498"/>
        <v>487489453.58999997</v>
      </c>
      <c r="P41" s="184">
        <f t="shared" si="498"/>
        <v>409541489</v>
      </c>
      <c r="Q41" s="184">
        <f t="shared" si="498"/>
        <v>415919694</v>
      </c>
      <c r="R41" s="184">
        <f t="shared" si="498"/>
        <v>423076670</v>
      </c>
      <c r="S41" s="184">
        <f t="shared" si="498"/>
        <v>430233646</v>
      </c>
      <c r="T41" s="184">
        <f t="shared" si="498"/>
        <v>437390622</v>
      </c>
      <c r="U41" s="184">
        <f t="shared" si="498"/>
        <v>444547598</v>
      </c>
      <c r="V41" s="184">
        <f t="shared" si="498"/>
        <v>451704574</v>
      </c>
      <c r="W41" s="184">
        <f t="shared" si="498"/>
        <v>458861550</v>
      </c>
      <c r="X41" s="184">
        <f t="shared" si="498"/>
        <v>466018526</v>
      </c>
      <c r="Y41" s="184">
        <f t="shared" si="498"/>
        <v>473175502</v>
      </c>
      <c r="Z41" s="184">
        <f t="shared" si="498"/>
        <v>480332478</v>
      </c>
      <c r="AA41" s="184">
        <f t="shared" si="498"/>
        <v>487489454</v>
      </c>
      <c r="AB41" s="184">
        <f t="shared" ref="AB41" si="499">+AB12+AB39</f>
        <v>566688483.58999991</v>
      </c>
      <c r="AC41" s="184">
        <f t="shared" si="498"/>
        <v>493401459</v>
      </c>
      <c r="AD41" s="184">
        <f t="shared" si="498"/>
        <v>499313464</v>
      </c>
      <c r="AE41" s="184">
        <f t="shared" si="498"/>
        <v>506050966</v>
      </c>
      <c r="AF41" s="184">
        <f t="shared" si="498"/>
        <v>512788468</v>
      </c>
      <c r="AG41" s="184">
        <f t="shared" si="498"/>
        <v>519525970</v>
      </c>
      <c r="AH41" s="184">
        <f t="shared" si="498"/>
        <v>526263472</v>
      </c>
      <c r="AI41" s="184">
        <f t="shared" si="498"/>
        <v>533000974</v>
      </c>
      <c r="AJ41" s="184">
        <f t="shared" si="498"/>
        <v>539738476</v>
      </c>
      <c r="AK41" s="184">
        <f t="shared" si="498"/>
        <v>546475978</v>
      </c>
      <c r="AL41" s="184">
        <f t="shared" si="498"/>
        <v>553213480</v>
      </c>
      <c r="AM41" s="184">
        <f t="shared" si="498"/>
        <v>559950982</v>
      </c>
      <c r="AN41" s="184">
        <f t="shared" si="498"/>
        <v>566688484</v>
      </c>
      <c r="AO41" s="184">
        <f t="shared" si="498"/>
        <v>656820039.58999991</v>
      </c>
      <c r="AP41" s="184">
        <f t="shared" si="498"/>
        <v>573470257</v>
      </c>
      <c r="AQ41" s="184">
        <f t="shared" si="498"/>
        <v>580252030</v>
      </c>
      <c r="AR41" s="184">
        <f t="shared" si="498"/>
        <v>587908831</v>
      </c>
      <c r="AS41" s="184">
        <f t="shared" si="498"/>
        <v>595565632</v>
      </c>
      <c r="AT41" s="184">
        <f t="shared" si="498"/>
        <v>603222433</v>
      </c>
      <c r="AU41" s="184">
        <f t="shared" si="498"/>
        <v>610879234</v>
      </c>
      <c r="AV41" s="184">
        <f t="shared" si="498"/>
        <v>618536035</v>
      </c>
      <c r="AW41" s="184">
        <f t="shared" si="498"/>
        <v>626192836</v>
      </c>
      <c r="AX41" s="184">
        <f t="shared" si="498"/>
        <v>633849637</v>
      </c>
      <c r="AY41" s="184">
        <f t="shared" si="498"/>
        <v>641506438</v>
      </c>
      <c r="AZ41" s="184">
        <f t="shared" si="498"/>
        <v>649163239</v>
      </c>
      <c r="BA41" s="184">
        <f t="shared" si="498"/>
        <v>656820040</v>
      </c>
      <c r="BB41" s="184">
        <f t="shared" si="498"/>
        <v>656001579.58999991</v>
      </c>
      <c r="BC41" s="184">
        <f t="shared" si="498"/>
        <v>664544415</v>
      </c>
      <c r="BD41" s="184">
        <f t="shared" si="498"/>
        <v>672268790</v>
      </c>
      <c r="BE41" s="184">
        <f t="shared" si="498"/>
        <v>680920694</v>
      </c>
      <c r="BF41" s="184">
        <f t="shared" si="498"/>
        <v>689572598</v>
      </c>
      <c r="BG41" s="184">
        <f t="shared" si="498"/>
        <v>698224502</v>
      </c>
      <c r="BH41" s="184">
        <f t="shared" si="498"/>
        <v>692192656</v>
      </c>
      <c r="BI41" s="184">
        <f t="shared" si="498"/>
        <v>686160810</v>
      </c>
      <c r="BJ41" s="184">
        <f t="shared" si="498"/>
        <v>680128964</v>
      </c>
      <c r="BK41" s="184">
        <f t="shared" si="498"/>
        <v>674097118</v>
      </c>
      <c r="BL41" s="184">
        <f t="shared" si="498"/>
        <v>668065272</v>
      </c>
      <c r="BM41" s="184">
        <f t="shared" si="498"/>
        <v>662033426</v>
      </c>
      <c r="BN41" s="184">
        <f t="shared" ref="BN41:DY41" si="500">+BN12+BN39</f>
        <v>656001580</v>
      </c>
      <c r="BO41" s="184">
        <f t="shared" si="500"/>
        <v>584739075.58999991</v>
      </c>
      <c r="BP41" s="184">
        <f t="shared" si="500"/>
        <v>650063038</v>
      </c>
      <c r="BQ41" s="184">
        <f t="shared" si="500"/>
        <v>644124496</v>
      </c>
      <c r="BR41" s="184">
        <f t="shared" si="500"/>
        <v>638185954</v>
      </c>
      <c r="BS41" s="184">
        <f t="shared" si="500"/>
        <v>632247412</v>
      </c>
      <c r="BT41" s="184">
        <f t="shared" si="500"/>
        <v>626308870</v>
      </c>
      <c r="BU41" s="184">
        <f t="shared" si="500"/>
        <v>620370328</v>
      </c>
      <c r="BV41" s="184">
        <f t="shared" si="500"/>
        <v>614431786</v>
      </c>
      <c r="BW41" s="184">
        <f t="shared" si="500"/>
        <v>608493244</v>
      </c>
      <c r="BX41" s="184">
        <f t="shared" si="500"/>
        <v>602554702</v>
      </c>
      <c r="BY41" s="184">
        <f t="shared" si="500"/>
        <v>596616160</v>
      </c>
      <c r="BZ41" s="184">
        <f t="shared" si="500"/>
        <v>590677618</v>
      </c>
      <c r="CA41" s="184">
        <f t="shared" si="500"/>
        <v>584739076</v>
      </c>
      <c r="CB41" s="184">
        <f t="shared" si="500"/>
        <v>514936515.58999991</v>
      </c>
      <c r="CC41" s="184">
        <f t="shared" si="500"/>
        <v>578922196</v>
      </c>
      <c r="CD41" s="184">
        <f t="shared" si="500"/>
        <v>573105316</v>
      </c>
      <c r="CE41" s="184">
        <f t="shared" si="500"/>
        <v>567288436</v>
      </c>
      <c r="CF41" s="184">
        <f t="shared" si="500"/>
        <v>561471556</v>
      </c>
      <c r="CG41" s="184">
        <f t="shared" si="500"/>
        <v>555654676</v>
      </c>
      <c r="CH41" s="184">
        <f t="shared" si="500"/>
        <v>549837796</v>
      </c>
      <c r="CI41" s="184">
        <f t="shared" si="500"/>
        <v>544020916</v>
      </c>
      <c r="CJ41" s="184">
        <f t="shared" si="500"/>
        <v>538204036</v>
      </c>
      <c r="CK41" s="184">
        <f t="shared" si="500"/>
        <v>532387156</v>
      </c>
      <c r="CL41" s="184">
        <f t="shared" si="500"/>
        <v>526570276</v>
      </c>
      <c r="CM41" s="184">
        <f t="shared" si="500"/>
        <v>520753396</v>
      </c>
      <c r="CN41" s="184">
        <f t="shared" si="500"/>
        <v>514936516</v>
      </c>
      <c r="CO41" s="184">
        <f t="shared" si="500"/>
        <v>446968287.58999991</v>
      </c>
      <c r="CP41" s="184">
        <f t="shared" si="500"/>
        <v>509272497</v>
      </c>
      <c r="CQ41" s="184">
        <f t="shared" si="500"/>
        <v>503608478</v>
      </c>
      <c r="CR41" s="184">
        <f t="shared" si="500"/>
        <v>497944459</v>
      </c>
      <c r="CS41" s="184">
        <f t="shared" si="500"/>
        <v>492280440</v>
      </c>
      <c r="CT41" s="184">
        <f t="shared" si="500"/>
        <v>486616421</v>
      </c>
      <c r="CU41" s="184">
        <f t="shared" si="500"/>
        <v>480952402</v>
      </c>
      <c r="CV41" s="184">
        <f t="shared" si="500"/>
        <v>475288383</v>
      </c>
      <c r="CW41" s="184">
        <f t="shared" si="500"/>
        <v>469624364</v>
      </c>
      <c r="CX41" s="184">
        <f t="shared" si="500"/>
        <v>463960345</v>
      </c>
      <c r="CY41" s="184">
        <f t="shared" si="500"/>
        <v>458296326</v>
      </c>
      <c r="CZ41" s="184">
        <f t="shared" si="500"/>
        <v>452632307</v>
      </c>
      <c r="DA41" s="184">
        <f t="shared" si="500"/>
        <v>446968288</v>
      </c>
      <c r="DB41" s="184">
        <f t="shared" si="500"/>
        <v>381245607.58999991</v>
      </c>
      <c r="DC41" s="184">
        <f t="shared" si="500"/>
        <v>441491398</v>
      </c>
      <c r="DD41" s="184">
        <f t="shared" si="500"/>
        <v>436014508</v>
      </c>
      <c r="DE41" s="184">
        <f t="shared" si="500"/>
        <v>430537618</v>
      </c>
      <c r="DF41" s="184">
        <f t="shared" si="500"/>
        <v>425060728</v>
      </c>
      <c r="DG41" s="184">
        <f t="shared" si="500"/>
        <v>419583838</v>
      </c>
      <c r="DH41" s="184">
        <f t="shared" si="500"/>
        <v>414106948</v>
      </c>
      <c r="DI41" s="184">
        <f t="shared" si="500"/>
        <v>408630058</v>
      </c>
      <c r="DJ41" s="184">
        <f t="shared" si="500"/>
        <v>403153168</v>
      </c>
      <c r="DK41" s="184">
        <f t="shared" si="500"/>
        <v>397676278</v>
      </c>
      <c r="DL41" s="184">
        <f t="shared" si="500"/>
        <v>392199388</v>
      </c>
      <c r="DM41" s="184">
        <f t="shared" si="500"/>
        <v>386722498</v>
      </c>
      <c r="DN41" s="184">
        <f t="shared" si="500"/>
        <v>381245608</v>
      </c>
      <c r="DO41" s="184">
        <f t="shared" si="500"/>
        <v>318219375.58999991</v>
      </c>
      <c r="DP41" s="184">
        <f t="shared" si="500"/>
        <v>375993422</v>
      </c>
      <c r="DQ41" s="184">
        <f t="shared" si="500"/>
        <v>370741236</v>
      </c>
      <c r="DR41" s="184">
        <f t="shared" si="500"/>
        <v>365489050</v>
      </c>
      <c r="DS41" s="184">
        <f t="shared" si="500"/>
        <v>360236864</v>
      </c>
      <c r="DT41" s="184">
        <f t="shared" si="500"/>
        <v>354984678</v>
      </c>
      <c r="DU41" s="184">
        <f t="shared" si="500"/>
        <v>349732492</v>
      </c>
      <c r="DV41" s="184">
        <f t="shared" si="500"/>
        <v>344480306</v>
      </c>
      <c r="DW41" s="184">
        <f t="shared" si="500"/>
        <v>339228120</v>
      </c>
      <c r="DX41" s="184">
        <f t="shared" si="500"/>
        <v>333975934</v>
      </c>
      <c r="DY41" s="184">
        <f t="shared" si="500"/>
        <v>328723748</v>
      </c>
      <c r="DZ41" s="184">
        <f t="shared" ref="DZ41:GG41" si="501">+DZ12+DZ39</f>
        <v>323471562</v>
      </c>
      <c r="EA41" s="184">
        <f t="shared" si="501"/>
        <v>318219376</v>
      </c>
      <c r="EB41" s="184">
        <f t="shared" si="501"/>
        <v>258383391.58999991</v>
      </c>
      <c r="EC41" s="184">
        <f t="shared" si="501"/>
        <v>313233044</v>
      </c>
      <c r="ED41" s="184">
        <f t="shared" si="501"/>
        <v>308246712</v>
      </c>
      <c r="EE41" s="184">
        <f t="shared" si="501"/>
        <v>303260380</v>
      </c>
      <c r="EF41" s="184">
        <f t="shared" si="501"/>
        <v>298274048</v>
      </c>
      <c r="EG41" s="184">
        <f t="shared" si="501"/>
        <v>293287716</v>
      </c>
      <c r="EH41" s="184">
        <f t="shared" si="501"/>
        <v>288301384</v>
      </c>
      <c r="EI41" s="184">
        <f t="shared" si="501"/>
        <v>283315052</v>
      </c>
      <c r="EJ41" s="184">
        <f t="shared" si="501"/>
        <v>278328720</v>
      </c>
      <c r="EK41" s="184">
        <f t="shared" si="501"/>
        <v>273342388</v>
      </c>
      <c r="EL41" s="184">
        <f t="shared" si="501"/>
        <v>268356056</v>
      </c>
      <c r="EM41" s="184">
        <f t="shared" si="501"/>
        <v>263369724</v>
      </c>
      <c r="EN41" s="184">
        <f t="shared" si="501"/>
        <v>258383392</v>
      </c>
      <c r="EO41" s="184">
        <f t="shared" si="501"/>
        <v>202277619.58999991</v>
      </c>
      <c r="EP41" s="184">
        <f t="shared" si="501"/>
        <v>253707911</v>
      </c>
      <c r="EQ41" s="184">
        <f t="shared" si="501"/>
        <v>249032430</v>
      </c>
      <c r="ER41" s="184">
        <f t="shared" si="501"/>
        <v>244356949</v>
      </c>
      <c r="ES41" s="184">
        <f t="shared" si="501"/>
        <v>239681468</v>
      </c>
      <c r="ET41" s="184">
        <f t="shared" si="501"/>
        <v>235005987</v>
      </c>
      <c r="EU41" s="184">
        <f t="shared" si="501"/>
        <v>230330506</v>
      </c>
      <c r="EV41" s="184">
        <f t="shared" si="501"/>
        <v>225655025</v>
      </c>
      <c r="EW41" s="184">
        <f t="shared" si="501"/>
        <v>220979544</v>
      </c>
      <c r="EX41" s="184">
        <f t="shared" si="501"/>
        <v>216304063</v>
      </c>
      <c r="EY41" s="184">
        <f t="shared" si="501"/>
        <v>211628582</v>
      </c>
      <c r="EZ41" s="184">
        <f t="shared" si="501"/>
        <v>206953101</v>
      </c>
      <c r="FA41" s="184">
        <f t="shared" si="501"/>
        <v>202277620</v>
      </c>
      <c r="FB41" s="184">
        <f t="shared" si="501"/>
        <v>150491931.58999991</v>
      </c>
      <c r="FC41" s="184">
        <f t="shared" si="501"/>
        <v>197962146</v>
      </c>
      <c r="FD41" s="184">
        <f t="shared" si="501"/>
        <v>193646672</v>
      </c>
      <c r="FE41" s="184">
        <f t="shared" si="501"/>
        <v>189331198</v>
      </c>
      <c r="FF41" s="184">
        <f t="shared" si="501"/>
        <v>185015724</v>
      </c>
      <c r="FG41" s="184">
        <f t="shared" si="501"/>
        <v>180700250</v>
      </c>
      <c r="FH41" s="184">
        <f t="shared" si="501"/>
        <v>176384776</v>
      </c>
      <c r="FI41" s="184">
        <f t="shared" si="501"/>
        <v>172069302</v>
      </c>
      <c r="FJ41" s="184">
        <f t="shared" si="501"/>
        <v>167753828</v>
      </c>
      <c r="FK41" s="184">
        <f t="shared" si="501"/>
        <v>163438354</v>
      </c>
      <c r="FL41" s="184">
        <f t="shared" si="501"/>
        <v>159122880</v>
      </c>
      <c r="FM41" s="184">
        <f t="shared" si="501"/>
        <v>154807406</v>
      </c>
      <c r="FN41" s="184">
        <f t="shared" si="501"/>
        <v>150491932</v>
      </c>
      <c r="FO41" s="184">
        <f t="shared" si="501"/>
        <v>103669839.58999991</v>
      </c>
      <c r="FP41" s="184">
        <f t="shared" si="501"/>
        <v>146590091</v>
      </c>
      <c r="FQ41" s="184">
        <f t="shared" si="501"/>
        <v>142688250</v>
      </c>
      <c r="FR41" s="184">
        <f t="shared" si="501"/>
        <v>138786409</v>
      </c>
      <c r="FS41" s="184">
        <f t="shared" si="501"/>
        <v>134884568</v>
      </c>
      <c r="FT41" s="184">
        <f t="shared" si="501"/>
        <v>130982727</v>
      </c>
      <c r="FU41" s="184">
        <f t="shared" si="501"/>
        <v>127080886</v>
      </c>
      <c r="FV41" s="184">
        <f t="shared" si="501"/>
        <v>123179045</v>
      </c>
      <c r="FW41" s="184">
        <f t="shared" si="501"/>
        <v>119277204</v>
      </c>
      <c r="FX41" s="184">
        <f t="shared" si="501"/>
        <v>115375363</v>
      </c>
      <c r="FY41" s="184">
        <f t="shared" si="501"/>
        <v>111473522</v>
      </c>
      <c r="FZ41" s="184">
        <f t="shared" si="501"/>
        <v>107571681</v>
      </c>
      <c r="GA41" s="184">
        <f t="shared" si="501"/>
        <v>103669840</v>
      </c>
      <c r="GB41" s="184">
        <f t="shared" si="501"/>
        <v>86521034.589999914</v>
      </c>
      <c r="GC41" s="184">
        <f t="shared" si="501"/>
        <v>100240079</v>
      </c>
      <c r="GD41" s="184">
        <f t="shared" si="501"/>
        <v>96810318</v>
      </c>
      <c r="GE41" s="184">
        <f t="shared" si="501"/>
        <v>93380557</v>
      </c>
      <c r="GF41" s="184">
        <f t="shared" si="501"/>
        <v>89950796</v>
      </c>
      <c r="GG41" s="184">
        <f t="shared" si="501"/>
        <v>86521035</v>
      </c>
    </row>
    <row r="43" spans="1:190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190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GB44" s="98"/>
    </row>
    <row r="45" spans="1:190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7" spans="1:190" x14ac:dyDescent="0.25">
      <c r="GH47" s="9"/>
    </row>
    <row r="48" spans="1:190" x14ac:dyDescent="0.25">
      <c r="D48" s="9"/>
      <c r="E48" s="9"/>
      <c r="H48" s="9"/>
      <c r="I48" s="9"/>
    </row>
    <row r="49" spans="4:9" x14ac:dyDescent="0.25">
      <c r="D49" s="266"/>
      <c r="E49" s="266"/>
      <c r="H49" s="266"/>
      <c r="I49" s="266"/>
    </row>
    <row r="50" spans="4:9" x14ac:dyDescent="0.25">
      <c r="D50" s="266"/>
      <c r="E50" s="266"/>
      <c r="H50" s="266"/>
      <c r="I50" s="266"/>
    </row>
  </sheetData>
  <mergeCells count="4">
    <mergeCell ref="D50:E50"/>
    <mergeCell ref="H50:I50"/>
    <mergeCell ref="D49:E49"/>
    <mergeCell ref="H49:I49"/>
  </mergeCells>
  <pageMargins left="0.31496062992125984" right="0.31496062992125984" top="0.74803149606299213" bottom="0.74803149606299213" header="0.31496062992125984" footer="0.31496062992125984"/>
  <pageSetup scale="40" orientation="landscape" r:id="rId1"/>
  <colBreaks count="14" manualBreakCount="14">
    <brk id="14" max="51" man="1"/>
    <brk id="27" max="51" man="1"/>
    <brk id="40" max="51" man="1"/>
    <brk id="53" max="51" man="1"/>
    <brk id="66" max="51" man="1"/>
    <brk id="79" max="51" man="1"/>
    <brk id="92" max="51" man="1"/>
    <brk id="105" max="51" man="1"/>
    <brk id="118" max="51" man="1"/>
    <brk id="131" max="51" man="1"/>
    <brk id="144" max="51" man="1"/>
    <brk id="157" max="51" man="1"/>
    <brk id="170" max="51" man="1"/>
    <brk id="183" max="51" man="1"/>
  </colBreaks>
  <ignoredErrors>
    <ignoredError sqref="O23 O18:AA18 O17 O30:AA30 O28:AA28 O36 CD18:CN18 O29 AC18:AN18 AD30:AN30 AP18:BA18 AP30:BA30 BC18:BN18 BC30:BN30 BP18:CA18 BP30:CA30 CC30:CN30 CP18:DA18 CP30:DA30 DC18:DN18 DC30:DN30 DP18:EA18 DP30:EA30 EC18:EN18 EC30:EN30 EP18:FA18 EP30:FA30 FC18:FN18 FC30:FN30 FP18:GA18 FP30:GA30 Q2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showGridLines="0" zoomScale="80" zoomScaleNormal="80" workbookViewId="0">
      <selection activeCell="K4" sqref="K4"/>
    </sheetView>
  </sheetViews>
  <sheetFormatPr baseColWidth="10" defaultRowHeight="18.75" customHeight="1" x14ac:dyDescent="0.25"/>
  <cols>
    <col min="1" max="1" width="30.7109375" style="3" customWidth="1"/>
    <col min="2" max="2" width="15.28515625" style="3" customWidth="1"/>
    <col min="3" max="3" width="16.5703125" style="3" customWidth="1"/>
    <col min="4" max="4" width="23" style="3" customWidth="1"/>
    <col min="5" max="5" width="26.5703125" style="3" customWidth="1"/>
    <col min="6" max="6" width="25" style="3" customWidth="1"/>
    <col min="7" max="7" width="20.7109375" style="3" customWidth="1"/>
    <col min="8" max="8" width="13.42578125" style="3" bestFit="1" customWidth="1"/>
    <col min="9" max="9" width="12.140625" style="3" bestFit="1" customWidth="1"/>
    <col min="10" max="10" width="13.140625" style="3" bestFit="1" customWidth="1"/>
    <col min="11" max="11" width="15.85546875" style="3" bestFit="1" customWidth="1"/>
    <col min="12" max="16384" width="11.42578125" style="3"/>
  </cols>
  <sheetData>
    <row r="1" spans="1:11" ht="18.75" customHeight="1" x14ac:dyDescent="0.25">
      <c r="A1" s="267" t="s">
        <v>201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ht="18.75" customHeight="1" x14ac:dyDescent="0.25">
      <c r="A2" s="310"/>
      <c r="B2" s="310" t="s">
        <v>202</v>
      </c>
      <c r="C2" s="310" t="s">
        <v>203</v>
      </c>
      <c r="D2" s="310" t="s">
        <v>204</v>
      </c>
      <c r="E2" s="310" t="s">
        <v>205</v>
      </c>
      <c r="F2" s="310" t="s">
        <v>206</v>
      </c>
      <c r="G2" s="310" t="s">
        <v>207</v>
      </c>
      <c r="H2" s="310" t="s">
        <v>208</v>
      </c>
      <c r="I2" s="310" t="s">
        <v>209</v>
      </c>
      <c r="J2" s="310" t="s">
        <v>210</v>
      </c>
      <c r="K2" s="310" t="s">
        <v>211</v>
      </c>
    </row>
    <row r="3" spans="1:11" ht="18.75" customHeight="1" x14ac:dyDescent="0.25">
      <c r="A3" s="229" t="s">
        <v>212</v>
      </c>
      <c r="B3" s="44">
        <v>2174</v>
      </c>
      <c r="C3" s="44">
        <v>612</v>
      </c>
      <c r="D3" s="44">
        <v>9</v>
      </c>
      <c r="E3" s="44">
        <v>22</v>
      </c>
      <c r="F3" s="44">
        <v>0</v>
      </c>
      <c r="G3" s="44">
        <v>0</v>
      </c>
      <c r="H3" s="44">
        <v>53</v>
      </c>
      <c r="I3" s="44">
        <v>13</v>
      </c>
      <c r="J3" s="44">
        <v>2</v>
      </c>
      <c r="K3" s="235">
        <v>2885</v>
      </c>
    </row>
    <row r="4" spans="1:11" ht="18.75" customHeight="1" x14ac:dyDescent="0.25">
      <c r="A4" s="229" t="s">
        <v>213</v>
      </c>
      <c r="B4" s="236">
        <v>21929888</v>
      </c>
      <c r="C4" s="236">
        <v>7862307</v>
      </c>
      <c r="D4" s="236">
        <v>187240</v>
      </c>
      <c r="E4" s="236">
        <v>692520</v>
      </c>
      <c r="F4" s="236">
        <v>0</v>
      </c>
      <c r="G4" s="236">
        <v>0</v>
      </c>
      <c r="H4" s="236">
        <v>19717894</v>
      </c>
      <c r="I4" s="236">
        <v>2399410</v>
      </c>
      <c r="J4" s="236">
        <v>8030110</v>
      </c>
      <c r="K4" s="237">
        <v>60819370</v>
      </c>
    </row>
    <row r="5" spans="1:11" ht="18.75" customHeight="1" x14ac:dyDescent="0.25">
      <c r="A5" s="229" t="s">
        <v>214</v>
      </c>
      <c r="B5" s="236">
        <v>6026260</v>
      </c>
      <c r="C5" s="236">
        <v>3732294</v>
      </c>
      <c r="D5" s="236">
        <v>28160</v>
      </c>
      <c r="E5" s="236">
        <v>385550</v>
      </c>
      <c r="F5" s="236">
        <v>0</v>
      </c>
      <c r="G5" s="236">
        <v>0</v>
      </c>
      <c r="H5" s="236">
        <v>19204022</v>
      </c>
      <c r="I5" s="236">
        <v>1479960</v>
      </c>
      <c r="J5" s="236">
        <v>7377170</v>
      </c>
      <c r="K5" s="237">
        <v>38233416</v>
      </c>
    </row>
    <row r="6" spans="1:11" ht="18.75" customHeight="1" x14ac:dyDescent="0.25">
      <c r="A6" s="229" t="s">
        <v>108</v>
      </c>
      <c r="B6" s="238">
        <f>+B5/B4</f>
        <v>0.27479666106821887</v>
      </c>
      <c r="C6" s="238">
        <f t="shared" ref="C6:K6" si="0">+C5/C4</f>
        <v>0.47470723287706779</v>
      </c>
      <c r="D6" s="238">
        <f t="shared" si="0"/>
        <v>0.15039521469771416</v>
      </c>
      <c r="E6" s="238">
        <f t="shared" si="0"/>
        <v>0.55673482354300241</v>
      </c>
      <c r="F6" s="238"/>
      <c r="G6" s="238"/>
      <c r="H6" s="238">
        <f t="shared" si="0"/>
        <v>0.97393879894069824</v>
      </c>
      <c r="I6" s="238">
        <f t="shared" si="0"/>
        <v>0.61680163040080682</v>
      </c>
      <c r="J6" s="238">
        <f t="shared" si="0"/>
        <v>0.91868853602254519</v>
      </c>
      <c r="K6" s="239">
        <f t="shared" si="0"/>
        <v>0.62863880372322178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4"/>
  <sheetViews>
    <sheetView showGridLines="0" view="pageBreakPreview" zoomScale="90" zoomScaleNormal="90" zoomScaleSheetLayoutView="9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P16" sqref="P16"/>
    </sheetView>
  </sheetViews>
  <sheetFormatPr baseColWidth="10" defaultRowHeight="12.75" x14ac:dyDescent="0.25"/>
  <cols>
    <col min="1" max="1" width="20.28515625" style="48" customWidth="1"/>
    <col min="2" max="2" width="36.28515625" style="49" hidden="1" customWidth="1"/>
    <col min="3" max="3" width="47.42578125" style="48" customWidth="1"/>
    <col min="4" max="5" width="13.140625" style="49" hidden="1" customWidth="1"/>
    <col min="6" max="6" width="18.5703125" style="48" hidden="1" customWidth="1"/>
    <col min="7" max="7" width="17.7109375" style="48" hidden="1" customWidth="1"/>
    <col min="8" max="8" width="18.85546875" style="48" hidden="1" customWidth="1"/>
    <col min="9" max="9" width="17.140625" style="48" hidden="1" customWidth="1"/>
    <col min="10" max="10" width="19.85546875" style="48" hidden="1" customWidth="1"/>
    <col min="11" max="11" width="16" style="48" hidden="1" customWidth="1"/>
    <col min="12" max="12" width="18.28515625" style="48" hidden="1" customWidth="1"/>
    <col min="13" max="13" width="20.28515625" style="48" hidden="1" customWidth="1"/>
    <col min="14" max="14" width="16.28515625" style="48" hidden="1" customWidth="1"/>
    <col min="15" max="15" width="16" style="48" customWidth="1"/>
    <col min="16" max="16384" width="11.42578125" style="48"/>
  </cols>
  <sheetData>
    <row r="1" spans="1:15" ht="54" customHeight="1" x14ac:dyDescent="0.25">
      <c r="A1" s="276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</row>
    <row r="3" spans="1:15" s="3" customFormat="1" ht="53.25" customHeight="1" x14ac:dyDescent="0.25">
      <c r="A3" s="194" t="s">
        <v>14</v>
      </c>
      <c r="B3" s="194"/>
      <c r="C3" s="194" t="s">
        <v>1</v>
      </c>
      <c r="D3" s="194" t="s">
        <v>8</v>
      </c>
      <c r="E3" s="194" t="s">
        <v>183</v>
      </c>
      <c r="F3" s="194" t="s">
        <v>9</v>
      </c>
      <c r="G3" s="194" t="s">
        <v>10</v>
      </c>
      <c r="H3" s="194" t="s">
        <v>11</v>
      </c>
      <c r="I3" s="193" t="s">
        <v>2</v>
      </c>
      <c r="J3" s="193" t="s">
        <v>3</v>
      </c>
      <c r="K3" s="193" t="s">
        <v>4</v>
      </c>
      <c r="L3" s="193" t="s">
        <v>5</v>
      </c>
      <c r="M3" s="193" t="s">
        <v>182</v>
      </c>
      <c r="N3" s="321" t="s">
        <v>6</v>
      </c>
      <c r="O3" s="193" t="s">
        <v>7</v>
      </c>
    </row>
    <row r="4" spans="1:15" s="3" customFormat="1" ht="18.75" customHeight="1" x14ac:dyDescent="0.25">
      <c r="A4" s="195"/>
      <c r="B4" s="196"/>
      <c r="C4" s="196"/>
      <c r="D4" s="196"/>
      <c r="E4" s="196"/>
      <c r="F4" s="196"/>
      <c r="G4" s="196"/>
      <c r="H4" s="196"/>
      <c r="I4" s="211">
        <f>+'DATOS ENTRADA'!B24</f>
        <v>0.08</v>
      </c>
      <c r="J4" s="211">
        <f>+'DATOS ENTRADA'!B25</f>
        <v>0.08</v>
      </c>
      <c r="K4" s="211">
        <f>+'DATOS ENTRADA'!B26</f>
        <v>0.01</v>
      </c>
      <c r="L4" s="211">
        <f>+'DATOS ENTRADA'!B27</f>
        <v>0.02</v>
      </c>
      <c r="M4" s="211">
        <f>+'DATOS ENTRADA'!B28</f>
        <v>0.04</v>
      </c>
      <c r="N4" s="322">
        <f>+'DATOS ENTRADA'!B29</f>
        <v>0.03</v>
      </c>
      <c r="O4" s="191"/>
    </row>
    <row r="5" spans="1:15" s="3" customFormat="1" ht="14.25" x14ac:dyDescent="0.25">
      <c r="A5" s="274" t="s">
        <v>12</v>
      </c>
      <c r="B5" s="44" t="s">
        <v>171</v>
      </c>
      <c r="C5" s="251" t="s">
        <v>217</v>
      </c>
      <c r="D5" s="129">
        <v>15</v>
      </c>
      <c r="E5" s="198">
        <v>4</v>
      </c>
      <c r="F5" s="169">
        <v>369866.39754756063</v>
      </c>
      <c r="G5" s="99">
        <v>0</v>
      </c>
      <c r="H5" s="169">
        <v>24578.853249999996</v>
      </c>
      <c r="I5" s="99">
        <f>+(F5+G5+H5)*$I$4</f>
        <v>31555.62006380485</v>
      </c>
      <c r="J5" s="99">
        <f>+(F5+G5+H5)*$J$4</f>
        <v>31555.62006380485</v>
      </c>
      <c r="K5" s="99">
        <f>+H5*$K$4</f>
        <v>245.78853249999997</v>
      </c>
      <c r="L5" s="208">
        <f>+(F5+G5+H5)*$L$4</f>
        <v>7888.9050159512126</v>
      </c>
      <c r="M5" s="99">
        <f>+ROUND(((F5+G5+H5+I5)*$M$4),0)</f>
        <v>17040</v>
      </c>
      <c r="N5" s="209">
        <f>+SUM(F5:M5)*$N$4</f>
        <v>14481.935534208644</v>
      </c>
      <c r="O5" s="232">
        <f>+ROUND((F5+G5+H5+I5+J5+K5+L5+M5+N5),0)</f>
        <v>497213</v>
      </c>
    </row>
    <row r="6" spans="1:15" s="3" customFormat="1" ht="14.25" x14ac:dyDescent="0.25">
      <c r="A6" s="274"/>
      <c r="B6" s="44" t="s">
        <v>171</v>
      </c>
      <c r="C6" s="251" t="s">
        <v>218</v>
      </c>
      <c r="D6" s="129">
        <v>15</v>
      </c>
      <c r="E6" s="198">
        <v>2</v>
      </c>
      <c r="F6" s="169">
        <v>390790.3652803009</v>
      </c>
      <c r="G6" s="99">
        <v>0</v>
      </c>
      <c r="H6" s="169">
        <v>24578.853249999996</v>
      </c>
      <c r="I6" s="99">
        <f>+(F6+G6+H6)*$I$4</f>
        <v>33229.537482424072</v>
      </c>
      <c r="J6" s="99">
        <f t="shared" ref="J6:J44" si="0">+(F6+G6+H6)*$J$4</f>
        <v>33229.537482424072</v>
      </c>
      <c r="K6" s="99">
        <f t="shared" ref="K6:K44" si="1">+H6*$K$4</f>
        <v>245.78853249999997</v>
      </c>
      <c r="L6" s="99">
        <f t="shared" ref="L6:L44" si="2">+(F6+G6+H6)*$L$4</f>
        <v>8307.3843706060179</v>
      </c>
      <c r="M6" s="99">
        <f t="shared" ref="M6:M44" si="3">+ROUND(((F6+G6+H6+I6)*$M$4),0)</f>
        <v>17944</v>
      </c>
      <c r="N6" s="209">
        <f t="shared" ref="N6:N44" si="4">+SUM(F6:M6)*$N$4</f>
        <v>15249.76399194765</v>
      </c>
      <c r="O6" s="232">
        <f t="shared" ref="O6:O44" si="5">+ROUND((F6+G6+H6+I6+J6+K6+L6+M6+N6),0)</f>
        <v>523575</v>
      </c>
    </row>
    <row r="7" spans="1:15" s="3" customFormat="1" ht="14.25" x14ac:dyDescent="0.25">
      <c r="A7" s="274"/>
      <c r="B7" s="44" t="s">
        <v>171</v>
      </c>
      <c r="C7" s="251" t="s">
        <v>219</v>
      </c>
      <c r="D7" s="129">
        <v>15</v>
      </c>
      <c r="E7" s="198">
        <v>12</v>
      </c>
      <c r="F7" s="169">
        <v>423906.25121951959</v>
      </c>
      <c r="G7" s="99">
        <v>0</v>
      </c>
      <c r="H7" s="169">
        <v>24578.853249999996</v>
      </c>
      <c r="I7" s="99">
        <f t="shared" ref="I7:I44" si="6">+(F7+G7+H7)*$I$4</f>
        <v>35878.808357561567</v>
      </c>
      <c r="J7" s="99">
        <f t="shared" si="0"/>
        <v>35878.808357561567</v>
      </c>
      <c r="K7" s="99">
        <f t="shared" si="1"/>
        <v>245.78853249999997</v>
      </c>
      <c r="L7" s="99">
        <f t="shared" si="2"/>
        <v>8969.7020893903918</v>
      </c>
      <c r="M7" s="99">
        <f t="shared" si="3"/>
        <v>19375</v>
      </c>
      <c r="N7" s="209">
        <f t="shared" si="4"/>
        <v>16464.996354195995</v>
      </c>
      <c r="O7" s="232">
        <f t="shared" si="5"/>
        <v>565298</v>
      </c>
    </row>
    <row r="8" spans="1:15" s="3" customFormat="1" ht="14.25" x14ac:dyDescent="0.25">
      <c r="A8" s="274"/>
      <c r="B8" s="44" t="s">
        <v>171</v>
      </c>
      <c r="C8" s="251" t="s">
        <v>220</v>
      </c>
      <c r="D8" s="129">
        <v>15</v>
      </c>
      <c r="E8" s="198">
        <v>18</v>
      </c>
      <c r="F8" s="169">
        <v>834183.41296290001</v>
      </c>
      <c r="G8" s="99">
        <v>0</v>
      </c>
      <c r="H8" s="169">
        <v>40409.5285</v>
      </c>
      <c r="I8" s="99">
        <f t="shared" si="6"/>
        <v>69967.43531703201</v>
      </c>
      <c r="J8" s="99">
        <f t="shared" si="0"/>
        <v>69967.43531703201</v>
      </c>
      <c r="K8" s="99">
        <f t="shared" si="1"/>
        <v>404.09528499999999</v>
      </c>
      <c r="L8" s="99">
        <f t="shared" si="2"/>
        <v>17491.858829258003</v>
      </c>
      <c r="M8" s="99">
        <f t="shared" si="3"/>
        <v>37782</v>
      </c>
      <c r="N8" s="209">
        <f t="shared" si="4"/>
        <v>32106.172986336664</v>
      </c>
      <c r="O8" s="232">
        <f t="shared" si="5"/>
        <v>1102312</v>
      </c>
    </row>
    <row r="9" spans="1:15" s="3" customFormat="1" ht="14.25" x14ac:dyDescent="0.25">
      <c r="A9" s="274"/>
      <c r="B9" s="44" t="s">
        <v>171</v>
      </c>
      <c r="C9" s="251" t="s">
        <v>221</v>
      </c>
      <c r="D9" s="129">
        <v>15</v>
      </c>
      <c r="E9" s="198">
        <v>514</v>
      </c>
      <c r="F9" s="169">
        <v>601183.33216777537</v>
      </c>
      <c r="G9" s="99">
        <v>0</v>
      </c>
      <c r="H9" s="169">
        <v>24578.853249999996</v>
      </c>
      <c r="I9" s="99">
        <f t="shared" si="6"/>
        <v>50060.974833422035</v>
      </c>
      <c r="J9" s="99">
        <f t="shared" si="0"/>
        <v>50060.974833422035</v>
      </c>
      <c r="K9" s="99">
        <f t="shared" si="1"/>
        <v>245.78853249999997</v>
      </c>
      <c r="L9" s="99">
        <f t="shared" si="2"/>
        <v>12515.243708355509</v>
      </c>
      <c r="M9" s="99">
        <f t="shared" si="3"/>
        <v>27033</v>
      </c>
      <c r="N9" s="209">
        <f>+SUM(F9:M9)*$N$4</f>
        <v>22970.345019764245</v>
      </c>
      <c r="O9" s="232">
        <f t="shared" si="5"/>
        <v>788649</v>
      </c>
    </row>
    <row r="10" spans="1:15" s="3" customFormat="1" ht="14.25" x14ac:dyDescent="0.25">
      <c r="A10" s="274"/>
      <c r="B10" s="44" t="s">
        <v>171</v>
      </c>
      <c r="C10" s="251" t="s">
        <v>222</v>
      </c>
      <c r="D10" s="129">
        <v>15</v>
      </c>
      <c r="E10" s="198">
        <v>16</v>
      </c>
      <c r="F10" s="169">
        <v>633145.92854692182</v>
      </c>
      <c r="G10" s="99">
        <v>0</v>
      </c>
      <c r="H10" s="169">
        <v>24578.853249999996</v>
      </c>
      <c r="I10" s="99">
        <f t="shared" si="6"/>
        <v>52617.982543753751</v>
      </c>
      <c r="J10" s="99">
        <f t="shared" si="0"/>
        <v>52617.982543753751</v>
      </c>
      <c r="K10" s="99">
        <f t="shared" si="1"/>
        <v>245.78853249999997</v>
      </c>
      <c r="L10" s="99">
        <f t="shared" si="2"/>
        <v>13154.495635938438</v>
      </c>
      <c r="M10" s="99">
        <f t="shared" si="3"/>
        <v>28414</v>
      </c>
      <c r="N10" s="209">
        <f t="shared" si="4"/>
        <v>24143.250931586037</v>
      </c>
      <c r="O10" s="232">
        <f t="shared" si="5"/>
        <v>828918</v>
      </c>
    </row>
    <row r="11" spans="1:15" s="3" customFormat="1" ht="14.25" x14ac:dyDescent="0.25">
      <c r="A11" s="274"/>
      <c r="B11" s="44" t="s">
        <v>171</v>
      </c>
      <c r="C11" s="251" t="s">
        <v>223</v>
      </c>
      <c r="D11" s="129">
        <v>15</v>
      </c>
      <c r="E11" s="198">
        <v>41</v>
      </c>
      <c r="F11" s="169">
        <v>705638.4151800375</v>
      </c>
      <c r="G11" s="99">
        <v>0</v>
      </c>
      <c r="H11" s="169">
        <v>24578.853249999996</v>
      </c>
      <c r="I11" s="99">
        <f t="shared" si="6"/>
        <v>58417.381474403002</v>
      </c>
      <c r="J11" s="99">
        <f t="shared" si="0"/>
        <v>58417.381474403002</v>
      </c>
      <c r="K11" s="99">
        <f t="shared" si="1"/>
        <v>245.78853249999997</v>
      </c>
      <c r="L11" s="99">
        <f t="shared" si="2"/>
        <v>14604.345368600751</v>
      </c>
      <c r="M11" s="99">
        <f t="shared" si="3"/>
        <v>31545</v>
      </c>
      <c r="N11" s="209">
        <f t="shared" si="4"/>
        <v>26803.414958398327</v>
      </c>
      <c r="O11" s="232">
        <f t="shared" si="5"/>
        <v>920251</v>
      </c>
    </row>
    <row r="12" spans="1:15" s="3" customFormat="1" ht="14.25" x14ac:dyDescent="0.25">
      <c r="A12" s="274"/>
      <c r="B12" s="44" t="s">
        <v>171</v>
      </c>
      <c r="C12" s="251" t="s">
        <v>224</v>
      </c>
      <c r="D12" s="129">
        <v>15</v>
      </c>
      <c r="E12" s="198">
        <v>2</v>
      </c>
      <c r="F12" s="169">
        <v>758671.66373759357</v>
      </c>
      <c r="G12" s="99">
        <v>0</v>
      </c>
      <c r="H12" s="169">
        <v>28527.03125</v>
      </c>
      <c r="I12" s="99">
        <f t="shared" si="6"/>
        <v>62975.89559900749</v>
      </c>
      <c r="J12" s="99">
        <f t="shared" si="0"/>
        <v>62975.89559900749</v>
      </c>
      <c r="K12" s="99">
        <f t="shared" si="1"/>
        <v>285.27031249999999</v>
      </c>
      <c r="L12" s="99">
        <f t="shared" si="2"/>
        <v>15743.973899751873</v>
      </c>
      <c r="M12" s="99">
        <f t="shared" si="3"/>
        <v>34007</v>
      </c>
      <c r="N12" s="209">
        <f t="shared" si="4"/>
        <v>28895.60191193581</v>
      </c>
      <c r="O12" s="232">
        <f t="shared" si="5"/>
        <v>992082</v>
      </c>
    </row>
    <row r="13" spans="1:15" s="3" customFormat="1" ht="14.25" x14ac:dyDescent="0.25">
      <c r="A13" s="274"/>
      <c r="B13" s="44" t="s">
        <v>171</v>
      </c>
      <c r="C13" s="251" t="s">
        <v>225</v>
      </c>
      <c r="D13" s="129">
        <v>15</v>
      </c>
      <c r="E13" s="198">
        <v>1</v>
      </c>
      <c r="F13" s="169">
        <v>831164.15037070925</v>
      </c>
      <c r="G13" s="99">
        <v>0</v>
      </c>
      <c r="H13" s="169">
        <v>28527.03125</v>
      </c>
      <c r="I13" s="99">
        <f t="shared" si="6"/>
        <v>68775.294529656734</v>
      </c>
      <c r="J13" s="99">
        <f t="shared" si="0"/>
        <v>68775.294529656734</v>
      </c>
      <c r="K13" s="99">
        <f t="shared" si="1"/>
        <v>285.27031249999999</v>
      </c>
      <c r="L13" s="99">
        <f t="shared" si="2"/>
        <v>17193.823632414184</v>
      </c>
      <c r="M13" s="99">
        <f t="shared" si="3"/>
        <v>37139</v>
      </c>
      <c r="N13" s="209">
        <f t="shared" si="4"/>
        <v>31555.79593874811</v>
      </c>
      <c r="O13" s="232">
        <f t="shared" si="5"/>
        <v>1083416</v>
      </c>
    </row>
    <row r="14" spans="1:15" s="3" customFormat="1" ht="14.25" x14ac:dyDescent="0.25">
      <c r="A14" s="274"/>
      <c r="B14" s="44" t="s">
        <v>171</v>
      </c>
      <c r="C14" s="251" t="s">
        <v>226</v>
      </c>
      <c r="D14" s="129">
        <v>15</v>
      </c>
      <c r="E14" s="198">
        <v>1</v>
      </c>
      <c r="F14" s="169">
        <v>464007.49802168843</v>
      </c>
      <c r="G14" s="99">
        <v>0</v>
      </c>
      <c r="H14" s="169">
        <v>28527.03125</v>
      </c>
      <c r="I14" s="99">
        <f t="shared" si="6"/>
        <v>39402.762341735077</v>
      </c>
      <c r="J14" s="99">
        <f t="shared" si="0"/>
        <v>39402.762341735077</v>
      </c>
      <c r="K14" s="99">
        <f t="shared" si="1"/>
        <v>285.27031249999999</v>
      </c>
      <c r="L14" s="99">
        <f t="shared" si="2"/>
        <v>9850.6905854337692</v>
      </c>
      <c r="M14" s="99">
        <f t="shared" si="3"/>
        <v>21277</v>
      </c>
      <c r="N14" s="209">
        <f t="shared" si="4"/>
        <v>18082.590445592767</v>
      </c>
      <c r="O14" s="232">
        <f t="shared" si="5"/>
        <v>620836</v>
      </c>
    </row>
    <row r="15" spans="1:15" s="3" customFormat="1" ht="14.25" x14ac:dyDescent="0.25">
      <c r="A15" s="274"/>
      <c r="B15" s="44" t="s">
        <v>171</v>
      </c>
      <c r="C15" s="251" t="s">
        <v>227</v>
      </c>
      <c r="D15" s="129">
        <v>15</v>
      </c>
      <c r="E15" s="198">
        <v>1</v>
      </c>
      <c r="F15" s="169">
        <v>505960.63</v>
      </c>
      <c r="G15" s="99">
        <v>0</v>
      </c>
      <c r="H15" s="169">
        <v>28527.03125</v>
      </c>
      <c r="I15" s="99">
        <f t="shared" si="6"/>
        <v>42759.012900000002</v>
      </c>
      <c r="J15" s="99">
        <f t="shared" si="0"/>
        <v>42759.012900000002</v>
      </c>
      <c r="K15" s="99">
        <f t="shared" si="1"/>
        <v>285.27031249999999</v>
      </c>
      <c r="L15" s="99">
        <f t="shared" si="2"/>
        <v>10689.753225</v>
      </c>
      <c r="M15" s="99">
        <f t="shared" si="3"/>
        <v>23090</v>
      </c>
      <c r="N15" s="209">
        <f t="shared" si="4"/>
        <v>19622.121317624995</v>
      </c>
      <c r="O15" s="232">
        <f t="shared" si="5"/>
        <v>673693</v>
      </c>
    </row>
    <row r="16" spans="1:15" s="3" customFormat="1" ht="14.25" x14ac:dyDescent="0.25">
      <c r="A16" s="274"/>
      <c r="B16" s="44" t="s">
        <v>171</v>
      </c>
      <c r="C16" s="251" t="s">
        <v>228</v>
      </c>
      <c r="D16" s="129">
        <v>15</v>
      </c>
      <c r="E16" s="198">
        <v>2</v>
      </c>
      <c r="F16" s="169">
        <v>950203.32154305768</v>
      </c>
      <c r="G16" s="99">
        <v>0</v>
      </c>
      <c r="H16" s="169">
        <v>28527.03125</v>
      </c>
      <c r="I16" s="99">
        <f t="shared" si="6"/>
        <v>78298.428223444615</v>
      </c>
      <c r="J16" s="99">
        <f t="shared" si="0"/>
        <v>78298.428223444615</v>
      </c>
      <c r="K16" s="99">
        <f t="shared" si="1"/>
        <v>285.27031249999999</v>
      </c>
      <c r="L16" s="99">
        <f t="shared" si="2"/>
        <v>19574.607055861154</v>
      </c>
      <c r="M16" s="99">
        <f t="shared" si="3"/>
        <v>42281</v>
      </c>
      <c r="N16" s="209">
        <f t="shared" si="4"/>
        <v>35924.042598249238</v>
      </c>
      <c r="O16" s="232">
        <f t="shared" si="5"/>
        <v>1233392</v>
      </c>
    </row>
    <row r="17" spans="1:15" s="3" customFormat="1" ht="14.25" x14ac:dyDescent="0.25">
      <c r="A17" s="274"/>
      <c r="B17" s="44" t="s">
        <v>171</v>
      </c>
      <c r="C17" s="251" t="s">
        <v>229</v>
      </c>
      <c r="D17" s="129">
        <v>15</v>
      </c>
      <c r="E17" s="198">
        <v>6</v>
      </c>
      <c r="F17" s="169">
        <v>978376.53793910926</v>
      </c>
      <c r="G17" s="99">
        <v>0</v>
      </c>
      <c r="H17" s="169">
        <v>28527.03125</v>
      </c>
      <c r="I17" s="99">
        <f t="shared" si="6"/>
        <v>80552.285535128744</v>
      </c>
      <c r="J17" s="99">
        <f t="shared" si="0"/>
        <v>80552.285535128744</v>
      </c>
      <c r="K17" s="99">
        <f t="shared" si="1"/>
        <v>285.27031249999999</v>
      </c>
      <c r="L17" s="99">
        <f t="shared" si="2"/>
        <v>20138.071383782186</v>
      </c>
      <c r="M17" s="99">
        <f t="shared" si="3"/>
        <v>43498</v>
      </c>
      <c r="N17" s="209">
        <f t="shared" si="4"/>
        <v>36957.884458669461</v>
      </c>
      <c r="O17" s="232">
        <f t="shared" si="5"/>
        <v>1268887</v>
      </c>
    </row>
    <row r="18" spans="1:15" s="3" customFormat="1" ht="14.25" x14ac:dyDescent="0.25">
      <c r="A18" s="274"/>
      <c r="B18" s="44" t="s">
        <v>171</v>
      </c>
      <c r="C18" s="251" t="s">
        <v>230</v>
      </c>
      <c r="D18" s="129">
        <v>15</v>
      </c>
      <c r="E18" s="198">
        <v>2</v>
      </c>
      <c r="F18" s="169">
        <v>524407.19859724818</v>
      </c>
      <c r="G18" s="99">
        <v>0</v>
      </c>
      <c r="H18" s="169">
        <v>24578.853249999996</v>
      </c>
      <c r="I18" s="99">
        <f t="shared" si="6"/>
        <v>43918.884147779856</v>
      </c>
      <c r="J18" s="99">
        <f t="shared" si="0"/>
        <v>43918.884147779856</v>
      </c>
      <c r="K18" s="99">
        <f t="shared" si="1"/>
        <v>245.78853249999997</v>
      </c>
      <c r="L18" s="99">
        <f t="shared" si="2"/>
        <v>10979.721036944964</v>
      </c>
      <c r="M18" s="99">
        <f t="shared" si="3"/>
        <v>23716</v>
      </c>
      <c r="N18" s="209">
        <f t="shared" si="4"/>
        <v>20152.959891367591</v>
      </c>
      <c r="O18" s="232">
        <f t="shared" si="5"/>
        <v>691918</v>
      </c>
    </row>
    <row r="19" spans="1:15" s="3" customFormat="1" ht="14.25" x14ac:dyDescent="0.25">
      <c r="A19" s="274"/>
      <c r="B19" s="44" t="s">
        <v>171</v>
      </c>
      <c r="C19" s="251" t="s">
        <v>231</v>
      </c>
      <c r="D19" s="129">
        <v>15</v>
      </c>
      <c r="E19" s="198">
        <v>21</v>
      </c>
      <c r="F19" s="169">
        <v>820619.85530000005</v>
      </c>
      <c r="G19" s="99">
        <v>0</v>
      </c>
      <c r="H19" s="169">
        <v>95466.6</v>
      </c>
      <c r="I19" s="99">
        <f t="shared" si="6"/>
        <v>73286.91642400001</v>
      </c>
      <c r="J19" s="99">
        <f t="shared" si="0"/>
        <v>73286.91642400001</v>
      </c>
      <c r="K19" s="99">
        <f t="shared" si="1"/>
        <v>954.66600000000005</v>
      </c>
      <c r="L19" s="99">
        <f t="shared" si="2"/>
        <v>18321.729106000003</v>
      </c>
      <c r="M19" s="99">
        <f t="shared" si="3"/>
        <v>39575</v>
      </c>
      <c r="N19" s="209">
        <f t="shared" si="4"/>
        <v>33645.350497619998</v>
      </c>
      <c r="O19" s="232">
        <f t="shared" si="5"/>
        <v>1155157</v>
      </c>
    </row>
    <row r="20" spans="1:15" s="3" customFormat="1" ht="14.25" x14ac:dyDescent="0.25">
      <c r="A20" s="274"/>
      <c r="B20" s="44" t="s">
        <v>171</v>
      </c>
      <c r="C20" s="251" t="s">
        <v>232</v>
      </c>
      <c r="D20" s="129">
        <v>15</v>
      </c>
      <c r="E20" s="198">
        <v>6</v>
      </c>
      <c r="F20" s="169">
        <v>1082880.5077999998</v>
      </c>
      <c r="G20" s="99">
        <v>0</v>
      </c>
      <c r="H20" s="169">
        <v>102216.6</v>
      </c>
      <c r="I20" s="99">
        <f t="shared" si="6"/>
        <v>94807.768623999989</v>
      </c>
      <c r="J20" s="99">
        <f t="shared" si="0"/>
        <v>94807.768623999989</v>
      </c>
      <c r="K20" s="99">
        <f t="shared" si="1"/>
        <v>1022.1660000000001</v>
      </c>
      <c r="L20" s="99">
        <f t="shared" si="2"/>
        <v>23701.942155999997</v>
      </c>
      <c r="M20" s="99">
        <f t="shared" si="3"/>
        <v>51196</v>
      </c>
      <c r="N20" s="209">
        <f t="shared" si="4"/>
        <v>43518.982596119997</v>
      </c>
      <c r="O20" s="232">
        <f t="shared" si="5"/>
        <v>1494152</v>
      </c>
    </row>
    <row r="21" spans="1:15" s="3" customFormat="1" ht="14.25" x14ac:dyDescent="0.25">
      <c r="A21" s="274"/>
      <c r="B21" s="44" t="s">
        <v>171</v>
      </c>
      <c r="C21" s="251" t="s">
        <v>233</v>
      </c>
      <c r="D21" s="129">
        <v>15</v>
      </c>
      <c r="E21" s="198">
        <v>8</v>
      </c>
      <c r="F21" s="169">
        <v>1275601.0078000003</v>
      </c>
      <c r="G21" s="99">
        <v>0</v>
      </c>
      <c r="H21" s="169">
        <v>102216.6</v>
      </c>
      <c r="I21" s="99">
        <f t="shared" si="6"/>
        <v>110225.40862400003</v>
      </c>
      <c r="J21" s="99">
        <f t="shared" si="0"/>
        <v>110225.40862400003</v>
      </c>
      <c r="K21" s="99">
        <f t="shared" si="1"/>
        <v>1022.1660000000001</v>
      </c>
      <c r="L21" s="99">
        <f t="shared" si="2"/>
        <v>27556.352156000008</v>
      </c>
      <c r="M21" s="99">
        <f t="shared" si="3"/>
        <v>59522</v>
      </c>
      <c r="N21" s="209">
        <f t="shared" si="4"/>
        <v>50591.06829612</v>
      </c>
      <c r="O21" s="232">
        <f t="shared" si="5"/>
        <v>1736960</v>
      </c>
    </row>
    <row r="22" spans="1:15" s="3" customFormat="1" ht="14.25" x14ac:dyDescent="0.25">
      <c r="A22" s="274"/>
      <c r="B22" s="252" t="s">
        <v>171</v>
      </c>
      <c r="C22" s="253" t="s">
        <v>234</v>
      </c>
      <c r="D22" s="254">
        <v>15</v>
      </c>
      <c r="E22" s="255">
        <v>569</v>
      </c>
      <c r="F22" s="256">
        <v>808347.80530000001</v>
      </c>
      <c r="G22" s="257">
        <v>0</v>
      </c>
      <c r="H22" s="256">
        <v>95466.6</v>
      </c>
      <c r="I22" s="257">
        <f>+(F22+G22+H22)*$I$4</f>
        <v>72305.152424</v>
      </c>
      <c r="J22" s="257">
        <f t="shared" si="0"/>
        <v>72305.152424</v>
      </c>
      <c r="K22" s="257">
        <f t="shared" si="1"/>
        <v>954.66600000000005</v>
      </c>
      <c r="L22" s="257">
        <f t="shared" si="2"/>
        <v>18076.288106</v>
      </c>
      <c r="M22" s="257">
        <f t="shared" si="3"/>
        <v>39045</v>
      </c>
      <c r="N22" s="258">
        <f t="shared" si="4"/>
        <v>33195.01992762</v>
      </c>
      <c r="O22" s="259">
        <f>+ROUND((F22+G22+H22+I22+J22+K22+L22+M22+N22),0)</f>
        <v>1139696</v>
      </c>
    </row>
    <row r="23" spans="1:15" s="3" customFormat="1" ht="14.25" x14ac:dyDescent="0.25">
      <c r="A23" s="274"/>
      <c r="B23" s="252" t="s">
        <v>171</v>
      </c>
      <c r="C23" s="253" t="s">
        <v>235</v>
      </c>
      <c r="D23" s="254">
        <v>15</v>
      </c>
      <c r="E23" s="255">
        <v>120</v>
      </c>
      <c r="F23" s="256">
        <v>827619.85530000005</v>
      </c>
      <c r="G23" s="257">
        <v>0</v>
      </c>
      <c r="H23" s="256">
        <v>95466.6</v>
      </c>
      <c r="I23" s="257">
        <f t="shared" si="6"/>
        <v>73846.91642400001</v>
      </c>
      <c r="J23" s="257">
        <f t="shared" si="0"/>
        <v>73846.91642400001</v>
      </c>
      <c r="K23" s="257">
        <f t="shared" si="1"/>
        <v>954.66600000000005</v>
      </c>
      <c r="L23" s="257">
        <f t="shared" si="2"/>
        <v>18461.729106000003</v>
      </c>
      <c r="M23" s="257">
        <f t="shared" si="3"/>
        <v>39877</v>
      </c>
      <c r="N23" s="258">
        <f t="shared" si="4"/>
        <v>33902.210497619999</v>
      </c>
      <c r="O23" s="259">
        <f t="shared" si="5"/>
        <v>1163976</v>
      </c>
    </row>
    <row r="24" spans="1:15" s="3" customFormat="1" ht="14.25" x14ac:dyDescent="0.25">
      <c r="A24" s="274"/>
      <c r="B24" s="252" t="s">
        <v>171</v>
      </c>
      <c r="C24" s="253" t="s">
        <v>236</v>
      </c>
      <c r="D24" s="254">
        <v>15</v>
      </c>
      <c r="E24" s="255">
        <v>66</v>
      </c>
      <c r="F24" s="256">
        <v>853848.64530000009</v>
      </c>
      <c r="G24" s="257">
        <v>0</v>
      </c>
      <c r="H24" s="256">
        <v>95466.6</v>
      </c>
      <c r="I24" s="257">
        <f t="shared" si="6"/>
        <v>75945.219624000005</v>
      </c>
      <c r="J24" s="257">
        <f t="shared" si="0"/>
        <v>75945.219624000005</v>
      </c>
      <c r="K24" s="257">
        <f t="shared" si="1"/>
        <v>954.66600000000005</v>
      </c>
      <c r="L24" s="257">
        <f t="shared" si="2"/>
        <v>18986.304906000001</v>
      </c>
      <c r="M24" s="257">
        <f t="shared" si="3"/>
        <v>41010</v>
      </c>
      <c r="N24" s="258">
        <f t="shared" si="4"/>
        <v>34864.699663619998</v>
      </c>
      <c r="O24" s="259">
        <f t="shared" si="5"/>
        <v>1197021</v>
      </c>
    </row>
    <row r="25" spans="1:15" s="3" customFormat="1" ht="14.25" x14ac:dyDescent="0.25">
      <c r="A25" s="274"/>
      <c r="B25" s="252" t="s">
        <v>171</v>
      </c>
      <c r="C25" s="253" t="s">
        <v>237</v>
      </c>
      <c r="D25" s="254">
        <v>15</v>
      </c>
      <c r="E25" s="255">
        <v>11</v>
      </c>
      <c r="F25" s="256">
        <v>1179240.7578</v>
      </c>
      <c r="G25" s="257">
        <v>0</v>
      </c>
      <c r="H25" s="256">
        <v>102216.6</v>
      </c>
      <c r="I25" s="257">
        <f t="shared" si="6"/>
        <v>102516.58862400001</v>
      </c>
      <c r="J25" s="257">
        <f t="shared" si="0"/>
        <v>102516.58862400001</v>
      </c>
      <c r="K25" s="257">
        <f t="shared" si="1"/>
        <v>1022.1660000000001</v>
      </c>
      <c r="L25" s="257">
        <f t="shared" si="2"/>
        <v>25629.147156000003</v>
      </c>
      <c r="M25" s="257">
        <f t="shared" si="3"/>
        <v>55359</v>
      </c>
      <c r="N25" s="258">
        <f t="shared" si="4"/>
        <v>47055.025446120002</v>
      </c>
      <c r="O25" s="259">
        <f t="shared" si="5"/>
        <v>1615556</v>
      </c>
    </row>
    <row r="26" spans="1:15" s="1" customFormat="1" ht="14.25" x14ac:dyDescent="0.25">
      <c r="A26" s="274"/>
      <c r="B26" s="252" t="s">
        <v>171</v>
      </c>
      <c r="C26" s="260" t="s">
        <v>238</v>
      </c>
      <c r="D26" s="261">
        <v>30</v>
      </c>
      <c r="E26" s="262">
        <v>34</v>
      </c>
      <c r="F26" s="257">
        <v>1371961.2578</v>
      </c>
      <c r="G26" s="257">
        <v>0</v>
      </c>
      <c r="H26" s="257">
        <v>102216.6</v>
      </c>
      <c r="I26" s="257">
        <f t="shared" si="6"/>
        <v>117934.22862400001</v>
      </c>
      <c r="J26" s="257">
        <f t="shared" si="0"/>
        <v>117934.22862400001</v>
      </c>
      <c r="K26" s="257">
        <f t="shared" si="1"/>
        <v>1022.1660000000001</v>
      </c>
      <c r="L26" s="257">
        <f t="shared" si="2"/>
        <v>29483.557156000003</v>
      </c>
      <c r="M26" s="257">
        <f t="shared" si="3"/>
        <v>63684</v>
      </c>
      <c r="N26" s="258">
        <f t="shared" si="4"/>
        <v>54127.081146119999</v>
      </c>
      <c r="O26" s="259">
        <f t="shared" si="5"/>
        <v>1858363</v>
      </c>
    </row>
    <row r="27" spans="1:15" s="1" customFormat="1" ht="14.25" x14ac:dyDescent="0.25">
      <c r="A27" s="275"/>
      <c r="B27" s="252" t="s">
        <v>171</v>
      </c>
      <c r="C27" s="260" t="s">
        <v>239</v>
      </c>
      <c r="D27" s="261">
        <v>30</v>
      </c>
      <c r="E27" s="262">
        <v>30</v>
      </c>
      <c r="F27" s="257">
        <v>2219931.4578</v>
      </c>
      <c r="G27" s="257">
        <v>0</v>
      </c>
      <c r="H27" s="257">
        <v>102216.6</v>
      </c>
      <c r="I27" s="257">
        <f t="shared" si="6"/>
        <v>185771.84462400002</v>
      </c>
      <c r="J27" s="257">
        <f t="shared" si="0"/>
        <v>185771.84462400002</v>
      </c>
      <c r="K27" s="257">
        <f t="shared" si="1"/>
        <v>1022.1660000000001</v>
      </c>
      <c r="L27" s="257">
        <f t="shared" si="2"/>
        <v>46442.961156000005</v>
      </c>
      <c r="M27" s="257">
        <f t="shared" si="3"/>
        <v>100317</v>
      </c>
      <c r="N27" s="258">
        <f t="shared" si="4"/>
        <v>85244.216226120014</v>
      </c>
      <c r="O27" s="259">
        <f t="shared" si="5"/>
        <v>2926718</v>
      </c>
    </row>
    <row r="28" spans="1:15" s="1" customFormat="1" ht="14.25" x14ac:dyDescent="0.25">
      <c r="A28" s="44" t="s">
        <v>258</v>
      </c>
      <c r="B28" s="261" t="s">
        <v>256</v>
      </c>
      <c r="C28" s="260" t="s">
        <v>240</v>
      </c>
      <c r="D28" s="261">
        <v>30</v>
      </c>
      <c r="E28" s="262">
        <v>1</v>
      </c>
      <c r="F28" s="257">
        <v>6169120.0549999997</v>
      </c>
      <c r="G28" s="257">
        <v>0</v>
      </c>
      <c r="H28" s="257">
        <v>779253.125</v>
      </c>
      <c r="I28" s="257">
        <f t="shared" si="6"/>
        <v>555869.85439999995</v>
      </c>
      <c r="J28" s="257">
        <f t="shared" si="0"/>
        <v>555869.85439999995</v>
      </c>
      <c r="K28" s="257">
        <f t="shared" si="1"/>
        <v>7792.53125</v>
      </c>
      <c r="L28" s="257">
        <f t="shared" si="2"/>
        <v>138967.46359999999</v>
      </c>
      <c r="M28" s="257">
        <f t="shared" si="3"/>
        <v>300170</v>
      </c>
      <c r="N28" s="258">
        <f t="shared" si="4"/>
        <v>255211.28650949997</v>
      </c>
      <c r="O28" s="259">
        <f t="shared" si="5"/>
        <v>8762254</v>
      </c>
    </row>
    <row r="29" spans="1:15" s="1" customFormat="1" ht="14.25" x14ac:dyDescent="0.25">
      <c r="A29" s="271" t="s">
        <v>23</v>
      </c>
      <c r="B29" s="261" t="s">
        <v>255</v>
      </c>
      <c r="C29" s="260" t="s">
        <v>241</v>
      </c>
      <c r="D29" s="261">
        <v>30</v>
      </c>
      <c r="E29" s="262">
        <v>18</v>
      </c>
      <c r="F29" s="257">
        <v>618973.74</v>
      </c>
      <c r="G29" s="257">
        <v>0</v>
      </c>
      <c r="H29" s="257">
        <v>89285.3125</v>
      </c>
      <c r="I29" s="257">
        <f t="shared" ref="I29" si="7">+(F29+G29+H29)*$I$4</f>
        <v>56660.724199999997</v>
      </c>
      <c r="J29" s="257">
        <f t="shared" ref="J29" si="8">+(F29+G29+H29)*$J$4</f>
        <v>56660.724199999997</v>
      </c>
      <c r="K29" s="257">
        <f t="shared" ref="K29" si="9">+H29*$K$4</f>
        <v>892.85312499999998</v>
      </c>
      <c r="L29" s="257">
        <f t="shared" ref="L29" si="10">+(F29+G29+H29)*$L$4</f>
        <v>14165.181049999999</v>
      </c>
      <c r="M29" s="257">
        <f t="shared" ref="M29" si="11">+ROUND(((F29+G29+H29+I29)*$M$4),0)</f>
        <v>30597</v>
      </c>
      <c r="N29" s="258">
        <f t="shared" ref="N29" si="12">+SUM(F29:M29)*$N$4</f>
        <v>26017.066052250004</v>
      </c>
      <c r="O29" s="259">
        <f t="shared" ref="O29" si="13">+ROUND((F29+G29+H29+I29+J29+K29+L29+M29+N29),0)</f>
        <v>893253</v>
      </c>
    </row>
    <row r="30" spans="1:15" s="1" customFormat="1" ht="14.25" x14ac:dyDescent="0.25">
      <c r="A30" s="272"/>
      <c r="B30" s="73" t="s">
        <v>255</v>
      </c>
      <c r="C30" s="78" t="s">
        <v>132</v>
      </c>
      <c r="D30" s="73">
        <v>30</v>
      </c>
      <c r="E30" s="199">
        <v>18</v>
      </c>
      <c r="F30" s="99">
        <v>608407.32224785723</v>
      </c>
      <c r="G30" s="99">
        <v>0</v>
      </c>
      <c r="H30" s="99">
        <v>89285.3125</v>
      </c>
      <c r="I30" s="99">
        <f t="shared" si="6"/>
        <v>55815.410779828577</v>
      </c>
      <c r="J30" s="99">
        <f t="shared" si="0"/>
        <v>55815.410779828577</v>
      </c>
      <c r="K30" s="99">
        <f t="shared" si="1"/>
        <v>892.85312499999998</v>
      </c>
      <c r="L30" s="99">
        <f t="shared" si="2"/>
        <v>13953.852694957144</v>
      </c>
      <c r="M30" s="99">
        <f t="shared" si="3"/>
        <v>30140</v>
      </c>
      <c r="N30" s="209">
        <f t="shared" si="4"/>
        <v>25629.304863824145</v>
      </c>
      <c r="O30" s="232">
        <f t="shared" si="5"/>
        <v>879939</v>
      </c>
    </row>
    <row r="31" spans="1:15" s="1" customFormat="1" ht="14.25" x14ac:dyDescent="0.25">
      <c r="A31" s="272"/>
      <c r="B31" s="261" t="s">
        <v>255</v>
      </c>
      <c r="C31" s="260" t="s">
        <v>242</v>
      </c>
      <c r="D31" s="261">
        <v>30</v>
      </c>
      <c r="E31" s="262">
        <v>20</v>
      </c>
      <c r="F31" s="257">
        <v>545496</v>
      </c>
      <c r="G31" s="257">
        <v>0</v>
      </c>
      <c r="H31" s="257">
        <v>194995.80840000001</v>
      </c>
      <c r="I31" s="257">
        <f t="shared" si="6"/>
        <v>59239.344671999999</v>
      </c>
      <c r="J31" s="257">
        <f t="shared" si="0"/>
        <v>59239.344671999999</v>
      </c>
      <c r="K31" s="257">
        <f t="shared" si="1"/>
        <v>1949.9580840000001</v>
      </c>
      <c r="L31" s="257">
        <f t="shared" si="2"/>
        <v>14809.836168</v>
      </c>
      <c r="M31" s="257">
        <f t="shared" si="3"/>
        <v>31989</v>
      </c>
      <c r="N31" s="258">
        <f t="shared" si="4"/>
        <v>27231.578759880002</v>
      </c>
      <c r="O31" s="259">
        <f t="shared" si="5"/>
        <v>934951</v>
      </c>
    </row>
    <row r="32" spans="1:15" s="1" customFormat="1" ht="14.25" x14ac:dyDescent="0.25">
      <c r="A32" s="272"/>
      <c r="B32" s="261" t="s">
        <v>255</v>
      </c>
      <c r="C32" s="260" t="s">
        <v>243</v>
      </c>
      <c r="D32" s="261">
        <v>30</v>
      </c>
      <c r="E32" s="262">
        <v>10</v>
      </c>
      <c r="F32" s="257">
        <v>790636</v>
      </c>
      <c r="G32" s="257">
        <v>0</v>
      </c>
      <c r="H32" s="257">
        <v>194995.80840000001</v>
      </c>
      <c r="I32" s="257">
        <f t="shared" si="6"/>
        <v>78850.544672000004</v>
      </c>
      <c r="J32" s="257">
        <f t="shared" si="0"/>
        <v>78850.544672000004</v>
      </c>
      <c r="K32" s="257">
        <f t="shared" si="1"/>
        <v>1949.9580840000001</v>
      </c>
      <c r="L32" s="257">
        <f t="shared" si="2"/>
        <v>19712.636168000001</v>
      </c>
      <c r="M32" s="257">
        <f t="shared" si="3"/>
        <v>42579</v>
      </c>
      <c r="N32" s="258">
        <f t="shared" si="4"/>
        <v>36227.234759879997</v>
      </c>
      <c r="O32" s="259">
        <f t="shared" si="5"/>
        <v>1243802</v>
      </c>
    </row>
    <row r="33" spans="1:15" s="1" customFormat="1" ht="14.25" x14ac:dyDescent="0.25">
      <c r="A33" s="272"/>
      <c r="B33" s="73" t="s">
        <v>255</v>
      </c>
      <c r="C33" s="78" t="s">
        <v>244</v>
      </c>
      <c r="D33" s="73">
        <v>30</v>
      </c>
      <c r="E33" s="199">
        <v>4</v>
      </c>
      <c r="F33" s="99">
        <v>1245454</v>
      </c>
      <c r="G33" s="99">
        <v>0</v>
      </c>
      <c r="H33" s="99">
        <v>194995.80840000001</v>
      </c>
      <c r="I33" s="99">
        <f t="shared" si="6"/>
        <v>115235.98467200001</v>
      </c>
      <c r="J33" s="99">
        <f t="shared" si="0"/>
        <v>115235.98467200001</v>
      </c>
      <c r="K33" s="99">
        <f t="shared" si="1"/>
        <v>1949.9580840000001</v>
      </c>
      <c r="L33" s="99">
        <f t="shared" si="2"/>
        <v>28808.996168000001</v>
      </c>
      <c r="M33" s="99">
        <f t="shared" si="3"/>
        <v>62227</v>
      </c>
      <c r="N33" s="209">
        <f t="shared" si="4"/>
        <v>52917.231959879995</v>
      </c>
      <c r="O33" s="232">
        <f t="shared" si="5"/>
        <v>1816825</v>
      </c>
    </row>
    <row r="34" spans="1:15" s="1" customFormat="1" ht="14.25" customHeight="1" x14ac:dyDescent="0.25">
      <c r="A34" s="273"/>
      <c r="B34" s="261" t="s">
        <v>255</v>
      </c>
      <c r="C34" s="260" t="s">
        <v>245</v>
      </c>
      <c r="D34" s="261">
        <v>30</v>
      </c>
      <c r="E34" s="262">
        <v>5</v>
      </c>
      <c r="F34" s="257">
        <v>1971592</v>
      </c>
      <c r="G34" s="257">
        <v>0</v>
      </c>
      <c r="H34" s="257">
        <v>457082.06660000002</v>
      </c>
      <c r="I34" s="257">
        <f t="shared" si="6"/>
        <v>194293.92532800001</v>
      </c>
      <c r="J34" s="257">
        <f t="shared" si="0"/>
        <v>194293.92532800001</v>
      </c>
      <c r="K34" s="257">
        <f t="shared" si="1"/>
        <v>4570.8206660000005</v>
      </c>
      <c r="L34" s="257">
        <f t="shared" si="2"/>
        <v>48573.481332000003</v>
      </c>
      <c r="M34" s="257">
        <f t="shared" si="3"/>
        <v>104919</v>
      </c>
      <c r="N34" s="258">
        <f t="shared" si="4"/>
        <v>89259.756577619992</v>
      </c>
      <c r="O34" s="259">
        <f t="shared" si="5"/>
        <v>3064585</v>
      </c>
    </row>
    <row r="35" spans="1:15" s="1" customFormat="1" ht="14.25" x14ac:dyDescent="0.25">
      <c r="A35" s="268" t="s">
        <v>47</v>
      </c>
      <c r="B35" s="73" t="s">
        <v>257</v>
      </c>
      <c r="C35" s="78" t="s">
        <v>246</v>
      </c>
      <c r="D35" s="73">
        <v>30</v>
      </c>
      <c r="E35" s="74">
        <f>153/500</f>
        <v>0.30599999999999999</v>
      </c>
      <c r="F35" s="99">
        <v>1466460.8</v>
      </c>
      <c r="G35" s="99">
        <v>0</v>
      </c>
      <c r="H35" s="99">
        <v>3723496.55</v>
      </c>
      <c r="I35" s="99">
        <f t="shared" si="6"/>
        <v>415196.58799999999</v>
      </c>
      <c r="J35" s="99">
        <f t="shared" si="0"/>
        <v>415196.58799999999</v>
      </c>
      <c r="K35" s="99">
        <f t="shared" si="1"/>
        <v>37234.965499999998</v>
      </c>
      <c r="L35" s="99">
        <f t="shared" si="2"/>
        <v>103799.147</v>
      </c>
      <c r="M35" s="99">
        <f t="shared" si="3"/>
        <v>224206</v>
      </c>
      <c r="N35" s="209">
        <f t="shared" si="4"/>
        <v>191567.71915499994</v>
      </c>
      <c r="O35" s="232">
        <f t="shared" si="5"/>
        <v>6577158</v>
      </c>
    </row>
    <row r="36" spans="1:15" s="1" customFormat="1" ht="14.25" x14ac:dyDescent="0.25">
      <c r="A36" s="269"/>
      <c r="B36" s="261" t="s">
        <v>257</v>
      </c>
      <c r="C36" s="260" t="s">
        <v>247</v>
      </c>
      <c r="D36" s="261">
        <v>30</v>
      </c>
      <c r="E36" s="261">
        <f>40/500</f>
        <v>0.08</v>
      </c>
      <c r="F36" s="257">
        <v>3757103.7</v>
      </c>
      <c r="G36" s="257">
        <v>0</v>
      </c>
      <c r="H36" s="257">
        <v>7525030.2750000004</v>
      </c>
      <c r="I36" s="257">
        <f t="shared" si="6"/>
        <v>902570.71800000011</v>
      </c>
      <c r="J36" s="257">
        <f t="shared" si="0"/>
        <v>902570.71800000011</v>
      </c>
      <c r="K36" s="257">
        <f t="shared" si="1"/>
        <v>75250.302750000003</v>
      </c>
      <c r="L36" s="257">
        <f t="shared" si="2"/>
        <v>225642.67950000003</v>
      </c>
      <c r="M36" s="257">
        <f t="shared" si="3"/>
        <v>487388</v>
      </c>
      <c r="N36" s="258">
        <f t="shared" si="4"/>
        <v>416266.69179750007</v>
      </c>
      <c r="O36" s="259">
        <f t="shared" si="5"/>
        <v>14291823</v>
      </c>
    </row>
    <row r="37" spans="1:15" s="1" customFormat="1" ht="14.25" x14ac:dyDescent="0.25">
      <c r="A37" s="270"/>
      <c r="B37" s="261" t="s">
        <v>257</v>
      </c>
      <c r="C37" s="260" t="s">
        <v>97</v>
      </c>
      <c r="D37" s="261">
        <v>30</v>
      </c>
      <c r="E37" s="262">
        <v>38</v>
      </c>
      <c r="F37" s="257">
        <v>144942</v>
      </c>
      <c r="G37" s="257">
        <v>0</v>
      </c>
      <c r="H37" s="257">
        <v>138232.0625</v>
      </c>
      <c r="I37" s="257">
        <f t="shared" si="6"/>
        <v>22653.924999999999</v>
      </c>
      <c r="J37" s="257">
        <f t="shared" si="0"/>
        <v>22653.924999999999</v>
      </c>
      <c r="K37" s="257">
        <f t="shared" si="1"/>
        <v>1382.3206250000001</v>
      </c>
      <c r="L37" s="257">
        <f t="shared" si="2"/>
        <v>5663.4812499999998</v>
      </c>
      <c r="M37" s="257">
        <f t="shared" si="3"/>
        <v>12233</v>
      </c>
      <c r="N37" s="258">
        <f t="shared" si="4"/>
        <v>10432.821431249999</v>
      </c>
      <c r="O37" s="259">
        <f t="shared" si="5"/>
        <v>358194</v>
      </c>
    </row>
    <row r="38" spans="1:15" s="1" customFormat="1" ht="14.25" x14ac:dyDescent="0.25">
      <c r="A38" s="271" t="s">
        <v>13</v>
      </c>
      <c r="B38" s="261" t="s">
        <v>172</v>
      </c>
      <c r="C38" s="260" t="s">
        <v>248</v>
      </c>
      <c r="D38" s="261">
        <v>30</v>
      </c>
      <c r="E38" s="264">
        <f>782/500</f>
        <v>1.5640000000000001</v>
      </c>
      <c r="F38" s="257">
        <v>3927000</v>
      </c>
      <c r="G38" s="257">
        <v>0</v>
      </c>
      <c r="H38" s="257">
        <v>2330086.6</v>
      </c>
      <c r="I38" s="257">
        <f t="shared" si="6"/>
        <v>500566.92799999996</v>
      </c>
      <c r="J38" s="257">
        <f t="shared" si="0"/>
        <v>500566.92799999996</v>
      </c>
      <c r="K38" s="257">
        <f t="shared" si="1"/>
        <v>23300.866000000002</v>
      </c>
      <c r="L38" s="257">
        <f t="shared" si="2"/>
        <v>125141.73199999999</v>
      </c>
      <c r="M38" s="257">
        <f t="shared" si="3"/>
        <v>270306</v>
      </c>
      <c r="N38" s="258">
        <f t="shared" si="4"/>
        <v>230309.07162</v>
      </c>
      <c r="O38" s="259">
        <f t="shared" si="5"/>
        <v>7907278</v>
      </c>
    </row>
    <row r="39" spans="1:15" s="1" customFormat="1" ht="14.25" x14ac:dyDescent="0.25">
      <c r="A39" s="272"/>
      <c r="B39" s="261" t="s">
        <v>172</v>
      </c>
      <c r="C39" s="260" t="s">
        <v>249</v>
      </c>
      <c r="D39" s="261">
        <v>30</v>
      </c>
      <c r="E39" s="261">
        <f>390/500</f>
        <v>0.78</v>
      </c>
      <c r="F39" s="257">
        <v>5090225</v>
      </c>
      <c r="G39" s="257">
        <v>0</v>
      </c>
      <c r="H39" s="257">
        <v>2330086.6</v>
      </c>
      <c r="I39" s="257">
        <f t="shared" si="6"/>
        <v>593624.92799999996</v>
      </c>
      <c r="J39" s="257">
        <f t="shared" si="0"/>
        <v>593624.92799999996</v>
      </c>
      <c r="K39" s="257">
        <f t="shared" si="1"/>
        <v>23300.866000000002</v>
      </c>
      <c r="L39" s="257">
        <f t="shared" si="2"/>
        <v>148406.23199999999</v>
      </c>
      <c r="M39" s="257">
        <f t="shared" si="3"/>
        <v>320557</v>
      </c>
      <c r="N39" s="258">
        <f t="shared" si="4"/>
        <v>272994.76662000001</v>
      </c>
      <c r="O39" s="259">
        <f t="shared" si="5"/>
        <v>9372820</v>
      </c>
    </row>
    <row r="40" spans="1:15" s="1" customFormat="1" ht="14.25" x14ac:dyDescent="0.25">
      <c r="A40" s="272"/>
      <c r="B40" s="73" t="s">
        <v>172</v>
      </c>
      <c r="C40" s="78" t="s">
        <v>250</v>
      </c>
      <c r="D40" s="73">
        <v>30</v>
      </c>
      <c r="E40" s="74">
        <f>113/500</f>
        <v>0.22600000000000001</v>
      </c>
      <c r="F40" s="99">
        <v>3828090.0559999999</v>
      </c>
      <c r="G40" s="99">
        <v>0</v>
      </c>
      <c r="H40" s="99">
        <v>6208818.3250000002</v>
      </c>
      <c r="I40" s="99">
        <f t="shared" si="6"/>
        <v>802952.67048000009</v>
      </c>
      <c r="J40" s="99">
        <f t="shared" si="0"/>
        <v>802952.67048000009</v>
      </c>
      <c r="K40" s="99">
        <f t="shared" si="1"/>
        <v>62088.183250000002</v>
      </c>
      <c r="L40" s="99">
        <f t="shared" si="2"/>
        <v>200738.16762000002</v>
      </c>
      <c r="M40" s="99">
        <f t="shared" si="3"/>
        <v>433594</v>
      </c>
      <c r="N40" s="209">
        <f t="shared" si="4"/>
        <v>370177.02218490001</v>
      </c>
      <c r="O40" s="232">
        <f t="shared" si="5"/>
        <v>12709411</v>
      </c>
    </row>
    <row r="41" spans="1:15" s="1" customFormat="1" ht="14.25" x14ac:dyDescent="0.25">
      <c r="A41" s="272"/>
      <c r="B41" s="73" t="s">
        <v>172</v>
      </c>
      <c r="C41" s="78" t="s">
        <v>251</v>
      </c>
      <c r="D41" s="73">
        <v>30</v>
      </c>
      <c r="E41" s="74">
        <f>459/500</f>
        <v>0.91800000000000004</v>
      </c>
      <c r="F41" s="99">
        <v>1280440</v>
      </c>
      <c r="G41" s="99">
        <v>0</v>
      </c>
      <c r="H41" s="99">
        <v>1940357.575</v>
      </c>
      <c r="I41" s="99">
        <f t="shared" si="6"/>
        <v>257663.80600000001</v>
      </c>
      <c r="J41" s="99">
        <f>+(F41+G41+H41)*$J$4</f>
        <v>257663.80600000001</v>
      </c>
      <c r="K41" s="99">
        <f t="shared" si="1"/>
        <v>19403.57575</v>
      </c>
      <c r="L41" s="99">
        <f t="shared" si="2"/>
        <v>64415.951500000003</v>
      </c>
      <c r="M41" s="99">
        <f>+ROUND(((F41+G41+H41+I41)*$M$4),0)</f>
        <v>139138</v>
      </c>
      <c r="N41" s="209">
        <f t="shared" ref="N41:N42" si="14">+SUM(F41:M41)*$N$4</f>
        <v>118772.48142749998</v>
      </c>
      <c r="O41" s="232">
        <f t="shared" ref="O41:O42" si="15">+ROUND((F41+G41+H41+I41+J41+K41+L41+M41+N41),0)</f>
        <v>4077855</v>
      </c>
    </row>
    <row r="42" spans="1:15" s="1" customFormat="1" ht="14.25" x14ac:dyDescent="0.25">
      <c r="A42" s="272"/>
      <c r="B42" s="73" t="s">
        <v>172</v>
      </c>
      <c r="C42" s="78" t="s">
        <v>252</v>
      </c>
      <c r="D42" s="73">
        <v>30</v>
      </c>
      <c r="E42" s="73">
        <f>360/500</f>
        <v>0.72</v>
      </c>
      <c r="F42" s="99">
        <v>1760010</v>
      </c>
      <c r="G42" s="99">
        <v>0</v>
      </c>
      <c r="H42" s="99">
        <v>1940357.575</v>
      </c>
      <c r="I42" s="99">
        <f t="shared" si="6"/>
        <v>296029.40600000002</v>
      </c>
      <c r="J42" s="99">
        <f>+(F42+G42+H42)*$J$4</f>
        <v>296029.40600000002</v>
      </c>
      <c r="K42" s="99">
        <f t="shared" si="1"/>
        <v>19403.57575</v>
      </c>
      <c r="L42" s="99">
        <f t="shared" si="2"/>
        <v>74007.351500000004</v>
      </c>
      <c r="M42" s="99">
        <f>+ROUND(((F42+G42+H42+I42)*$M$4),0)</f>
        <v>159856</v>
      </c>
      <c r="N42" s="209">
        <f t="shared" si="14"/>
        <v>136370.79942749999</v>
      </c>
      <c r="O42" s="232">
        <f t="shared" si="15"/>
        <v>4682064</v>
      </c>
    </row>
    <row r="43" spans="1:15" s="1" customFormat="1" ht="14.25" x14ac:dyDescent="0.25">
      <c r="A43" s="272"/>
      <c r="B43" s="73" t="s">
        <v>172</v>
      </c>
      <c r="C43" s="78" t="s">
        <v>253</v>
      </c>
      <c r="D43" s="73">
        <v>30</v>
      </c>
      <c r="E43" s="74">
        <f>50/500</f>
        <v>0.1</v>
      </c>
      <c r="F43" s="99">
        <v>2320500</v>
      </c>
      <c r="G43" s="99">
        <v>0</v>
      </c>
      <c r="H43" s="99">
        <v>1829666.7</v>
      </c>
      <c r="I43" s="99">
        <f t="shared" si="6"/>
        <v>332013.33600000001</v>
      </c>
      <c r="J43" s="99">
        <f t="shared" si="0"/>
        <v>332013.33600000001</v>
      </c>
      <c r="K43" s="99">
        <f t="shared" si="1"/>
        <v>18296.667000000001</v>
      </c>
      <c r="L43" s="99">
        <f t="shared" si="2"/>
        <v>83003.334000000003</v>
      </c>
      <c r="M43" s="99">
        <f t="shared" si="3"/>
        <v>179287</v>
      </c>
      <c r="N43" s="209">
        <f t="shared" si="4"/>
        <v>152843.41119000001</v>
      </c>
      <c r="O43" s="232">
        <f t="shared" si="5"/>
        <v>5247624</v>
      </c>
    </row>
    <row r="44" spans="1:15" s="1" customFormat="1" ht="14.25" x14ac:dyDescent="0.25">
      <c r="A44" s="273"/>
      <c r="B44" s="73" t="s">
        <v>172</v>
      </c>
      <c r="C44" s="78" t="s">
        <v>254</v>
      </c>
      <c r="D44" s="73">
        <v>30</v>
      </c>
      <c r="E44" s="199">
        <v>7</v>
      </c>
      <c r="F44" s="99">
        <v>189650.3</v>
      </c>
      <c r="G44" s="99">
        <v>0</v>
      </c>
      <c r="H44" s="99">
        <v>77874.122349999991</v>
      </c>
      <c r="I44" s="99">
        <f t="shared" si="6"/>
        <v>21401.953788000003</v>
      </c>
      <c r="J44" s="99">
        <f t="shared" si="0"/>
        <v>21401.953788000003</v>
      </c>
      <c r="K44" s="99">
        <f t="shared" si="1"/>
        <v>778.74122349999993</v>
      </c>
      <c r="L44" s="99">
        <f t="shared" si="2"/>
        <v>5350.4884470000006</v>
      </c>
      <c r="M44" s="99">
        <f t="shared" si="3"/>
        <v>11557</v>
      </c>
      <c r="N44" s="209">
        <f t="shared" si="4"/>
        <v>9840.4367878949979</v>
      </c>
      <c r="O44" s="232">
        <f t="shared" si="5"/>
        <v>337855</v>
      </c>
    </row>
  </sheetData>
  <mergeCells count="5">
    <mergeCell ref="A35:A37"/>
    <mergeCell ref="A29:A34"/>
    <mergeCell ref="A5:A27"/>
    <mergeCell ref="A38:A44"/>
    <mergeCell ref="A1:O1"/>
  </mergeCells>
  <pageMargins left="0.7" right="0.7" top="0.75" bottom="0.75" header="0.3" footer="0.3"/>
  <pageSetup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showGridLines="0" zoomScale="80" zoomScaleNormal="80" zoomScaleSheetLayoutView="80" workbookViewId="0">
      <selection activeCell="A5" sqref="A5:A13"/>
    </sheetView>
  </sheetViews>
  <sheetFormatPr baseColWidth="10" defaultRowHeight="14.25" x14ac:dyDescent="0.2"/>
  <cols>
    <col min="1" max="1" width="19.5703125" style="14" customWidth="1"/>
    <col min="2" max="2" width="19.28515625" style="14" bestFit="1" customWidth="1"/>
    <col min="3" max="3" width="19.85546875" style="14" customWidth="1"/>
    <col min="4" max="4" width="17" style="14" customWidth="1"/>
    <col min="5" max="5" width="24.85546875" style="14" customWidth="1"/>
    <col min="6" max="6" width="22.140625" style="14" customWidth="1"/>
    <col min="7" max="7" width="12.28515625" style="14" customWidth="1"/>
    <col min="8" max="16384" width="11.42578125" style="14"/>
  </cols>
  <sheetData>
    <row r="1" spans="1:6" ht="22.5" customHeight="1" x14ac:dyDescent="0.2">
      <c r="A1" s="279" t="s">
        <v>56</v>
      </c>
      <c r="B1" s="279"/>
      <c r="C1" s="279"/>
      <c r="D1" s="279"/>
      <c r="E1" s="279"/>
      <c r="F1" s="279"/>
    </row>
    <row r="2" spans="1:6" ht="42.75" x14ac:dyDescent="0.2">
      <c r="A2" s="244" t="s">
        <v>48</v>
      </c>
      <c r="B2" s="244" t="s">
        <v>49</v>
      </c>
      <c r="C2" s="244" t="s">
        <v>50</v>
      </c>
      <c r="D2" s="244" t="s">
        <v>22</v>
      </c>
      <c r="E2" s="245" t="s">
        <v>51</v>
      </c>
      <c r="F2" s="245" t="s">
        <v>96</v>
      </c>
    </row>
    <row r="3" spans="1:6" x14ac:dyDescent="0.2">
      <c r="A3" s="278" t="s">
        <v>54</v>
      </c>
      <c r="B3" s="50">
        <v>50</v>
      </c>
      <c r="C3" s="50">
        <f t="shared" ref="C3:C4" si="0">+B3*0.1</f>
        <v>5</v>
      </c>
      <c r="D3" s="50">
        <v>29</v>
      </c>
      <c r="E3" s="51">
        <f>+D3*(B3+C3)</f>
        <v>1595</v>
      </c>
      <c r="F3" s="51">
        <f>+E3*12*30/1000</f>
        <v>574.20000000000005</v>
      </c>
    </row>
    <row r="4" spans="1:6" x14ac:dyDescent="0.2">
      <c r="A4" s="278"/>
      <c r="B4" s="50">
        <v>150</v>
      </c>
      <c r="C4" s="50">
        <f t="shared" si="0"/>
        <v>15</v>
      </c>
      <c r="D4" s="50">
        <v>8</v>
      </c>
      <c r="E4" s="51">
        <f t="shared" ref="E4:E13" si="1">+D4*(B4+C4)</f>
        <v>1320</v>
      </c>
      <c r="F4" s="51">
        <f t="shared" ref="F4:F13" si="2">+E4*12*30/1000</f>
        <v>475.2</v>
      </c>
    </row>
    <row r="5" spans="1:6" x14ac:dyDescent="0.2">
      <c r="A5" s="278" t="s">
        <v>53</v>
      </c>
      <c r="B5" s="50">
        <v>250</v>
      </c>
      <c r="C5" s="50">
        <v>29</v>
      </c>
      <c r="D5" s="50">
        <v>3</v>
      </c>
      <c r="E5" s="51">
        <f t="shared" si="1"/>
        <v>837</v>
      </c>
      <c r="F5" s="51">
        <f t="shared" si="2"/>
        <v>301.32</v>
      </c>
    </row>
    <row r="6" spans="1:6" x14ac:dyDescent="0.2">
      <c r="A6" s="278"/>
      <c r="B6" s="50">
        <v>400</v>
      </c>
      <c r="C6" s="50">
        <v>40</v>
      </c>
      <c r="D6" s="50">
        <v>7</v>
      </c>
      <c r="E6" s="51">
        <f t="shared" si="1"/>
        <v>3080</v>
      </c>
      <c r="F6" s="51">
        <f t="shared" si="2"/>
        <v>1108.8</v>
      </c>
    </row>
    <row r="7" spans="1:6" x14ac:dyDescent="0.2">
      <c r="A7" s="278" t="s">
        <v>99</v>
      </c>
      <c r="B7" s="50">
        <v>45</v>
      </c>
      <c r="C7" s="50">
        <v>8</v>
      </c>
      <c r="D7" s="50">
        <v>5</v>
      </c>
      <c r="E7" s="51">
        <f t="shared" si="1"/>
        <v>265</v>
      </c>
      <c r="F7" s="51">
        <f t="shared" si="2"/>
        <v>95.4</v>
      </c>
    </row>
    <row r="8" spans="1:6" x14ac:dyDescent="0.2">
      <c r="A8" s="278"/>
      <c r="B8" s="50">
        <v>80</v>
      </c>
      <c r="C8" s="50">
        <f>+B8*0.2</f>
        <v>16</v>
      </c>
      <c r="D8" s="50">
        <v>2</v>
      </c>
      <c r="E8" s="51">
        <f t="shared" si="1"/>
        <v>192</v>
      </c>
      <c r="F8" s="51">
        <f t="shared" si="2"/>
        <v>69.12</v>
      </c>
    </row>
    <row r="9" spans="1:6" x14ac:dyDescent="0.2">
      <c r="A9" s="44" t="s">
        <v>215</v>
      </c>
      <c r="B9" s="50">
        <v>100</v>
      </c>
      <c r="C9" s="50">
        <v>0</v>
      </c>
      <c r="D9" s="50">
        <v>2</v>
      </c>
      <c r="E9" s="51">
        <f t="shared" si="1"/>
        <v>200</v>
      </c>
      <c r="F9" s="51">
        <f t="shared" si="2"/>
        <v>72</v>
      </c>
    </row>
    <row r="10" spans="1:6" x14ac:dyDescent="0.2">
      <c r="A10" s="44" t="s">
        <v>100</v>
      </c>
      <c r="B10" s="50">
        <v>100</v>
      </c>
      <c r="C10" s="50">
        <v>11</v>
      </c>
      <c r="D10" s="50">
        <v>12</v>
      </c>
      <c r="E10" s="51">
        <f t="shared" si="1"/>
        <v>1332</v>
      </c>
      <c r="F10" s="51">
        <f t="shared" si="2"/>
        <v>479.52</v>
      </c>
    </row>
    <row r="11" spans="1:6" x14ac:dyDescent="0.2">
      <c r="A11" s="278" t="s">
        <v>52</v>
      </c>
      <c r="B11" s="50">
        <v>70</v>
      </c>
      <c r="C11" s="50">
        <v>11</v>
      </c>
      <c r="D11" s="50">
        <v>547</v>
      </c>
      <c r="E11" s="51">
        <f t="shared" si="1"/>
        <v>44307</v>
      </c>
      <c r="F11" s="51">
        <f t="shared" si="2"/>
        <v>15950.52</v>
      </c>
    </row>
    <row r="12" spans="1:6" x14ac:dyDescent="0.2">
      <c r="A12" s="278"/>
      <c r="B12" s="50">
        <v>150</v>
      </c>
      <c r="C12" s="50">
        <v>19</v>
      </c>
      <c r="D12" s="50">
        <v>18</v>
      </c>
      <c r="E12" s="51">
        <f t="shared" si="1"/>
        <v>3042</v>
      </c>
      <c r="F12" s="51">
        <f t="shared" si="2"/>
        <v>1095.1199999999999</v>
      </c>
    </row>
    <row r="13" spans="1:6" x14ac:dyDescent="0.2">
      <c r="A13" s="278"/>
      <c r="B13" s="50">
        <v>250</v>
      </c>
      <c r="C13" s="50">
        <v>29</v>
      </c>
      <c r="D13" s="50">
        <v>43</v>
      </c>
      <c r="E13" s="51">
        <f t="shared" si="1"/>
        <v>11997</v>
      </c>
      <c r="F13" s="51">
        <f t="shared" si="2"/>
        <v>4318.92</v>
      </c>
    </row>
    <row r="14" spans="1:6" x14ac:dyDescent="0.2">
      <c r="A14" s="277" t="s">
        <v>55</v>
      </c>
      <c r="B14" s="277"/>
      <c r="C14" s="277"/>
      <c r="D14" s="45">
        <f>SUM(D3:D13)</f>
        <v>676</v>
      </c>
      <c r="E14" s="45">
        <f>SUM(E3:E13)</f>
        <v>68167</v>
      </c>
      <c r="F14" s="45">
        <f>SUM(F3:F13)</f>
        <v>24540.120000000003</v>
      </c>
    </row>
    <row r="16" spans="1:6" ht="18" x14ac:dyDescent="0.25">
      <c r="E16" s="46" t="s">
        <v>61</v>
      </c>
      <c r="F16" s="47">
        <f>+ROUND((F14*'DATOS ENTRADA'!$B$32),0)</f>
        <v>17914288</v>
      </c>
    </row>
  </sheetData>
  <mergeCells count="6">
    <mergeCell ref="A1:F1"/>
    <mergeCell ref="A14:C14"/>
    <mergeCell ref="A3:A4"/>
    <mergeCell ref="A5:A6"/>
    <mergeCell ref="A7:A8"/>
    <mergeCell ref="A11:A13"/>
  </mergeCells>
  <pageMargins left="0.70866141732283472" right="0.70866141732283472" top="0.74803149606299213" bottom="0.74803149606299213" header="0.31496062992125984" footer="0.31496062992125984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showGridLines="0" zoomScale="80" zoomScaleNormal="80" zoomScaleSheetLayoutView="80" workbookViewId="0">
      <selection activeCell="D9" sqref="D9"/>
    </sheetView>
  </sheetViews>
  <sheetFormatPr baseColWidth="10" defaultRowHeight="14.25" x14ac:dyDescent="0.25"/>
  <cols>
    <col min="1" max="1" width="17" style="3" customWidth="1"/>
    <col min="2" max="2" width="20.42578125" style="3" customWidth="1"/>
    <col min="3" max="3" width="18.5703125" style="3" customWidth="1"/>
    <col min="4" max="4" width="19.5703125" style="3" customWidth="1"/>
    <col min="5" max="5" width="24.5703125" style="3" bestFit="1" customWidth="1"/>
    <col min="6" max="6" width="26.5703125" style="3" customWidth="1"/>
    <col min="7" max="7" width="21.42578125" style="3" bestFit="1" customWidth="1"/>
    <col min="8" max="16384" width="11.42578125" style="3"/>
  </cols>
  <sheetData>
    <row r="1" spans="1:6" ht="25.5" customHeight="1" x14ac:dyDescent="0.25">
      <c r="A1" s="279" t="s">
        <v>57</v>
      </c>
      <c r="B1" s="279"/>
      <c r="C1" s="279"/>
      <c r="D1" s="279"/>
      <c r="E1" s="279"/>
      <c r="F1" s="279"/>
    </row>
    <row r="2" spans="1:6" ht="57" x14ac:dyDescent="0.25">
      <c r="A2" s="244" t="s">
        <v>48</v>
      </c>
      <c r="B2" s="244" t="s">
        <v>49</v>
      </c>
      <c r="C2" s="244" t="s">
        <v>50</v>
      </c>
      <c r="D2" s="244" t="s">
        <v>22</v>
      </c>
      <c r="E2" s="245" t="s">
        <v>51</v>
      </c>
      <c r="F2" s="245" t="s">
        <v>96</v>
      </c>
    </row>
    <row r="3" spans="1:6" x14ac:dyDescent="0.25">
      <c r="A3" s="278" t="s">
        <v>54</v>
      </c>
      <c r="B3" s="44">
        <v>37</v>
      </c>
      <c r="C3" s="44">
        <v>0</v>
      </c>
      <c r="D3" s="44">
        <v>569</v>
      </c>
      <c r="E3" s="51">
        <f>+D3*(B3+C3)</f>
        <v>21053</v>
      </c>
      <c r="F3" s="51">
        <f>+E3*12*30/1000</f>
        <v>7579.08</v>
      </c>
    </row>
    <row r="4" spans="1:6" x14ac:dyDescent="0.25">
      <c r="A4" s="278"/>
      <c r="B4" s="44">
        <v>60</v>
      </c>
      <c r="C4" s="44">
        <v>0</v>
      </c>
      <c r="D4" s="44">
        <v>120</v>
      </c>
      <c r="E4" s="51">
        <f>+D4*(B4+C4)</f>
        <v>7200</v>
      </c>
      <c r="F4" s="51">
        <f>+E4*12*30/1000</f>
        <v>2592</v>
      </c>
    </row>
    <row r="5" spans="1:6" x14ac:dyDescent="0.25">
      <c r="A5" s="278"/>
      <c r="B5" s="44">
        <v>92</v>
      </c>
      <c r="C5" s="44">
        <v>0</v>
      </c>
      <c r="D5" s="44">
        <v>66</v>
      </c>
      <c r="E5" s="51">
        <f t="shared" ref="E5:E8" si="0">+D5*(B5+C5)</f>
        <v>6072</v>
      </c>
      <c r="F5" s="51">
        <f t="shared" ref="F5:F8" si="1">+E5*12*30/1000</f>
        <v>2185.92</v>
      </c>
    </row>
    <row r="6" spans="1:6" x14ac:dyDescent="0.25">
      <c r="A6" s="278"/>
      <c r="B6" s="44">
        <v>100</v>
      </c>
      <c r="C6" s="44">
        <v>0</v>
      </c>
      <c r="D6" s="44">
        <v>11</v>
      </c>
      <c r="E6" s="51">
        <f>+D6*(B6+C6)</f>
        <v>1100</v>
      </c>
      <c r="F6" s="51">
        <f t="shared" si="1"/>
        <v>396</v>
      </c>
    </row>
    <row r="7" spans="1:6" x14ac:dyDescent="0.25">
      <c r="A7" s="278"/>
      <c r="B7" s="44">
        <v>200</v>
      </c>
      <c r="C7" s="44">
        <v>0</v>
      </c>
      <c r="D7" s="44">
        <v>34</v>
      </c>
      <c r="E7" s="51">
        <f t="shared" si="0"/>
        <v>6800</v>
      </c>
      <c r="F7" s="51">
        <f t="shared" si="1"/>
        <v>2448</v>
      </c>
    </row>
    <row r="8" spans="1:6" x14ac:dyDescent="0.25">
      <c r="A8" s="278"/>
      <c r="B8" s="44">
        <v>400</v>
      </c>
      <c r="C8" s="44">
        <v>0</v>
      </c>
      <c r="D8" s="44">
        <v>30</v>
      </c>
      <c r="E8" s="51">
        <f t="shared" si="0"/>
        <v>12000</v>
      </c>
      <c r="F8" s="51">
        <f t="shared" si="1"/>
        <v>4320</v>
      </c>
    </row>
    <row r="9" spans="1:6" x14ac:dyDescent="0.25">
      <c r="A9" s="277" t="s">
        <v>55</v>
      </c>
      <c r="B9" s="277"/>
      <c r="C9" s="277"/>
      <c r="D9" s="45">
        <f>SUM(D3:D8)</f>
        <v>830</v>
      </c>
      <c r="E9" s="54">
        <f>SUM(E3:E8)</f>
        <v>54225</v>
      </c>
      <c r="F9" s="54">
        <f>SUM(F3:F8)</f>
        <v>19521</v>
      </c>
    </row>
    <row r="11" spans="1:6" ht="18" x14ac:dyDescent="0.25">
      <c r="E11" s="52" t="s">
        <v>61</v>
      </c>
      <c r="F11" s="53">
        <f>+ROUND((F9*'DATOS ENTRADA'!$B$32),0)</f>
        <v>14250330</v>
      </c>
    </row>
    <row r="14" spans="1:6" x14ac:dyDescent="0.2">
      <c r="E14" s="150" t="s">
        <v>173</v>
      </c>
      <c r="F14" s="150">
        <f>+F9/365/12</f>
        <v>4.4568493150684931</v>
      </c>
    </row>
    <row r="15" spans="1:6" x14ac:dyDescent="0.2">
      <c r="E15" s="150" t="s">
        <v>174</v>
      </c>
      <c r="F15" s="187">
        <f>+F14*2%</f>
        <v>8.9136986301369861E-2</v>
      </c>
    </row>
  </sheetData>
  <dataConsolidate/>
  <mergeCells count="3">
    <mergeCell ref="A9:C9"/>
    <mergeCell ref="A1:F1"/>
    <mergeCell ref="A3:A8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Q76"/>
  <sheetViews>
    <sheetView showGridLines="0" view="pageBreakPreview" topLeftCell="B1" zoomScale="80" zoomScaleNormal="80" zoomScaleSheetLayoutView="80" workbookViewId="0">
      <selection activeCell="J52" sqref="J52"/>
    </sheetView>
  </sheetViews>
  <sheetFormatPr baseColWidth="10" defaultRowHeight="14.25" x14ac:dyDescent="0.25"/>
  <cols>
    <col min="1" max="1" width="38.42578125" style="3" customWidth="1"/>
    <col min="2" max="2" width="37" style="3" customWidth="1"/>
    <col min="3" max="3" width="11.85546875" style="3" customWidth="1"/>
    <col min="4" max="4" width="14.28515625" style="3" customWidth="1"/>
    <col min="5" max="5" width="23.85546875" style="3" customWidth="1"/>
    <col min="6" max="6" width="11.28515625" style="3" customWidth="1"/>
    <col min="7" max="7" width="14.42578125" style="3" customWidth="1"/>
    <col min="8" max="8" width="15.85546875" style="3" customWidth="1"/>
    <col min="9" max="9" width="11.42578125" style="12" customWidth="1"/>
    <col min="10" max="10" width="7" style="12" customWidth="1"/>
    <col min="11" max="11" width="20.85546875" style="3" customWidth="1"/>
    <col min="12" max="12" width="18" style="3" customWidth="1"/>
    <col min="13" max="13" width="20.28515625" style="3" customWidth="1"/>
    <col min="14" max="14" width="19.28515625" style="3" customWidth="1"/>
    <col min="15" max="15" width="7.42578125" style="12" customWidth="1"/>
    <col min="16" max="16" width="23.140625" style="3" customWidth="1"/>
    <col min="17" max="18" width="18.140625" style="3" bestFit="1" customWidth="1"/>
    <col min="19" max="20" width="18" style="3" bestFit="1" customWidth="1"/>
    <col min="21" max="21" width="19.28515625" style="3" bestFit="1" customWidth="1"/>
    <col min="22" max="30" width="17.85546875" style="3" bestFit="1" customWidth="1"/>
    <col min="31" max="31" width="20.5703125" style="3" customWidth="1"/>
    <col min="32" max="32" width="20.85546875" style="3" customWidth="1"/>
    <col min="33" max="35" width="18.85546875" style="3" bestFit="1" customWidth="1"/>
    <col min="36" max="16384" width="11.42578125" style="3"/>
  </cols>
  <sheetData>
    <row r="1" spans="1:17" ht="30.75" customHeight="1" x14ac:dyDescent="0.25">
      <c r="B1" s="280" t="s">
        <v>15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30"/>
    </row>
    <row r="2" spans="1:17" ht="22.5" customHeight="1" x14ac:dyDescent="0.25"/>
    <row r="3" spans="1:17" s="15" customFormat="1" ht="78.75" customHeight="1" x14ac:dyDescent="0.25">
      <c r="A3" s="193" t="s">
        <v>16</v>
      </c>
      <c r="B3" s="204" t="s">
        <v>1</v>
      </c>
      <c r="C3" s="204" t="s">
        <v>22</v>
      </c>
      <c r="D3" s="193" t="s">
        <v>17</v>
      </c>
      <c r="E3" s="193" t="s">
        <v>184</v>
      </c>
      <c r="F3" s="193" t="s">
        <v>185</v>
      </c>
      <c r="G3" s="193" t="s">
        <v>192</v>
      </c>
      <c r="H3" s="193" t="s">
        <v>186</v>
      </c>
      <c r="I3" s="193" t="s">
        <v>19</v>
      </c>
      <c r="J3" s="193" t="s">
        <v>20</v>
      </c>
      <c r="K3" s="194" t="s">
        <v>24</v>
      </c>
      <c r="L3" s="194" t="s">
        <v>25</v>
      </c>
      <c r="M3" s="194" t="s">
        <v>26</v>
      </c>
      <c r="N3" s="194" t="s">
        <v>33</v>
      </c>
      <c r="O3" s="193" t="s">
        <v>32</v>
      </c>
      <c r="P3" s="194" t="s">
        <v>34</v>
      </c>
    </row>
    <row r="4" spans="1:17" hidden="1" x14ac:dyDescent="0.25">
      <c r="A4" s="43" t="str">
        <f>+UCAP!B5</f>
        <v>Luminaria</v>
      </c>
      <c r="B4" s="43" t="str">
        <f>+UCAP!C5</f>
        <v>Luminaria con bombillo  Fluorescente 45 W</v>
      </c>
      <c r="C4" s="200"/>
      <c r="D4" s="212">
        <f>+UCAP!O5</f>
        <v>497213</v>
      </c>
      <c r="E4" s="212">
        <f>+C4*D4</f>
        <v>0</v>
      </c>
      <c r="F4" s="55"/>
      <c r="G4" s="55"/>
      <c r="H4" s="43"/>
      <c r="I4" s="202">
        <f>+'DATOS ENTRADA'!$B$16</f>
        <v>0.12089999999999999</v>
      </c>
      <c r="J4" s="201">
        <v>15</v>
      </c>
      <c r="K4" s="213">
        <f>+H4*(I4/(1-(1+I4)^(-J4)))</f>
        <v>0</v>
      </c>
      <c r="L4" s="219">
        <v>0</v>
      </c>
      <c r="M4" s="219">
        <f>+K4*'DATOS ENTRADA'!$B$17</f>
        <v>0</v>
      </c>
      <c r="N4" s="213">
        <f>+(K4+L4+M4)</f>
        <v>0</v>
      </c>
      <c r="O4" s="203">
        <f>+'DATOS ENTRADA'!$B$21</f>
        <v>0.98</v>
      </c>
      <c r="P4" s="213">
        <f>+(N4*O4)</f>
        <v>0</v>
      </c>
    </row>
    <row r="5" spans="1:17" hidden="1" x14ac:dyDescent="0.25">
      <c r="A5" s="43" t="str">
        <f>+UCAP!B6</f>
        <v>Luminaria</v>
      </c>
      <c r="B5" s="43" t="str">
        <f>+UCAP!C6</f>
        <v>Luminaria con bombillo  Fluorescente 80 W</v>
      </c>
      <c r="C5" s="200"/>
      <c r="D5" s="212">
        <f>+UCAP!O6</f>
        <v>523575</v>
      </c>
      <c r="E5" s="212">
        <f t="shared" ref="E5:E43" si="0">+C5*D5</f>
        <v>0</v>
      </c>
      <c r="F5" s="214"/>
      <c r="G5" s="201"/>
      <c r="H5" s="43"/>
      <c r="I5" s="202">
        <f>+'DATOS ENTRADA'!$B$16</f>
        <v>0.12089999999999999</v>
      </c>
      <c r="J5" s="201">
        <v>15</v>
      </c>
      <c r="K5" s="213">
        <f>+H5*(I5/(1-(1+I5)^(-J5)))</f>
        <v>0</v>
      </c>
      <c r="L5" s="213">
        <v>0</v>
      </c>
      <c r="M5" s="219">
        <f>+K5*'DATOS ENTRADA'!$B$17</f>
        <v>0</v>
      </c>
      <c r="N5" s="213">
        <f t="shared" ref="N5:N43" si="1">+(K5+L5+M5)</f>
        <v>0</v>
      </c>
      <c r="O5" s="203">
        <f>+'DATOS ENTRADA'!$B$21</f>
        <v>0.98</v>
      </c>
      <c r="P5" s="213">
        <f t="shared" ref="P5:P43" si="2">+(N5*O5)</f>
        <v>0</v>
      </c>
    </row>
    <row r="6" spans="1:17" hidden="1" x14ac:dyDescent="0.25">
      <c r="A6" s="43" t="str">
        <f>+UCAP!B7</f>
        <v>Luminaria</v>
      </c>
      <c r="B6" s="43" t="str">
        <f>+UCAP!C7</f>
        <v>Luminaria con bombillo  Incandescente 100 W</v>
      </c>
      <c r="C6" s="200"/>
      <c r="D6" s="212">
        <f>+UCAP!O7</f>
        <v>565298</v>
      </c>
      <c r="E6" s="212">
        <f t="shared" si="0"/>
        <v>0</v>
      </c>
      <c r="F6" s="55"/>
      <c r="G6" s="55"/>
      <c r="H6" s="55"/>
      <c r="I6" s="202">
        <f>+'DATOS ENTRADA'!$B$16</f>
        <v>0.12089999999999999</v>
      </c>
      <c r="J6" s="201">
        <v>15</v>
      </c>
      <c r="K6" s="213">
        <f t="shared" ref="K6:K20" si="3">+H6*(I6/(1-(1+I6)^(-J6)))</f>
        <v>0</v>
      </c>
      <c r="L6" s="213">
        <v>0</v>
      </c>
      <c r="M6" s="219">
        <f>+K6*'DATOS ENTRADA'!$B$17</f>
        <v>0</v>
      </c>
      <c r="N6" s="213">
        <f t="shared" si="1"/>
        <v>0</v>
      </c>
      <c r="O6" s="203">
        <f>+'DATOS ENTRADA'!$B$21</f>
        <v>0.98</v>
      </c>
      <c r="P6" s="213">
        <f t="shared" si="2"/>
        <v>0</v>
      </c>
    </row>
    <row r="7" spans="1:17" hidden="1" x14ac:dyDescent="0.25">
      <c r="A7" s="43" t="str">
        <f>+UCAP!B8</f>
        <v>Luminaria</v>
      </c>
      <c r="B7" s="43" t="str">
        <f>+UCAP!C8</f>
        <v>Farol con bombillo Sodio 70 W</v>
      </c>
      <c r="C7" s="200"/>
      <c r="D7" s="212">
        <f>+UCAP!O8</f>
        <v>1102312</v>
      </c>
      <c r="E7" s="212">
        <f t="shared" si="0"/>
        <v>0</v>
      </c>
      <c r="F7" s="55"/>
      <c r="G7" s="55"/>
      <c r="H7" s="55"/>
      <c r="I7" s="202">
        <f>+'DATOS ENTRADA'!$B$16</f>
        <v>0.12089999999999999</v>
      </c>
      <c r="J7" s="201">
        <v>15</v>
      </c>
      <c r="K7" s="213">
        <f t="shared" si="3"/>
        <v>0</v>
      </c>
      <c r="L7" s="213">
        <v>0</v>
      </c>
      <c r="M7" s="219">
        <f>+K7*'DATOS ENTRADA'!$B$17</f>
        <v>0</v>
      </c>
      <c r="N7" s="213">
        <f t="shared" si="1"/>
        <v>0</v>
      </c>
      <c r="O7" s="203">
        <f>+'DATOS ENTRADA'!$B$21</f>
        <v>0.98</v>
      </c>
      <c r="P7" s="213">
        <f t="shared" si="2"/>
        <v>0</v>
      </c>
    </row>
    <row r="8" spans="1:17" hidden="1" x14ac:dyDescent="0.25">
      <c r="A8" s="43" t="str">
        <f>+UCAP!B9</f>
        <v>Luminaria</v>
      </c>
      <c r="B8" s="43" t="str">
        <f>+UCAP!C9</f>
        <v>Luminaria con bombillo Sodio 70 W</v>
      </c>
      <c r="C8" s="200"/>
      <c r="D8" s="212">
        <f>+UCAP!O9</f>
        <v>788649</v>
      </c>
      <c r="E8" s="212">
        <f t="shared" si="0"/>
        <v>0</v>
      </c>
      <c r="F8" s="214"/>
      <c r="G8" s="44"/>
      <c r="H8" s="212"/>
      <c r="I8" s="202">
        <f>+'DATOS ENTRADA'!$B$16</f>
        <v>0.12089999999999999</v>
      </c>
      <c r="J8" s="201">
        <v>15</v>
      </c>
      <c r="K8" s="213">
        <f t="shared" si="3"/>
        <v>0</v>
      </c>
      <c r="L8" s="213">
        <v>0</v>
      </c>
      <c r="M8" s="219">
        <f>+K8*'DATOS ENTRADA'!$B$17</f>
        <v>0</v>
      </c>
      <c r="N8" s="213">
        <f t="shared" si="1"/>
        <v>0</v>
      </c>
      <c r="O8" s="203">
        <f>+'DATOS ENTRADA'!$B$21</f>
        <v>0.98</v>
      </c>
      <c r="P8" s="213">
        <f t="shared" si="2"/>
        <v>0</v>
      </c>
    </row>
    <row r="9" spans="1:17" hidden="1" x14ac:dyDescent="0.25">
      <c r="A9" s="43" t="str">
        <f>+UCAP!B10</f>
        <v>Luminaria</v>
      </c>
      <c r="B9" s="43" t="str">
        <f>+UCAP!C10</f>
        <v>Luminaria con bombillo Sodio 150 W</v>
      </c>
      <c r="C9" s="200"/>
      <c r="D9" s="212">
        <f>+UCAP!O10</f>
        <v>828918</v>
      </c>
      <c r="E9" s="212">
        <f t="shared" si="0"/>
        <v>0</v>
      </c>
      <c r="F9" s="55"/>
      <c r="G9" s="55"/>
      <c r="H9" s="55"/>
      <c r="I9" s="202">
        <f>+'DATOS ENTRADA'!$B$16</f>
        <v>0.12089999999999999</v>
      </c>
      <c r="J9" s="201">
        <v>15</v>
      </c>
      <c r="K9" s="213">
        <f t="shared" si="3"/>
        <v>0</v>
      </c>
      <c r="L9" s="213">
        <v>0</v>
      </c>
      <c r="M9" s="219">
        <f>+K9*'DATOS ENTRADA'!$B$17</f>
        <v>0</v>
      </c>
      <c r="N9" s="213">
        <f t="shared" si="1"/>
        <v>0</v>
      </c>
      <c r="O9" s="203">
        <f>+'DATOS ENTRADA'!$B$21</f>
        <v>0.98</v>
      </c>
      <c r="P9" s="213">
        <f t="shared" si="2"/>
        <v>0</v>
      </c>
    </row>
    <row r="10" spans="1:17" hidden="1" x14ac:dyDescent="0.25">
      <c r="A10" s="43" t="str">
        <f>+UCAP!B11</f>
        <v>Luminaria</v>
      </c>
      <c r="B10" s="43" t="str">
        <f>+UCAP!C11</f>
        <v>Luminaria con bombillo Sodio 250 W</v>
      </c>
      <c r="C10" s="200"/>
      <c r="D10" s="212">
        <f>+UCAP!O11</f>
        <v>920251</v>
      </c>
      <c r="E10" s="212">
        <f t="shared" si="0"/>
        <v>0</v>
      </c>
      <c r="F10" s="55"/>
      <c r="G10" s="55"/>
      <c r="H10" s="55"/>
      <c r="I10" s="202">
        <f>+'DATOS ENTRADA'!$B$16</f>
        <v>0.12089999999999999</v>
      </c>
      <c r="J10" s="201">
        <v>15</v>
      </c>
      <c r="K10" s="213">
        <f t="shared" si="3"/>
        <v>0</v>
      </c>
      <c r="L10" s="213">
        <v>0</v>
      </c>
      <c r="M10" s="219">
        <f>+K10*'DATOS ENTRADA'!$B$17</f>
        <v>0</v>
      </c>
      <c r="N10" s="213">
        <f t="shared" si="1"/>
        <v>0</v>
      </c>
      <c r="O10" s="203">
        <f>+'DATOS ENTRADA'!$B$21</f>
        <v>0.98</v>
      </c>
      <c r="P10" s="213">
        <f t="shared" si="2"/>
        <v>0</v>
      </c>
    </row>
    <row r="11" spans="1:17" hidden="1" x14ac:dyDescent="0.25">
      <c r="A11" s="43" t="str">
        <f>+UCAP!B12</f>
        <v>Luminaria</v>
      </c>
      <c r="B11" s="43" t="str">
        <f>+UCAP!C12</f>
        <v>Reflector con bombillo Sodio 150 W</v>
      </c>
      <c r="C11" s="200"/>
      <c r="D11" s="212">
        <f>+UCAP!O12</f>
        <v>992082</v>
      </c>
      <c r="E11" s="212">
        <f t="shared" si="0"/>
        <v>0</v>
      </c>
      <c r="F11" s="55"/>
      <c r="G11" s="55"/>
      <c r="H11" s="55"/>
      <c r="I11" s="202">
        <f>+'DATOS ENTRADA'!$B$16</f>
        <v>0.12089999999999999</v>
      </c>
      <c r="J11" s="201">
        <v>15</v>
      </c>
      <c r="K11" s="213">
        <f t="shared" si="3"/>
        <v>0</v>
      </c>
      <c r="L11" s="213">
        <v>0</v>
      </c>
      <c r="M11" s="219">
        <f>+K11*'DATOS ENTRADA'!$B$17</f>
        <v>0</v>
      </c>
      <c r="N11" s="213">
        <f t="shared" si="1"/>
        <v>0</v>
      </c>
      <c r="O11" s="203">
        <f>+'DATOS ENTRADA'!$B$21</f>
        <v>0.98</v>
      </c>
      <c r="P11" s="213">
        <f t="shared" si="2"/>
        <v>0</v>
      </c>
    </row>
    <row r="12" spans="1:17" hidden="1" x14ac:dyDescent="0.25">
      <c r="A12" s="43" t="str">
        <f>+UCAP!B13</f>
        <v>Luminaria</v>
      </c>
      <c r="B12" s="43" t="str">
        <f>+UCAP!C13</f>
        <v>Reflector con bombillo Sodio 250 W</v>
      </c>
      <c r="C12" s="200"/>
      <c r="D12" s="212">
        <f>+UCAP!O13</f>
        <v>1083416</v>
      </c>
      <c r="E12" s="212">
        <f t="shared" si="0"/>
        <v>0</v>
      </c>
      <c r="F12" s="55"/>
      <c r="G12" s="55"/>
      <c r="H12" s="55"/>
      <c r="I12" s="202">
        <f>+'DATOS ENTRADA'!$B$16</f>
        <v>0.12089999999999999</v>
      </c>
      <c r="J12" s="201">
        <v>15</v>
      </c>
      <c r="K12" s="213">
        <f t="shared" si="3"/>
        <v>0</v>
      </c>
      <c r="L12" s="213">
        <v>0</v>
      </c>
      <c r="M12" s="219">
        <f>+K12*'DATOS ENTRADA'!$B$17</f>
        <v>0</v>
      </c>
      <c r="N12" s="213">
        <f t="shared" si="1"/>
        <v>0</v>
      </c>
      <c r="O12" s="203">
        <f>+'DATOS ENTRADA'!$B$21</f>
        <v>0.98</v>
      </c>
      <c r="P12" s="213">
        <f t="shared" si="2"/>
        <v>0</v>
      </c>
    </row>
    <row r="13" spans="1:17" hidden="1" x14ac:dyDescent="0.25">
      <c r="A13" s="43" t="str">
        <f>+UCAP!B14</f>
        <v>Luminaria</v>
      </c>
      <c r="B13" s="43" t="str">
        <f>+UCAP!C14</f>
        <v>Luminaria con bombillo Metal Halide 250 W</v>
      </c>
      <c r="C13" s="200"/>
      <c r="D13" s="212">
        <f>+UCAP!O14</f>
        <v>620836</v>
      </c>
      <c r="E13" s="212">
        <f t="shared" si="0"/>
        <v>0</v>
      </c>
      <c r="F13" s="214"/>
      <c r="G13" s="44"/>
      <c r="H13" s="212"/>
      <c r="I13" s="202">
        <f>+'DATOS ENTRADA'!$B$16</f>
        <v>0.12089999999999999</v>
      </c>
      <c r="J13" s="201">
        <v>15</v>
      </c>
      <c r="K13" s="213">
        <f t="shared" si="3"/>
        <v>0</v>
      </c>
      <c r="L13" s="213">
        <v>0</v>
      </c>
      <c r="M13" s="219">
        <f>+K13*'DATOS ENTRADA'!$B$17</f>
        <v>0</v>
      </c>
      <c r="N13" s="213">
        <f t="shared" si="1"/>
        <v>0</v>
      </c>
      <c r="O13" s="203">
        <f>+'DATOS ENTRADA'!$B$21</f>
        <v>0.98</v>
      </c>
      <c r="P13" s="213">
        <f t="shared" si="2"/>
        <v>0</v>
      </c>
    </row>
    <row r="14" spans="1:17" hidden="1" x14ac:dyDescent="0.25">
      <c r="A14" s="43" t="str">
        <f>+UCAP!B15</f>
        <v>Luminaria</v>
      </c>
      <c r="B14" s="43" t="str">
        <f>+UCAP!C15</f>
        <v>Luminaria con bombillo Metal Halide 400 W</v>
      </c>
      <c r="C14" s="200"/>
      <c r="D14" s="212">
        <f>+UCAP!O15</f>
        <v>673693</v>
      </c>
      <c r="E14" s="212">
        <f t="shared" si="0"/>
        <v>0</v>
      </c>
      <c r="F14" s="55"/>
      <c r="G14" s="55"/>
      <c r="H14" s="55"/>
      <c r="I14" s="202">
        <f>+'DATOS ENTRADA'!$B$16</f>
        <v>0.12089999999999999</v>
      </c>
      <c r="J14" s="201">
        <v>15</v>
      </c>
      <c r="K14" s="213">
        <f t="shared" si="3"/>
        <v>0</v>
      </c>
      <c r="L14" s="213">
        <v>0</v>
      </c>
      <c r="M14" s="219">
        <f>+K14*'DATOS ENTRADA'!$B$17</f>
        <v>0</v>
      </c>
      <c r="N14" s="213">
        <f t="shared" si="1"/>
        <v>0</v>
      </c>
      <c r="O14" s="203">
        <f>+'DATOS ENTRADA'!$B$21</f>
        <v>0.98</v>
      </c>
      <c r="P14" s="213">
        <f t="shared" si="2"/>
        <v>0</v>
      </c>
    </row>
    <row r="15" spans="1:17" hidden="1" x14ac:dyDescent="0.25">
      <c r="A15" s="43" t="str">
        <f>+UCAP!B16</f>
        <v>Luminaria</v>
      </c>
      <c r="B15" s="43" t="str">
        <f>+UCAP!C16</f>
        <v>Reflector con bombillo Metal Halide 250 W</v>
      </c>
      <c r="C15" s="200"/>
      <c r="D15" s="212">
        <f>+UCAP!O16</f>
        <v>1233392</v>
      </c>
      <c r="E15" s="212">
        <f t="shared" si="0"/>
        <v>0</v>
      </c>
      <c r="F15" s="55"/>
      <c r="G15" s="55"/>
      <c r="H15" s="55"/>
      <c r="I15" s="202">
        <f>+'DATOS ENTRADA'!$B$16</f>
        <v>0.12089999999999999</v>
      </c>
      <c r="J15" s="201">
        <v>15</v>
      </c>
      <c r="K15" s="213">
        <f t="shared" si="3"/>
        <v>0</v>
      </c>
      <c r="L15" s="213">
        <v>0</v>
      </c>
      <c r="M15" s="219">
        <f>+K15*'DATOS ENTRADA'!$B$17</f>
        <v>0</v>
      </c>
      <c r="N15" s="213">
        <f t="shared" si="1"/>
        <v>0</v>
      </c>
      <c r="O15" s="203">
        <f>+'DATOS ENTRADA'!$B$21</f>
        <v>0.98</v>
      </c>
      <c r="P15" s="213">
        <f t="shared" si="2"/>
        <v>0</v>
      </c>
    </row>
    <row r="16" spans="1:17" hidden="1" x14ac:dyDescent="0.25">
      <c r="A16" s="43" t="str">
        <f>+UCAP!B17</f>
        <v>Luminaria</v>
      </c>
      <c r="B16" s="43" t="str">
        <f>+UCAP!C17</f>
        <v>Reflector con bombillo Metal Halide 400 W</v>
      </c>
      <c r="C16" s="200"/>
      <c r="D16" s="212">
        <f>+UCAP!O17</f>
        <v>1268887</v>
      </c>
      <c r="E16" s="212">
        <f t="shared" si="0"/>
        <v>0</v>
      </c>
      <c r="F16" s="55"/>
      <c r="G16" s="55"/>
      <c r="H16" s="55"/>
      <c r="I16" s="202">
        <f>+'DATOS ENTRADA'!$B$16</f>
        <v>0.12089999999999999</v>
      </c>
      <c r="J16" s="201">
        <v>15</v>
      </c>
      <c r="K16" s="213">
        <f t="shared" si="3"/>
        <v>0</v>
      </c>
      <c r="L16" s="213">
        <v>0</v>
      </c>
      <c r="M16" s="219">
        <f>+K16*'DATOS ENTRADA'!$B$17</f>
        <v>0</v>
      </c>
      <c r="N16" s="213">
        <f t="shared" si="1"/>
        <v>0</v>
      </c>
      <c r="O16" s="203">
        <f>+'DATOS ENTRADA'!$B$21</f>
        <v>0.98</v>
      </c>
      <c r="P16" s="213">
        <f t="shared" si="2"/>
        <v>0</v>
      </c>
    </row>
    <row r="17" spans="1:16" hidden="1" x14ac:dyDescent="0.25">
      <c r="A17" s="43" t="str">
        <f>+UCAP!B18</f>
        <v>Luminaria</v>
      </c>
      <c r="B17" s="43" t="str">
        <f>+UCAP!C18</f>
        <v>Luminaria con bombillo Mercurio 100 W</v>
      </c>
      <c r="C17" s="200"/>
      <c r="D17" s="212">
        <f>+UCAP!O18</f>
        <v>691918</v>
      </c>
      <c r="E17" s="212">
        <f t="shared" si="0"/>
        <v>0</v>
      </c>
      <c r="F17" s="214"/>
      <c r="G17" s="44"/>
      <c r="H17" s="212"/>
      <c r="I17" s="202">
        <f>+'DATOS ENTRADA'!$B$16</f>
        <v>0.12089999999999999</v>
      </c>
      <c r="J17" s="201">
        <v>15</v>
      </c>
      <c r="K17" s="213">
        <f t="shared" si="3"/>
        <v>0</v>
      </c>
      <c r="L17" s="213">
        <v>0</v>
      </c>
      <c r="M17" s="219">
        <f>+K17*'DATOS ENTRADA'!$B$17</f>
        <v>0</v>
      </c>
      <c r="N17" s="213">
        <f t="shared" si="1"/>
        <v>0</v>
      </c>
      <c r="O17" s="203">
        <f>+'DATOS ENTRADA'!$B$21</f>
        <v>0.98</v>
      </c>
      <c r="P17" s="213">
        <f t="shared" si="2"/>
        <v>0</v>
      </c>
    </row>
    <row r="18" spans="1:16" hidden="1" x14ac:dyDescent="0.25">
      <c r="A18" s="43" t="str">
        <f>+UCAP!B19</f>
        <v>Luminaria</v>
      </c>
      <c r="B18" s="43" t="str">
        <f>+UCAP!C19</f>
        <v>Luminaria Led 50 W</v>
      </c>
      <c r="C18" s="200"/>
      <c r="D18" s="212">
        <f>+UCAP!O19</f>
        <v>1155157</v>
      </c>
      <c r="E18" s="212">
        <f t="shared" si="0"/>
        <v>0</v>
      </c>
      <c r="F18" s="55"/>
      <c r="G18" s="55"/>
      <c r="H18" s="55"/>
      <c r="I18" s="202">
        <f>+'DATOS ENTRADA'!$B$16</f>
        <v>0.12089999999999999</v>
      </c>
      <c r="J18" s="201">
        <v>15</v>
      </c>
      <c r="K18" s="213">
        <f t="shared" si="3"/>
        <v>0</v>
      </c>
      <c r="L18" s="213">
        <v>0</v>
      </c>
      <c r="M18" s="219">
        <f>+K18*'DATOS ENTRADA'!$B$17</f>
        <v>0</v>
      </c>
      <c r="N18" s="213">
        <f t="shared" si="1"/>
        <v>0</v>
      </c>
      <c r="O18" s="203">
        <f>+'DATOS ENTRADA'!$B$21</f>
        <v>0.98</v>
      </c>
      <c r="P18" s="213">
        <f t="shared" si="2"/>
        <v>0</v>
      </c>
    </row>
    <row r="19" spans="1:16" hidden="1" x14ac:dyDescent="0.25">
      <c r="A19" s="43" t="str">
        <f>+UCAP!B20</f>
        <v>Luminaria</v>
      </c>
      <c r="B19" s="43" t="str">
        <f>+UCAP!C20</f>
        <v>Reflector Led 50 W</v>
      </c>
      <c r="C19" s="200"/>
      <c r="D19" s="212">
        <f>+UCAP!O20</f>
        <v>1494152</v>
      </c>
      <c r="E19" s="212">
        <f t="shared" si="0"/>
        <v>0</v>
      </c>
      <c r="F19" s="55"/>
      <c r="G19" s="55"/>
      <c r="H19" s="55"/>
      <c r="I19" s="202">
        <f>+'DATOS ENTRADA'!$B$16</f>
        <v>0.12089999999999999</v>
      </c>
      <c r="J19" s="201">
        <v>15</v>
      </c>
      <c r="K19" s="213">
        <f t="shared" si="3"/>
        <v>0</v>
      </c>
      <c r="L19" s="213">
        <v>0</v>
      </c>
      <c r="M19" s="219">
        <f>+K19*'DATOS ENTRADA'!$B$17</f>
        <v>0</v>
      </c>
      <c r="N19" s="213">
        <f t="shared" si="1"/>
        <v>0</v>
      </c>
      <c r="O19" s="203">
        <f>+'DATOS ENTRADA'!$B$21</f>
        <v>0.98</v>
      </c>
      <c r="P19" s="213">
        <f t="shared" si="2"/>
        <v>0</v>
      </c>
    </row>
    <row r="20" spans="1:16" hidden="1" x14ac:dyDescent="0.25">
      <c r="A20" s="43" t="str">
        <f>+UCAP!B21</f>
        <v>Luminaria</v>
      </c>
      <c r="B20" s="43" t="str">
        <f>+UCAP!C21</f>
        <v>Reflector Led 150 W</v>
      </c>
      <c r="C20" s="200"/>
      <c r="D20" s="212">
        <f>+UCAP!O21</f>
        <v>1736960</v>
      </c>
      <c r="E20" s="212">
        <f t="shared" si="0"/>
        <v>0</v>
      </c>
      <c r="F20" s="55"/>
      <c r="G20" s="55"/>
      <c r="H20" s="55"/>
      <c r="I20" s="202">
        <f>+'DATOS ENTRADA'!$B$16</f>
        <v>0.12089999999999999</v>
      </c>
      <c r="J20" s="201">
        <v>15</v>
      </c>
      <c r="K20" s="213">
        <f t="shared" si="3"/>
        <v>0</v>
      </c>
      <c r="L20" s="213">
        <v>0</v>
      </c>
      <c r="M20" s="219">
        <f>+K20*'DATOS ENTRADA'!$B$17</f>
        <v>0</v>
      </c>
      <c r="N20" s="213">
        <f t="shared" si="1"/>
        <v>0</v>
      </c>
      <c r="O20" s="203">
        <f>+'DATOS ENTRADA'!$B$21</f>
        <v>0.98</v>
      </c>
      <c r="P20" s="213">
        <f t="shared" si="2"/>
        <v>0</v>
      </c>
    </row>
    <row r="21" spans="1:16" x14ac:dyDescent="0.25">
      <c r="A21" s="43" t="str">
        <f>+UCAP!B22</f>
        <v>Luminaria</v>
      </c>
      <c r="B21" s="43" t="str">
        <f>+UCAP!C22</f>
        <v>Luminaria Led 37 W Nueva</v>
      </c>
      <c r="C21" s="311">
        <v>569</v>
      </c>
      <c r="D21" s="212">
        <f>+UCAP!O22</f>
        <v>1139696</v>
      </c>
      <c r="E21" s="212">
        <f t="shared" si="0"/>
        <v>648487024</v>
      </c>
      <c r="F21" s="214">
        <v>162</v>
      </c>
      <c r="G21" s="44">
        <v>130</v>
      </c>
      <c r="H21" s="212">
        <f t="shared" ref="H21:H26" si="4">+(F21/G21)*E21</f>
        <v>808114599.13846159</v>
      </c>
      <c r="I21" s="202">
        <f>+'DATOS ENTRADA'!$B$16</f>
        <v>0.12089999999999999</v>
      </c>
      <c r="J21" s="201">
        <v>15</v>
      </c>
      <c r="K21" s="213">
        <f>+H21*(I21/(1-(1+I21)^(-J21)))</f>
        <v>119221517.98774543</v>
      </c>
      <c r="L21" s="213">
        <v>0</v>
      </c>
      <c r="M21" s="219">
        <f>+IF(C21&gt;=0.001,((K21+'CAOM Infraestructura'!$J$45)*'DATOS ENTRADA'!$B$17),0)</f>
        <v>4901494.9774975628</v>
      </c>
      <c r="N21" s="213">
        <f>+(K21+L21+M21)</f>
        <v>124123012.965243</v>
      </c>
      <c r="O21" s="203">
        <f>+'DATOS ENTRADA'!$B$21</f>
        <v>0.98</v>
      </c>
      <c r="P21" s="213">
        <f t="shared" si="2"/>
        <v>121640552.70593813</v>
      </c>
    </row>
    <row r="22" spans="1:16" x14ac:dyDescent="0.25">
      <c r="A22" s="43" t="str">
        <f>+UCAP!B23</f>
        <v>Luminaria</v>
      </c>
      <c r="B22" s="43" t="str">
        <f>+UCAP!C23</f>
        <v>Luminaria Led 60 W Nueva</v>
      </c>
      <c r="C22" s="311">
        <v>120</v>
      </c>
      <c r="D22" s="212">
        <f>+UCAP!O23</f>
        <v>1163976</v>
      </c>
      <c r="E22" s="212">
        <f t="shared" si="0"/>
        <v>139677120</v>
      </c>
      <c r="F22" s="214">
        <v>162</v>
      </c>
      <c r="G22" s="44">
        <v>130</v>
      </c>
      <c r="H22" s="212">
        <f t="shared" si="4"/>
        <v>174059180.30769232</v>
      </c>
      <c r="I22" s="202">
        <f>+'DATOS ENTRADA'!$B$16</f>
        <v>0.12089999999999999</v>
      </c>
      <c r="J22" s="201">
        <v>15</v>
      </c>
      <c r="K22" s="213">
        <f t="shared" ref="K22:K26" si="5">+H22*(I22/(1-(1+I22)^(-J22)))</f>
        <v>25679030.818288937</v>
      </c>
      <c r="L22" s="213">
        <v>0</v>
      </c>
      <c r="M22" s="219">
        <f>+IF(C22&gt;=0.001,((K22+'CAOM Infraestructura'!$J$45)*'DATOS ENTRADA'!$B$17),0)</f>
        <v>1066253.0035498464</v>
      </c>
      <c r="N22" s="213">
        <f t="shared" si="1"/>
        <v>26745283.821838785</v>
      </c>
      <c r="O22" s="203">
        <f>+'DATOS ENTRADA'!$B$21</f>
        <v>0.98</v>
      </c>
      <c r="P22" s="213">
        <f t="shared" si="2"/>
        <v>26210378.145402011</v>
      </c>
    </row>
    <row r="23" spans="1:16" x14ac:dyDescent="0.25">
      <c r="A23" s="43" t="str">
        <f>+UCAP!B24</f>
        <v>Luminaria</v>
      </c>
      <c r="B23" s="43" t="str">
        <f>+UCAP!C24</f>
        <v>Luminaria Led 92 W Nueva</v>
      </c>
      <c r="C23" s="311">
        <v>66</v>
      </c>
      <c r="D23" s="212">
        <f>+UCAP!O24</f>
        <v>1197021</v>
      </c>
      <c r="E23" s="212">
        <f t="shared" si="0"/>
        <v>79003386</v>
      </c>
      <c r="F23" s="214">
        <v>162</v>
      </c>
      <c r="G23" s="44">
        <v>130</v>
      </c>
      <c r="H23" s="212">
        <f t="shared" si="4"/>
        <v>98450373.323076919</v>
      </c>
      <c r="I23" s="202">
        <f>+'DATOS ENTRADA'!$B$16</f>
        <v>0.12089999999999999</v>
      </c>
      <c r="J23" s="201">
        <v>15</v>
      </c>
      <c r="K23" s="213">
        <f t="shared" si="5"/>
        <v>14524428.795805473</v>
      </c>
      <c r="L23" s="213">
        <v>0</v>
      </c>
      <c r="M23" s="219">
        <f>+IF(C23&gt;=0.001,((K23+'CAOM Infraestructura'!$J$45)*'DATOS ENTRADA'!$B$17),0)</f>
        <v>608914.3206280244</v>
      </c>
      <c r="N23" s="213">
        <f t="shared" si="1"/>
        <v>15133343.116433498</v>
      </c>
      <c r="O23" s="203">
        <f>+'DATOS ENTRADA'!$B$21</f>
        <v>0.98</v>
      </c>
      <c r="P23" s="213">
        <f t="shared" si="2"/>
        <v>14830676.254104827</v>
      </c>
    </row>
    <row r="24" spans="1:16" x14ac:dyDescent="0.25">
      <c r="A24" s="43" t="str">
        <f>+UCAP!B25</f>
        <v>Luminaria</v>
      </c>
      <c r="B24" s="43" t="str">
        <f>+UCAP!C25</f>
        <v>Reflector Led 100 W Nuevo</v>
      </c>
      <c r="C24" s="311">
        <v>11</v>
      </c>
      <c r="D24" s="212">
        <f>+UCAP!O25</f>
        <v>1615556</v>
      </c>
      <c r="E24" s="212">
        <f t="shared" si="0"/>
        <v>17771116</v>
      </c>
      <c r="F24" s="44">
        <v>140</v>
      </c>
      <c r="G24" s="44">
        <v>130</v>
      </c>
      <c r="H24" s="212">
        <f t="shared" si="4"/>
        <v>19138124.923076924</v>
      </c>
      <c r="I24" s="202">
        <f>+'DATOS ENTRADA'!$B$16</f>
        <v>0.12089999999999999</v>
      </c>
      <c r="J24" s="201">
        <v>15</v>
      </c>
      <c r="K24" s="213">
        <f t="shared" si="5"/>
        <v>2823456.360274707</v>
      </c>
      <c r="L24" s="213">
        <v>0</v>
      </c>
      <c r="M24" s="219">
        <f>+IF(C24&gt;=0.001,((K24+'CAOM Infraestructura'!$J$45)*'DATOS ENTRADA'!$B$17),0)</f>
        <v>129174.45077126299</v>
      </c>
      <c r="N24" s="213">
        <f t="shared" si="1"/>
        <v>2952630.8110459698</v>
      </c>
      <c r="O24" s="203">
        <f>+'DATOS ENTRADA'!$B$21</f>
        <v>0.98</v>
      </c>
      <c r="P24" s="213">
        <f t="shared" si="2"/>
        <v>2893578.1948250504</v>
      </c>
    </row>
    <row r="25" spans="1:16" x14ac:dyDescent="0.25">
      <c r="A25" s="43" t="str">
        <f>+UCAP!B26</f>
        <v>Luminaria</v>
      </c>
      <c r="B25" s="43" t="str">
        <f>+UCAP!C26</f>
        <v>Reflector Led 200 W Nuevo</v>
      </c>
      <c r="C25" s="311">
        <v>34</v>
      </c>
      <c r="D25" s="212">
        <f>+UCAP!O26</f>
        <v>1858363</v>
      </c>
      <c r="E25" s="212">
        <f t="shared" si="0"/>
        <v>63184342</v>
      </c>
      <c r="F25" s="44">
        <v>140</v>
      </c>
      <c r="G25" s="44">
        <v>130</v>
      </c>
      <c r="H25" s="212">
        <f t="shared" si="4"/>
        <v>68044676</v>
      </c>
      <c r="I25" s="202">
        <f>+'DATOS ENTRADA'!$B$16</f>
        <v>0.12089999999999999</v>
      </c>
      <c r="J25" s="201">
        <v>15</v>
      </c>
      <c r="K25" s="213">
        <f t="shared" si="5"/>
        <v>10038662.304025942</v>
      </c>
      <c r="L25" s="213">
        <v>0</v>
      </c>
      <c r="M25" s="219">
        <f>+IF(C25&gt;=0.001,((K25+'CAOM Infraestructura'!$J$45)*'DATOS ENTRADA'!$B$17),0)</f>
        <v>424997.89446506364</v>
      </c>
      <c r="N25" s="213">
        <f t="shared" si="1"/>
        <v>10463660.198491005</v>
      </c>
      <c r="O25" s="203">
        <f>+'DATOS ENTRADA'!$B$21</f>
        <v>0.98</v>
      </c>
      <c r="P25" s="213">
        <f t="shared" si="2"/>
        <v>10254386.994521186</v>
      </c>
    </row>
    <row r="26" spans="1:16" x14ac:dyDescent="0.25">
      <c r="A26" s="43" t="str">
        <f>+UCAP!B27</f>
        <v>Luminaria</v>
      </c>
      <c r="B26" s="43" t="str">
        <f>+UCAP!C27</f>
        <v>Reflector Led 400 W Nuevo</v>
      </c>
      <c r="C26" s="311">
        <v>30</v>
      </c>
      <c r="D26" s="212">
        <f>+UCAP!O27</f>
        <v>2926718</v>
      </c>
      <c r="E26" s="212">
        <f t="shared" si="0"/>
        <v>87801540</v>
      </c>
      <c r="F26" s="44">
        <v>140</v>
      </c>
      <c r="G26" s="44">
        <v>130</v>
      </c>
      <c r="H26" s="212">
        <f t="shared" si="4"/>
        <v>94555504.615384609</v>
      </c>
      <c r="I26" s="202">
        <f>+'DATOS ENTRADA'!$B$16</f>
        <v>0.12089999999999999</v>
      </c>
      <c r="J26" s="201">
        <v>15</v>
      </c>
      <c r="K26" s="213">
        <f t="shared" si="5"/>
        <v>13949817.026399134</v>
      </c>
      <c r="L26" s="213">
        <v>0</v>
      </c>
      <c r="M26" s="219">
        <f>+IF(C26&gt;=0.001,((K26+'CAOM Infraestructura'!$J$45)*'DATOS ENTRADA'!$B$17),0)</f>
        <v>585355.23808236455</v>
      </c>
      <c r="N26" s="213">
        <f t="shared" si="1"/>
        <v>14535172.264481498</v>
      </c>
      <c r="O26" s="203">
        <f>+'DATOS ENTRADA'!$B$21</f>
        <v>0.98</v>
      </c>
      <c r="P26" s="213">
        <f t="shared" si="2"/>
        <v>14244468.819191867</v>
      </c>
    </row>
    <row r="27" spans="1:16" x14ac:dyDescent="0.25">
      <c r="A27" s="43" t="str">
        <f>+UCAP!B28</f>
        <v>Transformador</v>
      </c>
      <c r="B27" s="43" t="str">
        <f>+UCAP!C28</f>
        <v>Transformador monofasico 15KVA</v>
      </c>
      <c r="C27" s="311">
        <v>1</v>
      </c>
      <c r="D27" s="212">
        <f>+UCAP!O28</f>
        <v>8762254</v>
      </c>
      <c r="E27" s="212">
        <f t="shared" si="0"/>
        <v>8762254</v>
      </c>
      <c r="F27" s="55"/>
      <c r="G27" s="55"/>
      <c r="H27" s="55"/>
      <c r="I27" s="202">
        <f>+'DATOS ENTRADA'!$B$16</f>
        <v>0.12089999999999999</v>
      </c>
      <c r="J27" s="201">
        <v>25</v>
      </c>
      <c r="K27" s="213">
        <f>+E27*(I27/(1-(1+I27)^(-J27)))</f>
        <v>1124169.1836783029</v>
      </c>
      <c r="L27" s="213">
        <v>0</v>
      </c>
      <c r="M27" s="219">
        <f>+IF(C27&gt;=0.001,((K27+'CAOM Infraestructura'!$J$45)*'DATOS ENTRADA'!$B$17),0)</f>
        <v>59503.676530810422</v>
      </c>
      <c r="N27" s="213">
        <f t="shared" si="1"/>
        <v>1183672.8602091135</v>
      </c>
      <c r="O27" s="203">
        <f>+'DATOS ENTRADA'!$B$21</f>
        <v>0.98</v>
      </c>
      <c r="P27" s="213">
        <f t="shared" si="2"/>
        <v>1159999.4030049311</v>
      </c>
    </row>
    <row r="28" spans="1:16" x14ac:dyDescent="0.25">
      <c r="A28" s="43" t="str">
        <f>+UCAP!B29</f>
        <v>Poste</v>
      </c>
      <c r="B28" s="43" t="str">
        <f>+UCAP!C29</f>
        <v>Poste metalico para luminaria 4 metros</v>
      </c>
      <c r="C28" s="44">
        <v>18</v>
      </c>
      <c r="D28" s="212">
        <f>+UCAP!O29</f>
        <v>893253</v>
      </c>
      <c r="E28" s="212">
        <f t="shared" si="0"/>
        <v>16078554</v>
      </c>
      <c r="F28" s="55"/>
      <c r="G28" s="44"/>
      <c r="H28" s="55"/>
      <c r="I28" s="202">
        <f>+'DATOS ENTRADA'!$B$16</f>
        <v>0.12089999999999999</v>
      </c>
      <c r="J28" s="201">
        <v>35</v>
      </c>
      <c r="K28" s="213">
        <f t="shared" ref="K28:K43" si="6">+E28*(I28/(1-(1+I28)^(-J28)))</f>
        <v>1980364.5724687336</v>
      </c>
      <c r="L28" s="213">
        <v>0</v>
      </c>
      <c r="M28" s="219">
        <f>+IF(C28&gt;=0.001,((K28+'CAOM Infraestructura'!$J$45)*'DATOS ENTRADA'!$B$17),0)</f>
        <v>94607.687471218072</v>
      </c>
      <c r="N28" s="213">
        <f t="shared" si="1"/>
        <v>2074972.2599399518</v>
      </c>
      <c r="O28" s="203">
        <f>+'DATOS ENTRADA'!$B$21</f>
        <v>0.98</v>
      </c>
      <c r="P28" s="213">
        <f t="shared" si="2"/>
        <v>2033472.8147411528</v>
      </c>
    </row>
    <row r="29" spans="1:16" hidden="1" x14ac:dyDescent="0.25">
      <c r="A29" s="43" t="str">
        <f>+UCAP!B30</f>
        <v>Poste</v>
      </c>
      <c r="B29" s="43" t="str">
        <f>+UCAP!C30</f>
        <v>Poste metalico para farol 3 metros</v>
      </c>
      <c r="D29" s="212">
        <f>+UCAP!O30</f>
        <v>879939</v>
      </c>
      <c r="E29" s="212">
        <f t="shared" si="0"/>
        <v>0</v>
      </c>
      <c r="F29" s="55"/>
      <c r="G29" s="55"/>
      <c r="H29" s="55"/>
      <c r="I29" s="202">
        <f>+'DATOS ENTRADA'!$B$16</f>
        <v>0.12089999999999999</v>
      </c>
      <c r="J29" s="201">
        <v>15</v>
      </c>
      <c r="K29" s="213">
        <f t="shared" si="6"/>
        <v>0</v>
      </c>
      <c r="L29" s="213">
        <v>0</v>
      </c>
      <c r="M29" s="219">
        <f>+IF(C29&gt;=0.001,((K29+'CAOM Infraestructura'!$J$45)*'DATOS ENTRADA'!$B$17),0)</f>
        <v>0</v>
      </c>
      <c r="N29" s="213">
        <f t="shared" si="1"/>
        <v>0</v>
      </c>
      <c r="O29" s="203">
        <f>+'DATOS ENTRADA'!$B$21</f>
        <v>0.98</v>
      </c>
      <c r="P29" s="213">
        <f t="shared" si="2"/>
        <v>0</v>
      </c>
    </row>
    <row r="30" spans="1:16" x14ac:dyDescent="0.25">
      <c r="A30" s="43" t="str">
        <f>+UCAP!B31</f>
        <v>Poste</v>
      </c>
      <c r="B30" s="43" t="str">
        <f>+UCAP!C31</f>
        <v>Poste de concreto 8 metros</v>
      </c>
      <c r="C30" s="44">
        <v>20</v>
      </c>
      <c r="D30" s="212">
        <f>+UCAP!O31</f>
        <v>934951</v>
      </c>
      <c r="E30" s="212">
        <f>+C30*D30</f>
        <v>18699020</v>
      </c>
      <c r="F30" s="55"/>
      <c r="G30" s="44"/>
      <c r="H30" s="55"/>
      <c r="I30" s="202">
        <f>+'DATOS ENTRADA'!$B$16</f>
        <v>0.12089999999999999</v>
      </c>
      <c r="J30" s="201">
        <v>35</v>
      </c>
      <c r="K30" s="213">
        <f t="shared" si="6"/>
        <v>2303122.3297744496</v>
      </c>
      <c r="L30" s="213">
        <v>0</v>
      </c>
      <c r="M30" s="219">
        <f>+IF(C30&gt;=0.001,((K30+'CAOM Infraestructura'!$J$45)*'DATOS ENTRADA'!$B$17),0)</f>
        <v>107840.75552075244</v>
      </c>
      <c r="N30" s="213">
        <f t="shared" si="1"/>
        <v>2410963.0852952022</v>
      </c>
      <c r="O30" s="203">
        <f>+'DATOS ENTRADA'!$B$21</f>
        <v>0.98</v>
      </c>
      <c r="P30" s="213">
        <f t="shared" si="2"/>
        <v>2362743.8235892979</v>
      </c>
    </row>
    <row r="31" spans="1:16" x14ac:dyDescent="0.25">
      <c r="A31" s="43" t="str">
        <f>+UCAP!B32</f>
        <v>Poste</v>
      </c>
      <c r="B31" s="43" t="str">
        <f>+UCAP!C32</f>
        <v>Poste de concreto 10 metros</v>
      </c>
      <c r="C31" s="200">
        <v>6</v>
      </c>
      <c r="D31" s="212">
        <f>+UCAP!O32</f>
        <v>1243802</v>
      </c>
      <c r="E31" s="212">
        <f t="shared" si="0"/>
        <v>7462812</v>
      </c>
      <c r="F31" s="55"/>
      <c r="G31" s="55"/>
      <c r="H31" s="55"/>
      <c r="I31" s="202">
        <f>+'DATOS ENTRADA'!$B$16</f>
        <v>0.12089999999999999</v>
      </c>
      <c r="J31" s="201">
        <v>35</v>
      </c>
      <c r="K31" s="213">
        <f t="shared" si="6"/>
        <v>919180.20089334738</v>
      </c>
      <c r="L31" s="213">
        <v>0</v>
      </c>
      <c r="M31" s="219">
        <f>+IF(C31&gt;=0.001,((K31+'CAOM Infraestructura'!$J$45)*'DATOS ENTRADA'!$B$17),0)</f>
        <v>51099.128236627243</v>
      </c>
      <c r="N31" s="213">
        <f t="shared" si="1"/>
        <v>970279.32912997459</v>
      </c>
      <c r="O31" s="203">
        <f>+'DATOS ENTRADA'!$B$21</f>
        <v>0.98</v>
      </c>
      <c r="P31" s="213">
        <f t="shared" si="2"/>
        <v>950873.74254737503</v>
      </c>
    </row>
    <row r="32" spans="1:16" hidden="1" x14ac:dyDescent="0.25">
      <c r="A32" s="43" t="str">
        <f>+UCAP!B33</f>
        <v>Poste</v>
      </c>
      <c r="B32" s="43" t="str">
        <f>+UCAP!C33</f>
        <v>Poste de concreto 12 metros</v>
      </c>
      <c r="C32" s="200"/>
      <c r="D32" s="212">
        <f>+UCAP!O33</f>
        <v>1816825</v>
      </c>
      <c r="E32" s="212">
        <f>+C32*D32</f>
        <v>0</v>
      </c>
      <c r="F32" s="55"/>
      <c r="G32" s="55"/>
      <c r="H32" s="55"/>
      <c r="I32" s="202">
        <f>+'DATOS ENTRADA'!$B$16</f>
        <v>0.12089999999999999</v>
      </c>
      <c r="J32" s="201">
        <v>15</v>
      </c>
      <c r="K32" s="213">
        <f t="shared" si="6"/>
        <v>0</v>
      </c>
      <c r="L32" s="213">
        <v>0</v>
      </c>
      <c r="M32" s="219">
        <f>+IF(C32&gt;=0.001,((K32+'CAOM Infraestructura'!$J$45)*'DATOS ENTRADA'!$B$17),0)</f>
        <v>0</v>
      </c>
      <c r="N32" s="213">
        <f t="shared" si="1"/>
        <v>0</v>
      </c>
      <c r="O32" s="203">
        <f>+'DATOS ENTRADA'!$B$21</f>
        <v>0.98</v>
      </c>
      <c r="P32" s="213">
        <f t="shared" si="2"/>
        <v>0</v>
      </c>
    </row>
    <row r="33" spans="1:16" x14ac:dyDescent="0.25">
      <c r="A33" s="43" t="str">
        <f>+UCAP!B34</f>
        <v>Poste</v>
      </c>
      <c r="B33" s="43" t="str">
        <f>+UCAP!C34</f>
        <v>Poste de concreto 16 metros</v>
      </c>
      <c r="C33" s="200">
        <v>5</v>
      </c>
      <c r="D33" s="212">
        <f>+UCAP!O34</f>
        <v>3064585</v>
      </c>
      <c r="E33" s="212">
        <f t="shared" si="0"/>
        <v>15322925</v>
      </c>
      <c r="F33" s="55"/>
      <c r="G33" s="55"/>
      <c r="H33" s="55"/>
      <c r="I33" s="202">
        <f>+'DATOS ENTRADA'!$B$16</f>
        <v>0.12089999999999999</v>
      </c>
      <c r="J33" s="201">
        <v>35</v>
      </c>
      <c r="K33" s="213">
        <f t="shared" si="6"/>
        <v>1887295.2018319229</v>
      </c>
      <c r="L33" s="213">
        <v>0</v>
      </c>
      <c r="M33" s="219">
        <f>+IF(C33&gt;=0.001,((K33+'CAOM Infraestructura'!$J$45)*'DATOS ENTRADA'!$B$17),0)</f>
        <v>90791.84327510884</v>
      </c>
      <c r="N33" s="213">
        <f t="shared" si="1"/>
        <v>1978087.0451070317</v>
      </c>
      <c r="O33" s="203">
        <f>+'DATOS ENTRADA'!$B$21</f>
        <v>0.98</v>
      </c>
      <c r="P33" s="213">
        <f t="shared" si="2"/>
        <v>1938525.304204891</v>
      </c>
    </row>
    <row r="34" spans="1:16" hidden="1" x14ac:dyDescent="0.25">
      <c r="A34" s="43" t="str">
        <f>+UCAP!B35</f>
        <v>Cajas de Inspección y Canalizaciones</v>
      </c>
      <c r="B34" s="43" t="str">
        <f>+UCAP!C35</f>
        <v>Canalizacion con un ducto 1/2" PVC x 500MTS</v>
      </c>
      <c r="C34" s="200"/>
      <c r="D34" s="212">
        <f>+UCAP!O35</f>
        <v>6577158</v>
      </c>
      <c r="E34" s="212">
        <f t="shared" si="0"/>
        <v>0</v>
      </c>
      <c r="F34" s="55"/>
      <c r="G34" s="55"/>
      <c r="H34" s="55"/>
      <c r="I34" s="202">
        <f>+'DATOS ENTRADA'!$B$16</f>
        <v>0.12089999999999999</v>
      </c>
      <c r="J34" s="201">
        <v>15</v>
      </c>
      <c r="K34" s="213">
        <f t="shared" si="6"/>
        <v>0</v>
      </c>
      <c r="L34" s="213">
        <v>0</v>
      </c>
      <c r="M34" s="219">
        <f>+IF(C34&gt;=0.001,((K34+'CAOM Infraestructura'!$J$45)*'DATOS ENTRADA'!$B$17),0)</f>
        <v>0</v>
      </c>
      <c r="N34" s="213">
        <f t="shared" si="1"/>
        <v>0</v>
      </c>
      <c r="O34" s="203">
        <f>+'DATOS ENTRADA'!$B$21</f>
        <v>0.98</v>
      </c>
      <c r="P34" s="213">
        <f t="shared" si="2"/>
        <v>0</v>
      </c>
    </row>
    <row r="35" spans="1:16" ht="28.5" x14ac:dyDescent="0.25">
      <c r="A35" s="43" t="str">
        <f>+UCAP!B36</f>
        <v>Cajas de Inspección y Canalizaciones</v>
      </c>
      <c r="B35" s="185" t="str">
        <f>+UCAP!C36</f>
        <v>Canalizacion con un ducto  1 1/2" PVC x 500MTS</v>
      </c>
      <c r="C35" s="44">
        <f>40/500</f>
        <v>0.08</v>
      </c>
      <c r="D35" s="212">
        <f>+UCAP!O36</f>
        <v>14291823</v>
      </c>
      <c r="E35" s="212">
        <f t="shared" si="0"/>
        <v>1143345.8400000001</v>
      </c>
      <c r="F35" s="55"/>
      <c r="G35" s="55"/>
      <c r="H35" s="55"/>
      <c r="I35" s="202">
        <f>+'DATOS ENTRADA'!$B$16</f>
        <v>0.12089999999999999</v>
      </c>
      <c r="J35" s="201">
        <v>35</v>
      </c>
      <c r="K35" s="213">
        <f t="shared" si="6"/>
        <v>140823.70812795139</v>
      </c>
      <c r="L35" s="213">
        <v>0</v>
      </c>
      <c r="M35" s="219">
        <f>+IF(C35&gt;=0.001,((K35+'CAOM Infraestructura'!$J$45)*'DATOS ENTRADA'!$B$17),0)</f>
        <v>19186.512033246006</v>
      </c>
      <c r="N35" s="213">
        <f t="shared" si="1"/>
        <v>160010.22016119742</v>
      </c>
      <c r="O35" s="203">
        <f>+'DATOS ENTRADA'!$B$21</f>
        <v>0.98</v>
      </c>
      <c r="P35" s="213">
        <f t="shared" si="2"/>
        <v>156810.01575797345</v>
      </c>
    </row>
    <row r="36" spans="1:16" ht="28.5" x14ac:dyDescent="0.25">
      <c r="A36" s="43" t="str">
        <f>+UCAP!B37</f>
        <v>Cajas de Inspección y Canalizaciones</v>
      </c>
      <c r="B36" s="185" t="str">
        <f>+UCAP!C37</f>
        <v>Caja para redes subterraneas tipo alumbrado público</v>
      </c>
      <c r="C36" s="44">
        <v>20</v>
      </c>
      <c r="D36" s="212">
        <f>+UCAP!O37</f>
        <v>358194</v>
      </c>
      <c r="E36" s="212">
        <f t="shared" si="0"/>
        <v>7163880</v>
      </c>
      <c r="F36" s="55"/>
      <c r="G36" s="44"/>
      <c r="H36" s="55"/>
      <c r="I36" s="202">
        <f>+'DATOS ENTRADA'!$B$16</f>
        <v>0.12089999999999999</v>
      </c>
      <c r="J36" s="201">
        <v>35</v>
      </c>
      <c r="K36" s="213">
        <f t="shared" si="6"/>
        <v>882361.32138607185</v>
      </c>
      <c r="L36" s="213">
        <v>0</v>
      </c>
      <c r="M36" s="219">
        <f>+IF(C36&gt;=0.001,((K36+'CAOM Infraestructura'!$J$45)*'DATOS ENTRADA'!$B$17),0)</f>
        <v>49589.554176828948</v>
      </c>
      <c r="N36" s="213">
        <f t="shared" si="1"/>
        <v>931950.87556290079</v>
      </c>
      <c r="O36" s="203">
        <f>+'DATOS ENTRADA'!$B$21</f>
        <v>0.98</v>
      </c>
      <c r="P36" s="213">
        <f t="shared" si="2"/>
        <v>913311.85805164278</v>
      </c>
    </row>
    <row r="37" spans="1:16" x14ac:dyDescent="0.25">
      <c r="A37" s="43" t="str">
        <f>+UCAP!B38</f>
        <v>Redes</v>
      </c>
      <c r="B37" s="43" t="str">
        <f>+UCAP!C38</f>
        <v>Red aerea en cable 2x4+4 AWG x 500MTS</v>
      </c>
      <c r="C37" s="263">
        <f>689/500</f>
        <v>1.3779999999999999</v>
      </c>
      <c r="D37" s="212">
        <f>+UCAP!O38</f>
        <v>7907278</v>
      </c>
      <c r="E37" s="212">
        <f t="shared" si="0"/>
        <v>10896229.083999999</v>
      </c>
      <c r="F37" s="55"/>
      <c r="G37" s="55"/>
      <c r="H37" s="55"/>
      <c r="I37" s="202">
        <f>+'DATOS ENTRADA'!$B$16</f>
        <v>0.12089999999999999</v>
      </c>
      <c r="J37" s="201">
        <v>35</v>
      </c>
      <c r="K37" s="213">
        <f t="shared" si="6"/>
        <v>1342067.579675202</v>
      </c>
      <c r="L37" s="213">
        <v>0</v>
      </c>
      <c r="M37" s="219">
        <f>+IF(C37&gt;=0.001,((K37+'CAOM Infraestructura'!$J$45)*'DATOS ENTRADA'!$B$17),0)</f>
        <v>68437.510766683292</v>
      </c>
      <c r="N37" s="213">
        <f t="shared" si="1"/>
        <v>1410505.0904418854</v>
      </c>
      <c r="O37" s="203">
        <f>+'DATOS ENTRADA'!$B$21</f>
        <v>0.98</v>
      </c>
      <c r="P37" s="213">
        <f t="shared" si="2"/>
        <v>1382294.9886330476</v>
      </c>
    </row>
    <row r="38" spans="1:16" x14ac:dyDescent="0.25">
      <c r="A38" s="43" t="str">
        <f>+UCAP!B39</f>
        <v>Redes</v>
      </c>
      <c r="B38" s="43" t="str">
        <f>+UCAP!C39</f>
        <v>Red aerea en cable 2x2+2 AWG x 500MTS</v>
      </c>
      <c r="C38" s="44">
        <f>390/500</f>
        <v>0.78</v>
      </c>
      <c r="D38" s="212">
        <f>+UCAP!O39</f>
        <v>9372820</v>
      </c>
      <c r="E38" s="212">
        <f t="shared" si="0"/>
        <v>7310799.6000000006</v>
      </c>
      <c r="F38" s="44"/>
      <c r="G38" s="44"/>
      <c r="H38" s="212"/>
      <c r="I38" s="202">
        <f>+'DATOS ENTRADA'!$B$16</f>
        <v>0.12089999999999999</v>
      </c>
      <c r="J38" s="201">
        <v>35</v>
      </c>
      <c r="K38" s="213">
        <f t="shared" si="6"/>
        <v>900457.12594917358</v>
      </c>
      <c r="L38" s="213">
        <v>0</v>
      </c>
      <c r="M38" s="219">
        <f>+IF(C38&gt;=0.001,((K38+'CAOM Infraestructura'!$J$45)*'DATOS ENTRADA'!$B$17),0)</f>
        <v>50331.482163916124</v>
      </c>
      <c r="N38" s="213">
        <f t="shared" si="1"/>
        <v>950788.60811308969</v>
      </c>
      <c r="O38" s="203">
        <f>+'DATOS ENTRADA'!$B$21</f>
        <v>0.98</v>
      </c>
      <c r="P38" s="213">
        <f t="shared" si="2"/>
        <v>931772.83595082792</v>
      </c>
    </row>
    <row r="39" spans="1:16" hidden="1" x14ac:dyDescent="0.25">
      <c r="A39" s="43" t="str">
        <f>+UCAP!B40</f>
        <v>Redes</v>
      </c>
      <c r="B39" s="43" t="str">
        <f>+UCAP!C40</f>
        <v>Red aerea en ASCR No 4x2 AWG x 500MTS</v>
      </c>
      <c r="C39" s="200"/>
      <c r="D39" s="212">
        <f>+UCAP!O40</f>
        <v>12709411</v>
      </c>
      <c r="E39" s="212">
        <f t="shared" si="0"/>
        <v>0</v>
      </c>
      <c r="F39" s="55"/>
      <c r="G39" s="55"/>
      <c r="H39" s="55"/>
      <c r="I39" s="202">
        <f>+'DATOS ENTRADA'!$B$16</f>
        <v>0.12089999999999999</v>
      </c>
      <c r="J39" s="201">
        <v>15</v>
      </c>
      <c r="K39" s="213">
        <f t="shared" si="6"/>
        <v>0</v>
      </c>
      <c r="L39" s="213">
        <v>0</v>
      </c>
      <c r="M39" s="219">
        <f>+IF(C39&gt;=0.001,((K39+'CAOM Infraestructura'!$J$45)*'DATOS ENTRADA'!$B$17),0)</f>
        <v>0</v>
      </c>
      <c r="N39" s="213">
        <f t="shared" si="1"/>
        <v>0</v>
      </c>
      <c r="O39" s="203">
        <f>+'DATOS ENTRADA'!$B$21</f>
        <v>0.98</v>
      </c>
      <c r="P39" s="213">
        <f t="shared" si="2"/>
        <v>0</v>
      </c>
    </row>
    <row r="40" spans="1:16" hidden="1" x14ac:dyDescent="0.25">
      <c r="A40" s="43"/>
      <c r="B40" s="43" t="str">
        <f>+UCAP!C41</f>
        <v>Red subterranea en cable No 12 AWG Cu x 500MTS</v>
      </c>
      <c r="C40" s="200"/>
      <c r="D40" s="212">
        <f>+UCAP!O41</f>
        <v>4077855</v>
      </c>
      <c r="E40" s="212">
        <f t="shared" si="0"/>
        <v>0</v>
      </c>
      <c r="F40" s="55"/>
      <c r="G40" s="44"/>
      <c r="H40" s="55"/>
      <c r="I40" s="202">
        <f>+'DATOS ENTRADA'!$B$16</f>
        <v>0.12089999999999999</v>
      </c>
      <c r="J40" s="201">
        <v>15</v>
      </c>
      <c r="K40" s="213">
        <f t="shared" si="6"/>
        <v>0</v>
      </c>
      <c r="L40" s="213">
        <v>0</v>
      </c>
      <c r="M40" s="219">
        <f>+IF(C40&gt;=0.001,((K40+'CAOM Infraestructura'!$J$45)*'DATOS ENTRADA'!$B$17),0)</f>
        <v>0</v>
      </c>
      <c r="N40" s="213">
        <f t="shared" si="1"/>
        <v>0</v>
      </c>
      <c r="O40" s="203">
        <f>+'DATOS ENTRADA'!$B$21</f>
        <v>0.98</v>
      </c>
      <c r="P40" s="213">
        <f t="shared" si="2"/>
        <v>0</v>
      </c>
    </row>
    <row r="41" spans="1:16" ht="28.5" x14ac:dyDescent="0.25">
      <c r="A41" s="43"/>
      <c r="B41" s="185" t="str">
        <f>+UCAP!C42</f>
        <v>Red subterranea en cable No 2 AWG Al x 500MTS</v>
      </c>
      <c r="C41" s="44">
        <f>360/500</f>
        <v>0.72</v>
      </c>
      <c r="D41" s="212">
        <f>+UCAP!O42</f>
        <v>4682064</v>
      </c>
      <c r="E41" s="212">
        <f t="shared" si="0"/>
        <v>3371086.08</v>
      </c>
      <c r="F41" s="55"/>
      <c r="G41" s="44"/>
      <c r="H41" s="55"/>
      <c r="I41" s="202">
        <f>+'DATOS ENTRADA'!$B$16</f>
        <v>0.12089999999999999</v>
      </c>
      <c r="J41" s="201">
        <v>35</v>
      </c>
      <c r="K41" s="213">
        <f t="shared" si="6"/>
        <v>415210.18889972934</v>
      </c>
      <c r="L41" s="213">
        <v>0</v>
      </c>
      <c r="M41" s="219">
        <f>+IF(C41&gt;=0.001,((K41+'CAOM Infraestructura'!$J$45)*'DATOS ENTRADA'!$B$17),0)</f>
        <v>30436.357744888908</v>
      </c>
      <c r="N41" s="213">
        <f t="shared" si="1"/>
        <v>445646.54664461827</v>
      </c>
      <c r="O41" s="203">
        <f>+'DATOS ENTRADA'!$B$21</f>
        <v>0.98</v>
      </c>
      <c r="P41" s="213">
        <f t="shared" si="2"/>
        <v>436733.6157117259</v>
      </c>
    </row>
    <row r="42" spans="1:16" hidden="1" x14ac:dyDescent="0.25">
      <c r="A42" s="43" t="str">
        <f>+UCAP!B43</f>
        <v>Redes</v>
      </c>
      <c r="B42" s="43" t="str">
        <f>+UCAP!C43</f>
        <v>Red en cable encauchetado 3x14 AWG Cu x 500MTS</v>
      </c>
      <c r="C42" s="200"/>
      <c r="D42" s="212">
        <f>+UCAP!O43</f>
        <v>5247624</v>
      </c>
      <c r="E42" s="212">
        <f t="shared" si="0"/>
        <v>0</v>
      </c>
      <c r="F42" s="55"/>
      <c r="G42" s="55"/>
      <c r="H42" s="55"/>
      <c r="I42" s="202">
        <f>+'DATOS ENTRADA'!$B$16</f>
        <v>0.12089999999999999</v>
      </c>
      <c r="J42" s="201">
        <v>15</v>
      </c>
      <c r="K42" s="213">
        <f t="shared" si="6"/>
        <v>0</v>
      </c>
      <c r="L42" s="213">
        <v>0</v>
      </c>
      <c r="M42" s="219">
        <f>+IF(C42&gt;=0.001,((K42+'CAOM Infraestructura'!$J$45)*'DATOS ENTRADA'!$B$17),0)</f>
        <v>0</v>
      </c>
      <c r="N42" s="213">
        <f t="shared" si="1"/>
        <v>0</v>
      </c>
      <c r="O42" s="203">
        <f>+'DATOS ENTRADA'!$B$21</f>
        <v>0.98</v>
      </c>
      <c r="P42" s="213">
        <f t="shared" si="2"/>
        <v>0</v>
      </c>
    </row>
    <row r="43" spans="1:16" x14ac:dyDescent="0.25">
      <c r="A43" s="43" t="str">
        <f>+UCAP!B44</f>
        <v>Redes</v>
      </c>
      <c r="B43" s="43" t="str">
        <f>+UCAP!C44</f>
        <v>Sistema puesta a tierra</v>
      </c>
      <c r="C43" s="44">
        <v>7</v>
      </c>
      <c r="D43" s="212">
        <f>+UCAP!O44</f>
        <v>337855</v>
      </c>
      <c r="E43" s="212">
        <f t="shared" si="0"/>
        <v>2364985</v>
      </c>
      <c r="F43" s="55"/>
      <c r="G43" s="55"/>
      <c r="H43" s="55"/>
      <c r="I43" s="202">
        <f>+'DATOS ENTRADA'!$B$16</f>
        <v>0.12089999999999999</v>
      </c>
      <c r="J43" s="201">
        <v>35</v>
      </c>
      <c r="K43" s="213">
        <f t="shared" si="6"/>
        <v>291290.65389959619</v>
      </c>
      <c r="L43" s="213">
        <v>0</v>
      </c>
      <c r="M43" s="219">
        <f>+IF(C43&gt;=0.001,((K43+'CAOM Infraestructura'!$J$45)*'DATOS ENTRADA'!$B$17),0)</f>
        <v>25355.656809883443</v>
      </c>
      <c r="N43" s="213">
        <f t="shared" si="1"/>
        <v>316646.31070947961</v>
      </c>
      <c r="O43" s="203">
        <f>+'DATOS ENTRADA'!$B$21</f>
        <v>0.98</v>
      </c>
      <c r="P43" s="213">
        <f t="shared" si="2"/>
        <v>310313.38449529</v>
      </c>
    </row>
    <row r="44" spans="1:16" x14ac:dyDescent="0.25">
      <c r="C44" s="197"/>
      <c r="D44" s="10"/>
      <c r="E44" s="10"/>
      <c r="F44" s="10"/>
      <c r="G44" s="10"/>
      <c r="H44" s="10"/>
      <c r="I44" s="11"/>
      <c r="K44" s="16"/>
      <c r="L44" s="16"/>
      <c r="M44" s="16"/>
      <c r="N44" s="16"/>
      <c r="P44" s="16"/>
    </row>
    <row r="45" spans="1:16" x14ac:dyDescent="0.25">
      <c r="C45" s="12"/>
      <c r="D45" s="10"/>
      <c r="I45" s="11"/>
      <c r="K45" s="16"/>
      <c r="L45" s="16"/>
      <c r="M45" s="16"/>
      <c r="N45" s="16"/>
      <c r="P45" s="16"/>
    </row>
    <row r="46" spans="1:16" ht="18" x14ac:dyDescent="0.25">
      <c r="B46" s="60" t="s">
        <v>131</v>
      </c>
      <c r="C46" s="61"/>
      <c r="D46" s="62"/>
      <c r="E46" s="234">
        <f>+SUM(E4:E43)</f>
        <v>1134500418.6039999</v>
      </c>
      <c r="F46" s="66"/>
      <c r="G46" s="66"/>
      <c r="H46" s="66"/>
      <c r="I46" s="63"/>
      <c r="J46" s="61"/>
      <c r="K46" s="64"/>
      <c r="L46" s="64"/>
      <c r="M46" s="64"/>
      <c r="N46" s="64"/>
      <c r="O46" s="61"/>
      <c r="P46" s="65"/>
    </row>
    <row r="47" spans="1:16" x14ac:dyDescent="0.25">
      <c r="C47" s="12"/>
      <c r="D47" s="10"/>
      <c r="I47" s="11"/>
      <c r="K47" s="16"/>
      <c r="L47" s="16"/>
      <c r="M47" s="16"/>
      <c r="N47" s="16"/>
      <c r="P47" s="16"/>
    </row>
    <row r="48" spans="1:16" ht="18" x14ac:dyDescent="0.25">
      <c r="B48" s="60" t="s">
        <v>36</v>
      </c>
      <c r="C48" s="89"/>
      <c r="D48" s="90"/>
      <c r="E48" s="90"/>
      <c r="F48" s="90"/>
      <c r="G48" s="90"/>
      <c r="H48" s="90"/>
      <c r="I48" s="92"/>
      <c r="J48" s="89"/>
      <c r="K48" s="93"/>
      <c r="L48" s="94"/>
      <c r="M48" s="94"/>
      <c r="N48" s="94"/>
      <c r="O48" s="95"/>
      <c r="P48" s="231">
        <f>+ROUND(SUM(P4:P43),0)</f>
        <v>202650893</v>
      </c>
    </row>
    <row r="49" spans="1:16" ht="18" x14ac:dyDescent="0.25">
      <c r="B49" s="60" t="s">
        <v>35</v>
      </c>
      <c r="C49" s="89"/>
      <c r="D49" s="90"/>
      <c r="E49" s="90"/>
      <c r="F49" s="90"/>
      <c r="G49" s="90"/>
      <c r="H49" s="90"/>
      <c r="I49" s="92"/>
      <c r="J49" s="89"/>
      <c r="K49" s="93"/>
      <c r="L49" s="94"/>
      <c r="M49" s="94"/>
      <c r="N49" s="94"/>
      <c r="O49" s="95"/>
      <c r="P49" s="96">
        <f>+ROUND((P48/12),0)</f>
        <v>16887574</v>
      </c>
    </row>
    <row r="50" spans="1:16" ht="32.25" customHeight="1" x14ac:dyDescent="0.25">
      <c r="C50" s="12"/>
      <c r="D50" s="10"/>
      <c r="E50" s="10"/>
      <c r="F50" s="10"/>
      <c r="G50" s="10"/>
      <c r="H50" s="10"/>
      <c r="I50" s="11"/>
      <c r="K50" s="16"/>
      <c r="L50" s="16"/>
      <c r="M50" s="16"/>
      <c r="N50" s="16"/>
      <c r="P50" s="16">
        <f>+ROUND((P49/12),0)</f>
        <v>1407298</v>
      </c>
    </row>
    <row r="51" spans="1:16" ht="32.25" customHeight="1" x14ac:dyDescent="0.25">
      <c r="C51" s="12"/>
      <c r="D51" s="10"/>
      <c r="E51" s="10"/>
      <c r="F51" s="10"/>
      <c r="G51" s="10"/>
      <c r="H51" s="10"/>
      <c r="I51" s="11"/>
      <c r="K51" s="16"/>
      <c r="L51" s="16"/>
      <c r="M51" s="16"/>
      <c r="N51" s="16"/>
      <c r="P51" s="16"/>
    </row>
    <row r="52" spans="1:16" x14ac:dyDescent="0.25">
      <c r="C52" s="12"/>
      <c r="D52" s="10"/>
      <c r="E52" s="10"/>
      <c r="F52" s="10"/>
      <c r="G52" s="10"/>
      <c r="H52" s="10"/>
      <c r="I52" s="11"/>
      <c r="K52" s="16"/>
      <c r="L52" s="16"/>
      <c r="M52" s="16"/>
      <c r="N52" s="16"/>
      <c r="P52" s="16"/>
    </row>
    <row r="53" spans="1:16" ht="20.25" customHeight="1" x14ac:dyDescent="0.25">
      <c r="A53" s="223" t="s">
        <v>1</v>
      </c>
      <c r="B53" s="223" t="s">
        <v>22</v>
      </c>
      <c r="C53" s="223" t="s">
        <v>38</v>
      </c>
      <c r="D53" s="223" t="s">
        <v>43</v>
      </c>
      <c r="E53" s="10"/>
      <c r="F53" s="10"/>
      <c r="G53" s="10"/>
      <c r="H53" s="10"/>
      <c r="I53" s="11"/>
      <c r="K53" s="16"/>
      <c r="L53" s="16"/>
      <c r="M53" s="16"/>
      <c r="N53" s="16"/>
      <c r="P53" s="16"/>
    </row>
    <row r="54" spans="1:16" x14ac:dyDescent="0.25">
      <c r="A54" s="43" t="s">
        <v>39</v>
      </c>
      <c r="B54" s="69">
        <v>0</v>
      </c>
      <c r="C54" s="70"/>
      <c r="D54" s="68">
        <f t="shared" ref="D54:D61" si="7">+C54/$C$61</f>
        <v>0</v>
      </c>
      <c r="E54" s="17"/>
      <c r="F54" s="17"/>
      <c r="G54" s="17"/>
      <c r="H54" s="17"/>
      <c r="I54" s="11"/>
      <c r="K54" s="16"/>
      <c r="L54" s="16"/>
      <c r="M54" s="16"/>
      <c r="N54" s="16"/>
      <c r="P54" s="16"/>
    </row>
    <row r="55" spans="1:16" x14ac:dyDescent="0.25">
      <c r="A55" s="43" t="s">
        <v>37</v>
      </c>
      <c r="B55" s="69">
        <f>+C5+C8+C13+C17+C23+C24</f>
        <v>77</v>
      </c>
      <c r="C55" s="222">
        <f>+E5+E8+E13+E17+E23+E24</f>
        <v>96774502</v>
      </c>
      <c r="D55" s="68">
        <f t="shared" si="7"/>
        <v>0.3794019398130053</v>
      </c>
      <c r="E55" s="18"/>
      <c r="F55" s="18"/>
      <c r="G55" s="18"/>
      <c r="H55" s="18"/>
      <c r="I55" s="11"/>
      <c r="M55" s="16"/>
      <c r="N55" s="16"/>
      <c r="P55" s="16"/>
    </row>
    <row r="56" spans="1:16" x14ac:dyDescent="0.25">
      <c r="A56" s="43" t="s">
        <v>40</v>
      </c>
      <c r="B56" s="69"/>
      <c r="C56" s="72"/>
      <c r="D56" s="68">
        <f t="shared" si="7"/>
        <v>0</v>
      </c>
    </row>
    <row r="57" spans="1:16" s="15" customFormat="1" x14ac:dyDescent="0.25">
      <c r="A57" s="43" t="s">
        <v>41</v>
      </c>
      <c r="B57" s="69">
        <f>+C25+C26</f>
        <v>64</v>
      </c>
      <c r="C57" s="222">
        <f>+E25+E26</f>
        <v>150985882</v>
      </c>
      <c r="D57" s="68">
        <f t="shared" si="7"/>
        <v>0.59193625729200361</v>
      </c>
      <c r="I57" s="19"/>
      <c r="J57" s="19"/>
      <c r="O57" s="19"/>
    </row>
    <row r="58" spans="1:16" s="15" customFormat="1" ht="28.5" x14ac:dyDescent="0.25">
      <c r="A58" s="185" t="s">
        <v>98</v>
      </c>
      <c r="B58" s="71"/>
      <c r="C58" s="72"/>
      <c r="D58" s="68">
        <f t="shared" si="7"/>
        <v>0</v>
      </c>
      <c r="I58" s="19"/>
      <c r="J58" s="19"/>
      <c r="O58" s="19"/>
    </row>
    <row r="59" spans="1:16" s="15" customFormat="1" x14ac:dyDescent="0.25">
      <c r="A59" s="43" t="s">
        <v>42</v>
      </c>
      <c r="B59" s="71">
        <f>+C38</f>
        <v>0.78</v>
      </c>
      <c r="C59" s="222">
        <f>+E38</f>
        <v>7310799.6000000006</v>
      </c>
      <c r="D59" s="68">
        <f t="shared" si="7"/>
        <v>2.8661801326801385E-2</v>
      </c>
      <c r="E59" s="17"/>
      <c r="F59" s="17"/>
      <c r="G59" s="17"/>
      <c r="H59" s="17"/>
      <c r="I59" s="42"/>
      <c r="J59" s="19"/>
      <c r="O59" s="19"/>
    </row>
    <row r="60" spans="1:16" x14ac:dyDescent="0.25">
      <c r="A60" s="43" t="s">
        <v>148</v>
      </c>
      <c r="B60" s="69"/>
      <c r="C60" s="72"/>
      <c r="D60" s="68">
        <f t="shared" si="7"/>
        <v>0</v>
      </c>
      <c r="E60" s="13"/>
      <c r="F60" s="13"/>
      <c r="G60" s="13"/>
      <c r="H60" s="13"/>
      <c r="I60" s="22"/>
      <c r="J60" s="21"/>
      <c r="K60" s="41"/>
    </row>
    <row r="61" spans="1:16" x14ac:dyDescent="0.25">
      <c r="A61" s="224"/>
      <c r="B61" s="225"/>
      <c r="C61" s="226">
        <f>+ROUND(SUM(C54:C60),0)</f>
        <v>255071184</v>
      </c>
      <c r="D61" s="227">
        <f t="shared" si="7"/>
        <v>1</v>
      </c>
      <c r="E61" s="13"/>
      <c r="F61" s="13"/>
      <c r="G61" s="13"/>
      <c r="H61" s="13"/>
      <c r="I61" s="20"/>
      <c r="J61" s="21"/>
      <c r="K61" s="41"/>
    </row>
    <row r="65" spans="2:9" x14ac:dyDescent="0.25">
      <c r="B65" s="43" t="s">
        <v>133</v>
      </c>
      <c r="C65" s="55">
        <f>+P50</f>
        <v>1407298</v>
      </c>
    </row>
    <row r="66" spans="2:9" x14ac:dyDescent="0.25">
      <c r="B66" s="43" t="s">
        <v>134</v>
      </c>
      <c r="C66" s="55">
        <f>+C65+$P$50</f>
        <v>2814596</v>
      </c>
      <c r="I66" s="220"/>
    </row>
    <row r="67" spans="2:9" x14ac:dyDescent="0.25">
      <c r="B67" s="43" t="s">
        <v>135</v>
      </c>
      <c r="C67" s="55">
        <f t="shared" ref="C67:C76" si="8">+C66+$P$50</f>
        <v>4221894</v>
      </c>
      <c r="I67" s="221"/>
    </row>
    <row r="68" spans="2:9" x14ac:dyDescent="0.25">
      <c r="B68" s="43" t="s">
        <v>136</v>
      </c>
      <c r="C68" s="55">
        <f t="shared" si="8"/>
        <v>5629192</v>
      </c>
      <c r="I68" s="221"/>
    </row>
    <row r="69" spans="2:9" x14ac:dyDescent="0.25">
      <c r="B69" s="43" t="s">
        <v>137</v>
      </c>
      <c r="C69" s="55">
        <f t="shared" si="8"/>
        <v>7036490</v>
      </c>
      <c r="I69" s="186"/>
    </row>
    <row r="70" spans="2:9" x14ac:dyDescent="0.25">
      <c r="B70" s="43" t="s">
        <v>138</v>
      </c>
      <c r="C70" s="55">
        <f t="shared" si="8"/>
        <v>8443788</v>
      </c>
    </row>
    <row r="71" spans="2:9" x14ac:dyDescent="0.25">
      <c r="B71" s="43" t="s">
        <v>139</v>
      </c>
      <c r="C71" s="55">
        <f t="shared" si="8"/>
        <v>9851086</v>
      </c>
    </row>
    <row r="72" spans="2:9" x14ac:dyDescent="0.25">
      <c r="B72" s="43" t="s">
        <v>140</v>
      </c>
      <c r="C72" s="55">
        <f t="shared" si="8"/>
        <v>11258384</v>
      </c>
    </row>
    <row r="73" spans="2:9" x14ac:dyDescent="0.25">
      <c r="B73" s="43" t="s">
        <v>141</v>
      </c>
      <c r="C73" s="55">
        <f t="shared" si="8"/>
        <v>12665682</v>
      </c>
    </row>
    <row r="74" spans="2:9" x14ac:dyDescent="0.25">
      <c r="B74" s="43" t="s">
        <v>142</v>
      </c>
      <c r="C74" s="55">
        <f t="shared" si="8"/>
        <v>14072980</v>
      </c>
    </row>
    <row r="75" spans="2:9" x14ac:dyDescent="0.25">
      <c r="B75" s="43" t="s">
        <v>143</v>
      </c>
      <c r="C75" s="55">
        <f t="shared" si="8"/>
        <v>15480278</v>
      </c>
    </row>
    <row r="76" spans="2:9" x14ac:dyDescent="0.25">
      <c r="B76" s="43" t="s">
        <v>144</v>
      </c>
      <c r="C76" s="55">
        <f t="shared" si="8"/>
        <v>16887576</v>
      </c>
    </row>
  </sheetData>
  <autoFilter ref="A3:P43" xr:uid="{00000000-0009-0000-0000-000006000000}">
    <filterColumn colId="2">
      <customFilters>
        <customFilter operator="notEqual" val=" "/>
      </customFilters>
    </filterColumn>
  </autoFilter>
  <mergeCells count="1">
    <mergeCell ref="B1:P1"/>
  </mergeCells>
  <printOptions horizontalCentered="1"/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0000"/>
  </sheetPr>
  <dimension ref="A1:E72"/>
  <sheetViews>
    <sheetView showGridLines="0" view="pageBreakPreview" zoomScale="80" zoomScaleNormal="80" zoomScaleSheetLayoutView="80" workbookViewId="0">
      <selection activeCell="G55" sqref="G55"/>
    </sheetView>
  </sheetViews>
  <sheetFormatPr baseColWidth="10" defaultRowHeight="14.25" x14ac:dyDescent="0.25"/>
  <cols>
    <col min="1" max="1" width="21.85546875" style="3" customWidth="1"/>
    <col min="2" max="2" width="50.5703125" style="3" customWidth="1"/>
    <col min="3" max="3" width="17.7109375" style="3" customWidth="1"/>
    <col min="4" max="4" width="20.5703125" style="3" customWidth="1"/>
    <col min="5" max="5" width="28.7109375" style="3" customWidth="1"/>
    <col min="6" max="6" width="13" style="3" bestFit="1" customWidth="1"/>
    <col min="7" max="16384" width="11.42578125" style="3"/>
  </cols>
  <sheetData>
    <row r="1" spans="1:5" ht="57" customHeight="1" x14ac:dyDescent="0.25">
      <c r="A1" s="281" t="s">
        <v>187</v>
      </c>
      <c r="B1" s="281"/>
      <c r="C1" s="281"/>
      <c r="D1" s="281"/>
      <c r="E1" s="281"/>
    </row>
    <row r="2" spans="1:5" ht="20.25" customHeight="1" x14ac:dyDescent="0.25"/>
    <row r="3" spans="1:5" s="15" customFormat="1" ht="51.75" customHeight="1" x14ac:dyDescent="0.25">
      <c r="A3" s="193" t="s">
        <v>16</v>
      </c>
      <c r="B3" s="204" t="s">
        <v>1</v>
      </c>
      <c r="C3" s="204" t="s">
        <v>22</v>
      </c>
      <c r="D3" s="193" t="s">
        <v>17</v>
      </c>
      <c r="E3" s="193" t="s">
        <v>18</v>
      </c>
    </row>
    <row r="4" spans="1:5" x14ac:dyDescent="0.25">
      <c r="A4" s="43" t="str">
        <f>+UCAP!B5</f>
        <v>Luminaria</v>
      </c>
      <c r="B4" s="43" t="str">
        <f>+UCAP!C5</f>
        <v>Luminaria con bombillo  Fluorescente 45 W</v>
      </c>
      <c r="C4" s="129">
        <f>+UCAP!E5</f>
        <v>4</v>
      </c>
      <c r="D4" s="212">
        <f>+UCAP!O5</f>
        <v>497213</v>
      </c>
      <c r="E4" s="212">
        <f>+C4*D4</f>
        <v>1988852</v>
      </c>
    </row>
    <row r="5" spans="1:5" x14ac:dyDescent="0.25">
      <c r="A5" s="43" t="str">
        <f>+UCAP!B6</f>
        <v>Luminaria</v>
      </c>
      <c r="B5" s="43" t="str">
        <f>+UCAP!C6</f>
        <v>Luminaria con bombillo  Fluorescente 80 W</v>
      </c>
      <c r="C5" s="129">
        <f>+UCAP!E6</f>
        <v>2</v>
      </c>
      <c r="D5" s="212">
        <f>+UCAP!O6</f>
        <v>523575</v>
      </c>
      <c r="E5" s="212">
        <f t="shared" ref="E5:E43" si="0">+C5*D5</f>
        <v>1047150</v>
      </c>
    </row>
    <row r="6" spans="1:5" x14ac:dyDescent="0.25">
      <c r="A6" s="43" t="str">
        <f>+UCAP!B7</f>
        <v>Luminaria</v>
      </c>
      <c r="B6" s="43" t="str">
        <f>+UCAP!C7</f>
        <v>Luminaria con bombillo  Incandescente 100 W</v>
      </c>
      <c r="C6" s="129">
        <f>+UCAP!E7</f>
        <v>12</v>
      </c>
      <c r="D6" s="212">
        <f>+UCAP!O7</f>
        <v>565298</v>
      </c>
      <c r="E6" s="212">
        <f t="shared" si="0"/>
        <v>6783576</v>
      </c>
    </row>
    <row r="7" spans="1:5" x14ac:dyDescent="0.25">
      <c r="A7" s="43" t="str">
        <f>+UCAP!B8</f>
        <v>Luminaria</v>
      </c>
      <c r="B7" s="43" t="str">
        <f>+UCAP!C8</f>
        <v>Farol con bombillo Sodio 70 W</v>
      </c>
      <c r="C7" s="129">
        <f>+UCAP!E8</f>
        <v>18</v>
      </c>
      <c r="D7" s="212">
        <f>+UCAP!O8</f>
        <v>1102312</v>
      </c>
      <c r="E7" s="212">
        <f t="shared" si="0"/>
        <v>19841616</v>
      </c>
    </row>
    <row r="8" spans="1:5" x14ac:dyDescent="0.25">
      <c r="A8" s="43" t="str">
        <f>+UCAP!B9</f>
        <v>Luminaria</v>
      </c>
      <c r="B8" s="43" t="str">
        <f>+UCAP!C9</f>
        <v>Luminaria con bombillo Sodio 70 W</v>
      </c>
      <c r="C8" s="129">
        <f>+UCAP!E9</f>
        <v>514</v>
      </c>
      <c r="D8" s="212">
        <f>+UCAP!O9</f>
        <v>788649</v>
      </c>
      <c r="E8" s="212">
        <f t="shared" si="0"/>
        <v>405365586</v>
      </c>
    </row>
    <row r="9" spans="1:5" x14ac:dyDescent="0.25">
      <c r="A9" s="43" t="str">
        <f>+UCAP!B10</f>
        <v>Luminaria</v>
      </c>
      <c r="B9" s="43" t="str">
        <f>+UCAP!C10</f>
        <v>Luminaria con bombillo Sodio 150 W</v>
      </c>
      <c r="C9" s="129">
        <f>+UCAP!E10</f>
        <v>16</v>
      </c>
      <c r="D9" s="212">
        <f>+UCAP!O10</f>
        <v>828918</v>
      </c>
      <c r="E9" s="212">
        <f t="shared" si="0"/>
        <v>13262688</v>
      </c>
    </row>
    <row r="10" spans="1:5" x14ac:dyDescent="0.25">
      <c r="A10" s="43" t="str">
        <f>+UCAP!B11</f>
        <v>Luminaria</v>
      </c>
      <c r="B10" s="43" t="str">
        <f>+UCAP!C11</f>
        <v>Luminaria con bombillo Sodio 250 W</v>
      </c>
      <c r="C10" s="129">
        <f>+UCAP!E11</f>
        <v>41</v>
      </c>
      <c r="D10" s="212">
        <f>+UCAP!O11</f>
        <v>920251</v>
      </c>
      <c r="E10" s="212">
        <f t="shared" si="0"/>
        <v>37730291</v>
      </c>
    </row>
    <row r="11" spans="1:5" x14ac:dyDescent="0.25">
      <c r="A11" s="43" t="str">
        <f>+UCAP!B12</f>
        <v>Luminaria</v>
      </c>
      <c r="B11" s="43" t="str">
        <f>+UCAP!C12</f>
        <v>Reflector con bombillo Sodio 150 W</v>
      </c>
      <c r="C11" s="129">
        <f>+UCAP!E12</f>
        <v>2</v>
      </c>
      <c r="D11" s="212">
        <f>+UCAP!O12</f>
        <v>992082</v>
      </c>
      <c r="E11" s="212">
        <f t="shared" si="0"/>
        <v>1984164</v>
      </c>
    </row>
    <row r="12" spans="1:5" x14ac:dyDescent="0.25">
      <c r="A12" s="43" t="str">
        <f>+UCAP!B13</f>
        <v>Luminaria</v>
      </c>
      <c r="B12" s="43" t="str">
        <f>+UCAP!C13</f>
        <v>Reflector con bombillo Sodio 250 W</v>
      </c>
      <c r="C12" s="129">
        <f>+UCAP!E13</f>
        <v>1</v>
      </c>
      <c r="D12" s="212">
        <f>+UCAP!O13</f>
        <v>1083416</v>
      </c>
      <c r="E12" s="212">
        <f t="shared" si="0"/>
        <v>1083416</v>
      </c>
    </row>
    <row r="13" spans="1:5" x14ac:dyDescent="0.25">
      <c r="A13" s="43" t="str">
        <f>+UCAP!B14</f>
        <v>Luminaria</v>
      </c>
      <c r="B13" s="43" t="str">
        <f>+UCAP!C14</f>
        <v>Luminaria con bombillo Metal Halide 250 W</v>
      </c>
      <c r="C13" s="129">
        <f>+UCAP!E14</f>
        <v>1</v>
      </c>
      <c r="D13" s="212">
        <f>+UCAP!O14</f>
        <v>620836</v>
      </c>
      <c r="E13" s="212">
        <f t="shared" si="0"/>
        <v>620836</v>
      </c>
    </row>
    <row r="14" spans="1:5" x14ac:dyDescent="0.25">
      <c r="A14" s="43" t="str">
        <f>+UCAP!B15</f>
        <v>Luminaria</v>
      </c>
      <c r="B14" s="43" t="str">
        <f>+UCAP!C15</f>
        <v>Luminaria con bombillo Metal Halide 400 W</v>
      </c>
      <c r="C14" s="129">
        <f>+UCAP!E15</f>
        <v>1</v>
      </c>
      <c r="D14" s="212">
        <f>+UCAP!O15</f>
        <v>673693</v>
      </c>
      <c r="E14" s="212">
        <f t="shared" si="0"/>
        <v>673693</v>
      </c>
    </row>
    <row r="15" spans="1:5" x14ac:dyDescent="0.25">
      <c r="A15" s="43" t="str">
        <f>+UCAP!B16</f>
        <v>Luminaria</v>
      </c>
      <c r="B15" s="43" t="str">
        <f>+UCAP!C16</f>
        <v>Reflector con bombillo Metal Halide 250 W</v>
      </c>
      <c r="C15" s="129">
        <f>+UCAP!E16</f>
        <v>2</v>
      </c>
      <c r="D15" s="212">
        <f>+UCAP!O16</f>
        <v>1233392</v>
      </c>
      <c r="E15" s="212">
        <f t="shared" si="0"/>
        <v>2466784</v>
      </c>
    </row>
    <row r="16" spans="1:5" x14ac:dyDescent="0.25">
      <c r="A16" s="43" t="str">
        <f>+UCAP!B17</f>
        <v>Luminaria</v>
      </c>
      <c r="B16" s="43" t="str">
        <f>+UCAP!C17</f>
        <v>Reflector con bombillo Metal Halide 400 W</v>
      </c>
      <c r="C16" s="129">
        <f>+UCAP!E17</f>
        <v>6</v>
      </c>
      <c r="D16" s="212">
        <f>+UCAP!O17</f>
        <v>1268887</v>
      </c>
      <c r="E16" s="212">
        <f t="shared" si="0"/>
        <v>7613322</v>
      </c>
    </row>
    <row r="17" spans="1:5" x14ac:dyDescent="0.25">
      <c r="A17" s="43" t="str">
        <f>+UCAP!B18</f>
        <v>Luminaria</v>
      </c>
      <c r="B17" s="43" t="str">
        <f>+UCAP!C18</f>
        <v>Luminaria con bombillo Mercurio 100 W</v>
      </c>
      <c r="C17" s="129">
        <f>+UCAP!E18</f>
        <v>2</v>
      </c>
      <c r="D17" s="212">
        <f>+UCAP!O18</f>
        <v>691918</v>
      </c>
      <c r="E17" s="212">
        <f t="shared" si="0"/>
        <v>1383836</v>
      </c>
    </row>
    <row r="18" spans="1:5" x14ac:dyDescent="0.25">
      <c r="A18" s="43" t="str">
        <f>+UCAP!B19</f>
        <v>Luminaria</v>
      </c>
      <c r="B18" s="43" t="str">
        <f>+UCAP!C19</f>
        <v>Luminaria Led 50 W</v>
      </c>
      <c r="C18" s="129">
        <f>+UCAP!E19</f>
        <v>21</v>
      </c>
      <c r="D18" s="212">
        <f>+UCAP!O19</f>
        <v>1155157</v>
      </c>
      <c r="E18" s="212">
        <f t="shared" si="0"/>
        <v>24258297</v>
      </c>
    </row>
    <row r="19" spans="1:5" x14ac:dyDescent="0.25">
      <c r="A19" s="43" t="str">
        <f>+UCAP!B20</f>
        <v>Luminaria</v>
      </c>
      <c r="B19" s="43" t="str">
        <f>+UCAP!C20</f>
        <v>Reflector Led 50 W</v>
      </c>
      <c r="C19" s="129">
        <f>+UCAP!E20</f>
        <v>6</v>
      </c>
      <c r="D19" s="212">
        <f>+UCAP!O20</f>
        <v>1494152</v>
      </c>
      <c r="E19" s="212">
        <f t="shared" si="0"/>
        <v>8964912</v>
      </c>
    </row>
    <row r="20" spans="1:5" x14ac:dyDescent="0.25">
      <c r="A20" s="43" t="str">
        <f>+UCAP!B21</f>
        <v>Luminaria</v>
      </c>
      <c r="B20" s="43" t="str">
        <f>+UCAP!C21</f>
        <v>Reflector Led 150 W</v>
      </c>
      <c r="C20" s="129">
        <f>+UCAP!E21</f>
        <v>8</v>
      </c>
      <c r="D20" s="212">
        <f>+UCAP!O21</f>
        <v>1736960</v>
      </c>
      <c r="E20" s="212">
        <f t="shared" si="0"/>
        <v>13895680</v>
      </c>
    </row>
    <row r="21" spans="1:5" hidden="1" x14ac:dyDescent="0.25">
      <c r="A21" s="43" t="str">
        <f>+UCAP!B22</f>
        <v>Luminaria</v>
      </c>
      <c r="B21" s="43" t="str">
        <f>+UCAP!C22</f>
        <v>Luminaria Led 37 W Nueva</v>
      </c>
      <c r="C21" s="129"/>
      <c r="D21" s="212">
        <f>+UCAP!O22</f>
        <v>1139696</v>
      </c>
      <c r="E21" s="212">
        <f t="shared" si="0"/>
        <v>0</v>
      </c>
    </row>
    <row r="22" spans="1:5" hidden="1" x14ac:dyDescent="0.25">
      <c r="A22" s="43" t="str">
        <f>+UCAP!B23</f>
        <v>Luminaria</v>
      </c>
      <c r="B22" s="43" t="str">
        <f>+UCAP!C23</f>
        <v>Luminaria Led 60 W Nueva</v>
      </c>
      <c r="C22" s="129"/>
      <c r="D22" s="212">
        <f>+UCAP!O23</f>
        <v>1163976</v>
      </c>
      <c r="E22" s="212">
        <f t="shared" si="0"/>
        <v>0</v>
      </c>
    </row>
    <row r="23" spans="1:5" hidden="1" x14ac:dyDescent="0.25">
      <c r="A23" s="43" t="str">
        <f>+UCAP!B24</f>
        <v>Luminaria</v>
      </c>
      <c r="B23" s="43" t="str">
        <f>+UCAP!C24</f>
        <v>Luminaria Led 92 W Nueva</v>
      </c>
      <c r="C23" s="129"/>
      <c r="D23" s="212">
        <f>+UCAP!O24</f>
        <v>1197021</v>
      </c>
      <c r="E23" s="212">
        <f t="shared" si="0"/>
        <v>0</v>
      </c>
    </row>
    <row r="24" spans="1:5" hidden="1" x14ac:dyDescent="0.25">
      <c r="A24" s="43" t="str">
        <f>+UCAP!B25</f>
        <v>Luminaria</v>
      </c>
      <c r="B24" s="43" t="str">
        <f>+UCAP!C25</f>
        <v>Reflector Led 100 W Nuevo</v>
      </c>
      <c r="C24" s="129"/>
      <c r="D24" s="212">
        <f>+UCAP!O25</f>
        <v>1615556</v>
      </c>
      <c r="E24" s="212">
        <f t="shared" si="0"/>
        <v>0</v>
      </c>
    </row>
    <row r="25" spans="1:5" hidden="1" x14ac:dyDescent="0.25">
      <c r="A25" s="43" t="str">
        <f>+UCAP!B26</f>
        <v>Luminaria</v>
      </c>
      <c r="B25" s="43" t="str">
        <f>+UCAP!C26</f>
        <v>Reflector Led 200 W Nuevo</v>
      </c>
      <c r="C25" s="73"/>
      <c r="D25" s="212">
        <f>+UCAP!O26</f>
        <v>1858363</v>
      </c>
      <c r="E25" s="212">
        <f t="shared" si="0"/>
        <v>0</v>
      </c>
    </row>
    <row r="26" spans="1:5" hidden="1" x14ac:dyDescent="0.25">
      <c r="A26" s="43" t="str">
        <f>+UCAP!B27</f>
        <v>Luminaria</v>
      </c>
      <c r="B26" s="43" t="str">
        <f>+UCAP!C27</f>
        <v>Reflector Led 400 W Nuevo</v>
      </c>
      <c r="C26" s="73"/>
      <c r="D26" s="212">
        <f>+UCAP!O27</f>
        <v>2926718</v>
      </c>
      <c r="E26" s="212">
        <f t="shared" si="0"/>
        <v>0</v>
      </c>
    </row>
    <row r="27" spans="1:5" hidden="1" x14ac:dyDescent="0.25">
      <c r="A27" s="43" t="str">
        <f>+UCAP!B28</f>
        <v>Transformador</v>
      </c>
      <c r="B27" s="43" t="str">
        <f>+UCAP!C28</f>
        <v>Transformador monofasico 15KVA</v>
      </c>
      <c r="C27" s="73"/>
      <c r="D27" s="212">
        <f>+UCAP!O28</f>
        <v>8762254</v>
      </c>
      <c r="E27" s="212">
        <f t="shared" si="0"/>
        <v>0</v>
      </c>
    </row>
    <row r="28" spans="1:5" hidden="1" x14ac:dyDescent="0.25">
      <c r="A28" s="43" t="str">
        <f>+UCAP!B29</f>
        <v>Poste</v>
      </c>
      <c r="B28" s="43" t="str">
        <f>+UCAP!C29</f>
        <v>Poste metalico para luminaria 4 metros</v>
      </c>
      <c r="C28" s="73"/>
      <c r="D28" s="212">
        <f>+UCAP!O29</f>
        <v>893253</v>
      </c>
      <c r="E28" s="212">
        <f t="shared" si="0"/>
        <v>0</v>
      </c>
    </row>
    <row r="29" spans="1:5" hidden="1" x14ac:dyDescent="0.25">
      <c r="A29" s="43" t="str">
        <f>+UCAP!B30</f>
        <v>Poste</v>
      </c>
      <c r="B29" s="43" t="str">
        <f>+UCAP!C30</f>
        <v>Poste metalico para farol 3 metros</v>
      </c>
      <c r="C29" s="73"/>
      <c r="D29" s="212">
        <f>+UCAP!O30</f>
        <v>879939</v>
      </c>
      <c r="E29" s="212">
        <f t="shared" si="0"/>
        <v>0</v>
      </c>
    </row>
    <row r="30" spans="1:5" hidden="1" x14ac:dyDescent="0.25">
      <c r="A30" s="43" t="str">
        <f>+UCAP!B31</f>
        <v>Poste</v>
      </c>
      <c r="B30" s="43" t="str">
        <f>+UCAP!C31</f>
        <v>Poste de concreto 8 metros</v>
      </c>
      <c r="C30" s="73"/>
      <c r="D30" s="212">
        <f>+UCAP!O31</f>
        <v>934951</v>
      </c>
      <c r="E30" s="212">
        <f t="shared" si="0"/>
        <v>0</v>
      </c>
    </row>
    <row r="31" spans="1:5" hidden="1" x14ac:dyDescent="0.25">
      <c r="A31" s="43" t="str">
        <f>+UCAP!B32</f>
        <v>Poste</v>
      </c>
      <c r="B31" s="43" t="str">
        <f>+UCAP!C32</f>
        <v>Poste de concreto 10 metros</v>
      </c>
      <c r="C31" s="73"/>
      <c r="D31" s="212">
        <f>+UCAP!O32</f>
        <v>1243802</v>
      </c>
      <c r="E31" s="212">
        <f t="shared" si="0"/>
        <v>0</v>
      </c>
    </row>
    <row r="32" spans="1:5" hidden="1" x14ac:dyDescent="0.25">
      <c r="A32" s="43" t="str">
        <f>+UCAP!B33</f>
        <v>Poste</v>
      </c>
      <c r="B32" s="43" t="str">
        <f>+UCAP!C33</f>
        <v>Poste de concreto 12 metros</v>
      </c>
      <c r="C32" s="73"/>
      <c r="D32" s="212">
        <f>+UCAP!O33</f>
        <v>1816825</v>
      </c>
      <c r="E32" s="212">
        <f t="shared" si="0"/>
        <v>0</v>
      </c>
    </row>
    <row r="33" spans="1:5" hidden="1" x14ac:dyDescent="0.25">
      <c r="A33" s="43" t="str">
        <f>+UCAP!B34</f>
        <v>Poste</v>
      </c>
      <c r="B33" s="43" t="str">
        <f>+UCAP!C34</f>
        <v>Poste de concreto 16 metros</v>
      </c>
      <c r="C33" s="74"/>
      <c r="D33" s="212">
        <f>+UCAP!O34</f>
        <v>3064585</v>
      </c>
      <c r="E33" s="212">
        <f t="shared" si="0"/>
        <v>0</v>
      </c>
    </row>
    <row r="34" spans="1:5" hidden="1" x14ac:dyDescent="0.25">
      <c r="A34" s="43" t="str">
        <f>+UCAP!B35</f>
        <v>Cajas de Inspección y Canalizaciones</v>
      </c>
      <c r="B34" s="43" t="str">
        <f>+UCAP!C35</f>
        <v>Canalizacion con un ducto 1/2" PVC x 500MTS</v>
      </c>
      <c r="C34" s="73"/>
      <c r="D34" s="212">
        <f>+UCAP!O35</f>
        <v>6577158</v>
      </c>
      <c r="E34" s="212">
        <f t="shared" si="0"/>
        <v>0</v>
      </c>
    </row>
    <row r="35" spans="1:5" hidden="1" x14ac:dyDescent="0.25">
      <c r="A35" s="43" t="str">
        <f>+UCAP!B36</f>
        <v>Cajas de Inspección y Canalizaciones</v>
      </c>
      <c r="B35" s="43" t="str">
        <f>+UCAP!C36</f>
        <v>Canalizacion con un ducto  1 1/2" PVC x 500MTS</v>
      </c>
      <c r="C35" s="74"/>
      <c r="D35" s="212">
        <f>+UCAP!O36</f>
        <v>14291823</v>
      </c>
      <c r="E35" s="212">
        <f t="shared" si="0"/>
        <v>0</v>
      </c>
    </row>
    <row r="36" spans="1:5" hidden="1" x14ac:dyDescent="0.25">
      <c r="A36" s="43" t="str">
        <f>+UCAP!B37</f>
        <v>Cajas de Inspección y Canalizaciones</v>
      </c>
      <c r="B36" s="43" t="str">
        <f>+UCAP!C37</f>
        <v>Caja para redes subterraneas tipo alumbrado público</v>
      </c>
      <c r="C36" s="73"/>
      <c r="D36" s="212">
        <f>+UCAP!O37</f>
        <v>358194</v>
      </c>
      <c r="E36" s="212">
        <f t="shared" si="0"/>
        <v>0</v>
      </c>
    </row>
    <row r="37" spans="1:5" hidden="1" x14ac:dyDescent="0.25">
      <c r="A37" s="43" t="str">
        <f>+UCAP!B38</f>
        <v>Redes</v>
      </c>
      <c r="B37" s="43" t="str">
        <f>+UCAP!C38</f>
        <v>Red aerea en cable 2x4+4 AWG x 500MTS</v>
      </c>
      <c r="C37" s="73"/>
      <c r="D37" s="212">
        <f>+UCAP!O38</f>
        <v>7907278</v>
      </c>
      <c r="E37" s="212">
        <f t="shared" si="0"/>
        <v>0</v>
      </c>
    </row>
    <row r="38" spans="1:5" hidden="1" x14ac:dyDescent="0.25">
      <c r="A38" s="43" t="str">
        <f>+UCAP!B39</f>
        <v>Redes</v>
      </c>
      <c r="B38" s="43" t="str">
        <f>+UCAP!C39</f>
        <v>Red aerea en cable 2x2+2 AWG x 500MTS</v>
      </c>
      <c r="C38" s="74"/>
      <c r="D38" s="212">
        <f>+UCAP!O39</f>
        <v>9372820</v>
      </c>
      <c r="E38" s="212">
        <f t="shared" si="0"/>
        <v>0</v>
      </c>
    </row>
    <row r="39" spans="1:5" hidden="1" x14ac:dyDescent="0.25">
      <c r="A39" s="43" t="str">
        <f>+UCAP!B40</f>
        <v>Redes</v>
      </c>
      <c r="B39" s="43" t="str">
        <f>+UCAP!C40</f>
        <v>Red aerea en ASCR No 4x2 AWG x 500MTS</v>
      </c>
      <c r="C39" s="74"/>
      <c r="D39" s="212">
        <f>+UCAP!O40</f>
        <v>12709411</v>
      </c>
      <c r="E39" s="212">
        <f t="shared" si="0"/>
        <v>0</v>
      </c>
    </row>
    <row r="40" spans="1:5" hidden="1" x14ac:dyDescent="0.25">
      <c r="A40" s="43" t="str">
        <f>+UCAP!B41</f>
        <v>Redes</v>
      </c>
      <c r="B40" s="43" t="str">
        <f>+UCAP!C41</f>
        <v>Red subterranea en cable No 12 AWG Cu x 500MTS</v>
      </c>
      <c r="C40" s="74"/>
      <c r="D40" s="212">
        <f>+UCAP!O41</f>
        <v>4077855</v>
      </c>
      <c r="E40" s="212">
        <f t="shared" si="0"/>
        <v>0</v>
      </c>
    </row>
    <row r="41" spans="1:5" hidden="1" x14ac:dyDescent="0.25">
      <c r="A41" s="43" t="str">
        <f>+UCAP!B42</f>
        <v>Redes</v>
      </c>
      <c r="B41" s="43" t="str">
        <f>+UCAP!C42</f>
        <v>Red subterranea en cable No 2 AWG Al x 500MTS</v>
      </c>
      <c r="C41" s="74"/>
      <c r="D41" s="212">
        <f>+UCAP!O42</f>
        <v>4682064</v>
      </c>
      <c r="E41" s="212">
        <f t="shared" si="0"/>
        <v>0</v>
      </c>
    </row>
    <row r="42" spans="1:5" hidden="1" x14ac:dyDescent="0.25">
      <c r="A42" s="43" t="str">
        <f>+UCAP!B43</f>
        <v>Redes</v>
      </c>
      <c r="B42" s="43" t="str">
        <f>+UCAP!C43</f>
        <v>Red en cable encauchetado 3x14 AWG Cu x 500MTS</v>
      </c>
      <c r="C42" s="74"/>
      <c r="D42" s="212">
        <f>+UCAP!O43</f>
        <v>5247624</v>
      </c>
      <c r="E42" s="212">
        <f t="shared" si="0"/>
        <v>0</v>
      </c>
    </row>
    <row r="43" spans="1:5" hidden="1" x14ac:dyDescent="0.25">
      <c r="A43" s="43" t="str">
        <f>+UCAP!B44</f>
        <v>Redes</v>
      </c>
      <c r="B43" s="43" t="str">
        <f>+UCAP!C44</f>
        <v>Sistema puesta a tierra</v>
      </c>
      <c r="C43" s="74"/>
      <c r="D43" s="212">
        <f>+UCAP!O44</f>
        <v>337855</v>
      </c>
      <c r="E43" s="212">
        <f t="shared" si="0"/>
        <v>0</v>
      </c>
    </row>
    <row r="44" spans="1:5" x14ac:dyDescent="0.25">
      <c r="C44" s="12"/>
      <c r="D44" s="10"/>
      <c r="E44" s="10"/>
    </row>
    <row r="45" spans="1:5" x14ac:dyDescent="0.25">
      <c r="C45" s="12"/>
      <c r="D45" s="10"/>
      <c r="E45" s="10"/>
    </row>
    <row r="46" spans="1:5" ht="14.25" customHeight="1" x14ac:dyDescent="0.25">
      <c r="A46" s="86" t="s">
        <v>44</v>
      </c>
      <c r="B46" s="87"/>
      <c r="C46" s="61"/>
      <c r="D46" s="62"/>
      <c r="E46" s="312">
        <f>+ROUND(SUM(E4:E43),0)</f>
        <v>548964699</v>
      </c>
    </row>
    <row r="47" spans="1:5" ht="15" customHeight="1" x14ac:dyDescent="0.25">
      <c r="A47" s="86" t="s">
        <v>190</v>
      </c>
      <c r="B47" s="87"/>
      <c r="C47" s="87"/>
      <c r="D47" s="87"/>
      <c r="E47" s="206">
        <f>+'DATOS ENTRADA'!B18</f>
        <v>9.7000000000000003E-2</v>
      </c>
    </row>
    <row r="48" spans="1:5" ht="15" customHeight="1" x14ac:dyDescent="0.25">
      <c r="A48" s="86" t="s">
        <v>161</v>
      </c>
      <c r="B48" s="87"/>
      <c r="C48" s="87"/>
      <c r="D48" s="87"/>
      <c r="E48" s="88">
        <v>0</v>
      </c>
    </row>
    <row r="49" spans="1:5" ht="15" customHeight="1" x14ac:dyDescent="0.25">
      <c r="A49" s="86" t="s">
        <v>46</v>
      </c>
      <c r="B49" s="87"/>
      <c r="C49" s="87"/>
      <c r="D49" s="87"/>
      <c r="E49" s="88">
        <f>+'DATOS ENTRADA'!B21</f>
        <v>0.98</v>
      </c>
    </row>
    <row r="50" spans="1:5" ht="15" customHeight="1" x14ac:dyDescent="0.25">
      <c r="A50" s="86" t="s">
        <v>45</v>
      </c>
      <c r="B50" s="87"/>
      <c r="C50" s="61"/>
      <c r="D50" s="62"/>
      <c r="E50" s="207">
        <v>0</v>
      </c>
    </row>
    <row r="51" spans="1:5" x14ac:dyDescent="0.25">
      <c r="C51" s="12"/>
      <c r="D51" s="10"/>
      <c r="E51" s="10"/>
    </row>
    <row r="52" spans="1:5" ht="17.25" customHeight="1" x14ac:dyDescent="0.25">
      <c r="A52" s="60" t="s">
        <v>146</v>
      </c>
      <c r="B52" s="94"/>
      <c r="C52" s="216"/>
      <c r="D52" s="217"/>
      <c r="E52" s="218">
        <f>+ROUND(((E46*(E47+E48)*E49)-E50),0)</f>
        <v>52184584</v>
      </c>
    </row>
    <row r="53" spans="1:5" ht="17.25" customHeight="1" x14ac:dyDescent="0.25">
      <c r="A53" s="60" t="s">
        <v>147</v>
      </c>
      <c r="B53" s="94"/>
      <c r="C53" s="216"/>
      <c r="D53" s="217"/>
      <c r="E53" s="218">
        <f>+ROUND((E52/12),0)</f>
        <v>4348715</v>
      </c>
    </row>
    <row r="54" spans="1:5" x14ac:dyDescent="0.25">
      <c r="E54" s="75">
        <f>+ROUND((E53/11),0)</f>
        <v>395338</v>
      </c>
    </row>
    <row r="55" spans="1:5" x14ac:dyDescent="0.25">
      <c r="E55" s="13"/>
    </row>
    <row r="56" spans="1:5" x14ac:dyDescent="0.25">
      <c r="E56" s="10"/>
    </row>
    <row r="57" spans="1:5" x14ac:dyDescent="0.25">
      <c r="E57" s="10"/>
    </row>
    <row r="59" spans="1:5" x14ac:dyDescent="0.25">
      <c r="B59" s="43" t="s">
        <v>133</v>
      </c>
      <c r="C59" s="212">
        <f>+E53</f>
        <v>4348715</v>
      </c>
    </row>
    <row r="60" spans="1:5" x14ac:dyDescent="0.25">
      <c r="B60" s="43" t="s">
        <v>134</v>
      </c>
      <c r="C60" s="212">
        <f>+C59-$E$54</f>
        <v>3953377</v>
      </c>
    </row>
    <row r="61" spans="1:5" x14ac:dyDescent="0.25">
      <c r="B61" s="43" t="s">
        <v>135</v>
      </c>
      <c r="C61" s="212">
        <f t="shared" ref="C61:C70" si="1">+C60-$E$54</f>
        <v>3558039</v>
      </c>
    </row>
    <row r="62" spans="1:5" x14ac:dyDescent="0.25">
      <c r="B62" s="43" t="s">
        <v>136</v>
      </c>
      <c r="C62" s="212">
        <f t="shared" si="1"/>
        <v>3162701</v>
      </c>
    </row>
    <row r="63" spans="1:5" x14ac:dyDescent="0.25">
      <c r="B63" s="43" t="s">
        <v>137</v>
      </c>
      <c r="C63" s="212">
        <f t="shared" si="1"/>
        <v>2767363</v>
      </c>
    </row>
    <row r="64" spans="1:5" x14ac:dyDescent="0.25">
      <c r="B64" s="43" t="s">
        <v>138</v>
      </c>
      <c r="C64" s="212">
        <f t="shared" si="1"/>
        <v>2372025</v>
      </c>
    </row>
    <row r="65" spans="2:3" x14ac:dyDescent="0.25">
      <c r="B65" s="43" t="s">
        <v>139</v>
      </c>
      <c r="C65" s="212">
        <f t="shared" si="1"/>
        <v>1976687</v>
      </c>
    </row>
    <row r="66" spans="2:3" x14ac:dyDescent="0.25">
      <c r="B66" s="43" t="s">
        <v>140</v>
      </c>
      <c r="C66" s="212">
        <f t="shared" si="1"/>
        <v>1581349</v>
      </c>
    </row>
    <row r="67" spans="2:3" x14ac:dyDescent="0.25">
      <c r="B67" s="43" t="s">
        <v>141</v>
      </c>
      <c r="C67" s="212">
        <f t="shared" si="1"/>
        <v>1186011</v>
      </c>
    </row>
    <row r="68" spans="2:3" x14ac:dyDescent="0.25">
      <c r="B68" s="43" t="s">
        <v>142</v>
      </c>
      <c r="C68" s="212">
        <f t="shared" si="1"/>
        <v>790673</v>
      </c>
    </row>
    <row r="69" spans="2:3" x14ac:dyDescent="0.25">
      <c r="B69" s="43" t="s">
        <v>143</v>
      </c>
      <c r="C69" s="212">
        <f t="shared" si="1"/>
        <v>395335</v>
      </c>
    </row>
    <row r="70" spans="2:3" x14ac:dyDescent="0.25">
      <c r="B70" s="43" t="s">
        <v>144</v>
      </c>
      <c r="C70" s="212">
        <f t="shared" si="1"/>
        <v>-3</v>
      </c>
    </row>
    <row r="72" spans="2:3" x14ac:dyDescent="0.25">
      <c r="C72" s="10"/>
    </row>
  </sheetData>
  <autoFilter ref="A3:E43" xr:uid="{00000000-0009-0000-0000-000007000000}">
    <filterColumn colId="2">
      <customFilters>
        <customFilter operator="notEqual" val=" "/>
      </customFilters>
    </filterColumn>
  </autoFilter>
  <mergeCells count="1">
    <mergeCell ref="A1:E1"/>
  </mergeCells>
  <printOptions horizontalCentered="1"/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DAA4-0C94-47D8-AAC8-B653F5AA4A6C}">
  <sheetPr filterMode="1">
    <tabColor rgb="FFFF0000"/>
  </sheetPr>
  <dimension ref="A1:E72"/>
  <sheetViews>
    <sheetView showGridLines="0" view="pageBreakPreview" zoomScale="80" zoomScaleNormal="80" zoomScaleSheetLayoutView="80" workbookViewId="0">
      <selection activeCell="C59" sqref="C59:C71"/>
    </sheetView>
  </sheetViews>
  <sheetFormatPr baseColWidth="10" defaultRowHeight="14.25" x14ac:dyDescent="0.25"/>
  <cols>
    <col min="1" max="1" width="30.7109375" style="3" customWidth="1"/>
    <col min="2" max="2" width="41.42578125" style="3" customWidth="1"/>
    <col min="3" max="3" width="15.140625" style="3" customWidth="1"/>
    <col min="4" max="4" width="20.5703125" style="3" customWidth="1"/>
    <col min="5" max="5" width="22.42578125" style="3" customWidth="1"/>
    <col min="6" max="6" width="13" style="3" bestFit="1" customWidth="1"/>
    <col min="7" max="16384" width="11.42578125" style="3"/>
  </cols>
  <sheetData>
    <row r="1" spans="1:5" ht="55.5" customHeight="1" x14ac:dyDescent="0.25">
      <c r="A1" s="281" t="s">
        <v>188</v>
      </c>
      <c r="B1" s="281"/>
      <c r="C1" s="281"/>
      <c r="D1" s="281"/>
      <c r="E1" s="281"/>
    </row>
    <row r="2" spans="1:5" ht="20.25" customHeight="1" x14ac:dyDescent="0.25"/>
    <row r="3" spans="1:5" s="15" customFormat="1" ht="51.75" customHeight="1" x14ac:dyDescent="0.25">
      <c r="A3" s="193" t="s">
        <v>16</v>
      </c>
      <c r="B3" s="204" t="s">
        <v>1</v>
      </c>
      <c r="C3" s="204" t="s">
        <v>22</v>
      </c>
      <c r="D3" s="193" t="s">
        <v>17</v>
      </c>
      <c r="E3" s="193" t="s">
        <v>18</v>
      </c>
    </row>
    <row r="4" spans="1:5" hidden="1" x14ac:dyDescent="0.25">
      <c r="A4" s="43" t="str">
        <f>+UCAP!B5</f>
        <v>Luminaria</v>
      </c>
      <c r="B4" s="43" t="str">
        <f>+UCAP!C5</f>
        <v>Luminaria con bombillo  Fluorescente 45 W</v>
      </c>
      <c r="C4" s="129"/>
      <c r="D4" s="55">
        <f>+UCAP!O5</f>
        <v>497213</v>
      </c>
      <c r="E4" s="55">
        <f>+C4*D4</f>
        <v>0</v>
      </c>
    </row>
    <row r="5" spans="1:5" hidden="1" x14ac:dyDescent="0.25">
      <c r="A5" s="43" t="str">
        <f>+UCAP!B6</f>
        <v>Luminaria</v>
      </c>
      <c r="B5" s="43" t="str">
        <f>+UCAP!C6</f>
        <v>Luminaria con bombillo  Fluorescente 80 W</v>
      </c>
      <c r="C5" s="129"/>
      <c r="D5" s="55">
        <f>+UCAP!O6</f>
        <v>523575</v>
      </c>
      <c r="E5" s="55">
        <f t="shared" ref="E5:E43" si="0">+C5*D5</f>
        <v>0</v>
      </c>
    </row>
    <row r="6" spans="1:5" hidden="1" x14ac:dyDescent="0.25">
      <c r="A6" s="43" t="str">
        <f>+UCAP!B7</f>
        <v>Luminaria</v>
      </c>
      <c r="B6" s="43" t="str">
        <f>+UCAP!C7</f>
        <v>Luminaria con bombillo  Incandescente 100 W</v>
      </c>
      <c r="C6" s="129"/>
      <c r="D6" s="55">
        <f>+UCAP!O7</f>
        <v>565298</v>
      </c>
      <c r="E6" s="55">
        <f t="shared" si="0"/>
        <v>0</v>
      </c>
    </row>
    <row r="7" spans="1:5" hidden="1" x14ac:dyDescent="0.25">
      <c r="A7" s="43" t="str">
        <f>+UCAP!B8</f>
        <v>Luminaria</v>
      </c>
      <c r="B7" s="43" t="str">
        <f>+UCAP!C8</f>
        <v>Farol con bombillo Sodio 70 W</v>
      </c>
      <c r="C7" s="129"/>
      <c r="D7" s="55">
        <f>+UCAP!O8</f>
        <v>1102312</v>
      </c>
      <c r="E7" s="55">
        <f t="shared" si="0"/>
        <v>0</v>
      </c>
    </row>
    <row r="8" spans="1:5" hidden="1" x14ac:dyDescent="0.25">
      <c r="A8" s="43" t="str">
        <f>+UCAP!B9</f>
        <v>Luminaria</v>
      </c>
      <c r="B8" s="43" t="str">
        <f>+UCAP!C9</f>
        <v>Luminaria con bombillo Sodio 70 W</v>
      </c>
      <c r="C8" s="129"/>
      <c r="D8" s="55">
        <f>+UCAP!O9</f>
        <v>788649</v>
      </c>
      <c r="E8" s="55">
        <f t="shared" si="0"/>
        <v>0</v>
      </c>
    </row>
    <row r="9" spans="1:5" hidden="1" x14ac:dyDescent="0.25">
      <c r="A9" s="43" t="str">
        <f>+UCAP!B10</f>
        <v>Luminaria</v>
      </c>
      <c r="B9" s="43" t="str">
        <f>+UCAP!C10</f>
        <v>Luminaria con bombillo Sodio 150 W</v>
      </c>
      <c r="C9" s="129"/>
      <c r="D9" s="55">
        <f>+UCAP!O10</f>
        <v>828918</v>
      </c>
      <c r="E9" s="55">
        <f t="shared" si="0"/>
        <v>0</v>
      </c>
    </row>
    <row r="10" spans="1:5" hidden="1" x14ac:dyDescent="0.25">
      <c r="A10" s="43" t="str">
        <f>+UCAP!B11</f>
        <v>Luminaria</v>
      </c>
      <c r="B10" s="43" t="str">
        <f>+UCAP!C11</f>
        <v>Luminaria con bombillo Sodio 250 W</v>
      </c>
      <c r="C10" s="129"/>
      <c r="D10" s="55">
        <f>+UCAP!O11</f>
        <v>920251</v>
      </c>
      <c r="E10" s="55">
        <f t="shared" si="0"/>
        <v>0</v>
      </c>
    </row>
    <row r="11" spans="1:5" hidden="1" x14ac:dyDescent="0.25">
      <c r="A11" s="43" t="str">
        <f>+UCAP!B12</f>
        <v>Luminaria</v>
      </c>
      <c r="B11" s="43" t="str">
        <f>+UCAP!C12</f>
        <v>Reflector con bombillo Sodio 150 W</v>
      </c>
      <c r="C11" s="129"/>
      <c r="D11" s="55">
        <f>+UCAP!O12</f>
        <v>992082</v>
      </c>
      <c r="E11" s="55">
        <f t="shared" si="0"/>
        <v>0</v>
      </c>
    </row>
    <row r="12" spans="1:5" hidden="1" x14ac:dyDescent="0.25">
      <c r="A12" s="43" t="str">
        <f>+UCAP!B13</f>
        <v>Luminaria</v>
      </c>
      <c r="B12" s="43" t="str">
        <f>+UCAP!C13</f>
        <v>Reflector con bombillo Sodio 250 W</v>
      </c>
      <c r="C12" s="129"/>
      <c r="D12" s="55">
        <f>+UCAP!O13</f>
        <v>1083416</v>
      </c>
      <c r="E12" s="55">
        <f t="shared" si="0"/>
        <v>0</v>
      </c>
    </row>
    <row r="13" spans="1:5" hidden="1" x14ac:dyDescent="0.25">
      <c r="A13" s="43" t="str">
        <f>+UCAP!B14</f>
        <v>Luminaria</v>
      </c>
      <c r="B13" s="43" t="str">
        <f>+UCAP!C14</f>
        <v>Luminaria con bombillo Metal Halide 250 W</v>
      </c>
      <c r="C13" s="129"/>
      <c r="D13" s="55">
        <f>+UCAP!O14</f>
        <v>620836</v>
      </c>
      <c r="E13" s="55">
        <f t="shared" si="0"/>
        <v>0</v>
      </c>
    </row>
    <row r="14" spans="1:5" hidden="1" x14ac:dyDescent="0.25">
      <c r="A14" s="43" t="str">
        <f>+UCAP!B15</f>
        <v>Luminaria</v>
      </c>
      <c r="B14" s="43" t="str">
        <f>+UCAP!C15</f>
        <v>Luminaria con bombillo Metal Halide 400 W</v>
      </c>
      <c r="C14" s="129"/>
      <c r="D14" s="55">
        <f>+UCAP!O15</f>
        <v>673693</v>
      </c>
      <c r="E14" s="55">
        <f t="shared" si="0"/>
        <v>0</v>
      </c>
    </row>
    <row r="15" spans="1:5" hidden="1" x14ac:dyDescent="0.25">
      <c r="A15" s="43" t="str">
        <f>+UCAP!B16</f>
        <v>Luminaria</v>
      </c>
      <c r="B15" s="43" t="str">
        <f>+UCAP!C16</f>
        <v>Reflector con bombillo Metal Halide 250 W</v>
      </c>
      <c r="C15" s="129"/>
      <c r="D15" s="55">
        <f>+UCAP!O16</f>
        <v>1233392</v>
      </c>
      <c r="E15" s="55">
        <f t="shared" si="0"/>
        <v>0</v>
      </c>
    </row>
    <row r="16" spans="1:5" hidden="1" x14ac:dyDescent="0.25">
      <c r="A16" s="43" t="str">
        <f>+UCAP!B17</f>
        <v>Luminaria</v>
      </c>
      <c r="B16" s="43" t="str">
        <f>+UCAP!C17</f>
        <v>Reflector con bombillo Metal Halide 400 W</v>
      </c>
      <c r="C16" s="129"/>
      <c r="D16" s="55">
        <f>+UCAP!O17</f>
        <v>1268887</v>
      </c>
      <c r="E16" s="55">
        <f t="shared" si="0"/>
        <v>0</v>
      </c>
    </row>
    <row r="17" spans="1:5" hidden="1" x14ac:dyDescent="0.25">
      <c r="A17" s="43" t="str">
        <f>+UCAP!B18</f>
        <v>Luminaria</v>
      </c>
      <c r="B17" s="43" t="str">
        <f>+UCAP!C18</f>
        <v>Luminaria con bombillo Mercurio 100 W</v>
      </c>
      <c r="C17" s="129"/>
      <c r="D17" s="55">
        <f>+UCAP!O18</f>
        <v>691918</v>
      </c>
      <c r="E17" s="55">
        <f t="shared" si="0"/>
        <v>0</v>
      </c>
    </row>
    <row r="18" spans="1:5" hidden="1" x14ac:dyDescent="0.25">
      <c r="A18" s="43" t="str">
        <f>+UCAP!B19</f>
        <v>Luminaria</v>
      </c>
      <c r="B18" s="43" t="str">
        <f>+UCAP!C19</f>
        <v>Luminaria Led 50 W</v>
      </c>
      <c r="C18" s="129"/>
      <c r="D18" s="55">
        <f>+UCAP!O19</f>
        <v>1155157</v>
      </c>
      <c r="E18" s="55">
        <f t="shared" si="0"/>
        <v>0</v>
      </c>
    </row>
    <row r="19" spans="1:5" hidden="1" x14ac:dyDescent="0.25">
      <c r="A19" s="43" t="str">
        <f>+UCAP!B20</f>
        <v>Luminaria</v>
      </c>
      <c r="B19" s="43" t="str">
        <f>+UCAP!C20</f>
        <v>Reflector Led 50 W</v>
      </c>
      <c r="C19" s="129"/>
      <c r="D19" s="55">
        <f>+UCAP!O20</f>
        <v>1494152</v>
      </c>
      <c r="E19" s="55">
        <f t="shared" si="0"/>
        <v>0</v>
      </c>
    </row>
    <row r="20" spans="1:5" hidden="1" x14ac:dyDescent="0.25">
      <c r="A20" s="43" t="str">
        <f>+UCAP!B21</f>
        <v>Luminaria</v>
      </c>
      <c r="B20" s="43" t="str">
        <f>+UCAP!C21</f>
        <v>Reflector Led 150 W</v>
      </c>
      <c r="C20" s="129"/>
      <c r="D20" s="55">
        <f>+UCAP!O21</f>
        <v>1736960</v>
      </c>
      <c r="E20" s="55">
        <f t="shared" si="0"/>
        <v>0</v>
      </c>
    </row>
    <row r="21" spans="1:5" x14ac:dyDescent="0.25">
      <c r="A21" s="43" t="str">
        <f>+UCAP!B22</f>
        <v>Luminaria</v>
      </c>
      <c r="B21" s="43" t="str">
        <f>+UCAP!C22</f>
        <v>Luminaria Led 37 W Nueva</v>
      </c>
      <c r="C21" s="129">
        <f>+UCAP!E22</f>
        <v>569</v>
      </c>
      <c r="D21" s="55">
        <f>+UCAP!O22</f>
        <v>1139696</v>
      </c>
      <c r="E21" s="55">
        <f t="shared" si="0"/>
        <v>648487024</v>
      </c>
    </row>
    <row r="22" spans="1:5" x14ac:dyDescent="0.25">
      <c r="A22" s="43" t="str">
        <f>+UCAP!B23</f>
        <v>Luminaria</v>
      </c>
      <c r="B22" s="43" t="str">
        <f>+UCAP!C23</f>
        <v>Luminaria Led 60 W Nueva</v>
      </c>
      <c r="C22" s="129">
        <f>+UCAP!E23</f>
        <v>120</v>
      </c>
      <c r="D22" s="55">
        <f>+UCAP!O23</f>
        <v>1163976</v>
      </c>
      <c r="E22" s="55">
        <f t="shared" si="0"/>
        <v>139677120</v>
      </c>
    </row>
    <row r="23" spans="1:5" x14ac:dyDescent="0.25">
      <c r="A23" s="43" t="str">
        <f>+UCAP!B24</f>
        <v>Luminaria</v>
      </c>
      <c r="B23" s="43" t="str">
        <f>+UCAP!C24</f>
        <v>Luminaria Led 92 W Nueva</v>
      </c>
      <c r="C23" s="129">
        <f>+UCAP!E24</f>
        <v>66</v>
      </c>
      <c r="D23" s="55">
        <f>+UCAP!O24</f>
        <v>1197021</v>
      </c>
      <c r="E23" s="55">
        <f t="shared" si="0"/>
        <v>79003386</v>
      </c>
    </row>
    <row r="24" spans="1:5" x14ac:dyDescent="0.25">
      <c r="A24" s="43" t="str">
        <f>+UCAP!B25</f>
        <v>Luminaria</v>
      </c>
      <c r="B24" s="43" t="str">
        <f>+UCAP!C25</f>
        <v>Reflector Led 100 W Nuevo</v>
      </c>
      <c r="C24" s="129">
        <f>+UCAP!E25</f>
        <v>11</v>
      </c>
      <c r="D24" s="55">
        <f>+UCAP!O25</f>
        <v>1615556</v>
      </c>
      <c r="E24" s="55">
        <f t="shared" si="0"/>
        <v>17771116</v>
      </c>
    </row>
    <row r="25" spans="1:5" x14ac:dyDescent="0.25">
      <c r="A25" s="43" t="str">
        <f>+UCAP!B26</f>
        <v>Luminaria</v>
      </c>
      <c r="B25" s="43" t="str">
        <f>+UCAP!C26</f>
        <v>Reflector Led 200 W Nuevo</v>
      </c>
      <c r="C25" s="129">
        <f>+UCAP!E26</f>
        <v>34</v>
      </c>
      <c r="D25" s="55">
        <f>+UCAP!O26</f>
        <v>1858363</v>
      </c>
      <c r="E25" s="55">
        <f t="shared" si="0"/>
        <v>63184342</v>
      </c>
    </row>
    <row r="26" spans="1:5" x14ac:dyDescent="0.25">
      <c r="A26" s="43" t="str">
        <f>+UCAP!B27</f>
        <v>Luminaria</v>
      </c>
      <c r="B26" s="43" t="str">
        <f>+UCAP!C27</f>
        <v>Reflector Led 400 W Nuevo</v>
      </c>
      <c r="C26" s="129">
        <f>+UCAP!E27</f>
        <v>30</v>
      </c>
      <c r="D26" s="55">
        <f>+UCAP!O27</f>
        <v>2926718</v>
      </c>
      <c r="E26" s="55">
        <f t="shared" si="0"/>
        <v>87801540</v>
      </c>
    </row>
    <row r="27" spans="1:5" hidden="1" x14ac:dyDescent="0.25">
      <c r="A27" s="43" t="str">
        <f>+UCAP!B28</f>
        <v>Transformador</v>
      </c>
      <c r="B27" s="43" t="str">
        <f>+UCAP!C28</f>
        <v>Transformador monofasico 15KVA</v>
      </c>
      <c r="C27" s="73"/>
      <c r="D27" s="55">
        <f>+UCAP!O28</f>
        <v>8762254</v>
      </c>
      <c r="E27" s="55">
        <f t="shared" si="0"/>
        <v>0</v>
      </c>
    </row>
    <row r="28" spans="1:5" hidden="1" x14ac:dyDescent="0.25">
      <c r="A28" s="43" t="str">
        <f>+UCAP!B29</f>
        <v>Poste</v>
      </c>
      <c r="B28" s="43" t="str">
        <f>+UCAP!C29</f>
        <v>Poste metalico para luminaria 4 metros</v>
      </c>
      <c r="C28" s="73"/>
      <c r="D28" s="55">
        <f>+UCAP!O29</f>
        <v>893253</v>
      </c>
      <c r="E28" s="55">
        <f t="shared" si="0"/>
        <v>0</v>
      </c>
    </row>
    <row r="29" spans="1:5" hidden="1" x14ac:dyDescent="0.25">
      <c r="A29" s="43" t="str">
        <f>+UCAP!B30</f>
        <v>Poste</v>
      </c>
      <c r="B29" s="43" t="str">
        <f>+UCAP!C30</f>
        <v>Poste metalico para farol 3 metros</v>
      </c>
      <c r="C29" s="73"/>
      <c r="D29" s="55">
        <f>+UCAP!O30</f>
        <v>879939</v>
      </c>
      <c r="E29" s="55">
        <f t="shared" si="0"/>
        <v>0</v>
      </c>
    </row>
    <row r="30" spans="1:5" hidden="1" x14ac:dyDescent="0.25">
      <c r="A30" s="43" t="str">
        <f>+UCAP!B31</f>
        <v>Poste</v>
      </c>
      <c r="B30" s="43" t="str">
        <f>+UCAP!C31</f>
        <v>Poste de concreto 8 metros</v>
      </c>
      <c r="C30" s="73"/>
      <c r="D30" s="55">
        <f>+UCAP!O31</f>
        <v>934951</v>
      </c>
      <c r="E30" s="55">
        <f t="shared" si="0"/>
        <v>0</v>
      </c>
    </row>
    <row r="31" spans="1:5" hidden="1" x14ac:dyDescent="0.25">
      <c r="A31" s="43" t="str">
        <f>+UCAP!B32</f>
        <v>Poste</v>
      </c>
      <c r="B31" s="43" t="str">
        <f>+UCAP!C32</f>
        <v>Poste de concreto 10 metros</v>
      </c>
      <c r="C31" s="73"/>
      <c r="D31" s="55">
        <f>+UCAP!O32</f>
        <v>1243802</v>
      </c>
      <c r="E31" s="55">
        <f t="shared" si="0"/>
        <v>0</v>
      </c>
    </row>
    <row r="32" spans="1:5" hidden="1" x14ac:dyDescent="0.25">
      <c r="A32" s="43" t="str">
        <f>+UCAP!B33</f>
        <v>Poste</v>
      </c>
      <c r="B32" s="43" t="str">
        <f>+UCAP!C33</f>
        <v>Poste de concreto 12 metros</v>
      </c>
      <c r="C32" s="73"/>
      <c r="D32" s="55">
        <f>+UCAP!O33</f>
        <v>1816825</v>
      </c>
      <c r="E32" s="55">
        <f t="shared" si="0"/>
        <v>0</v>
      </c>
    </row>
    <row r="33" spans="1:5" hidden="1" x14ac:dyDescent="0.25">
      <c r="A33" s="43" t="str">
        <f>+UCAP!B34</f>
        <v>Poste</v>
      </c>
      <c r="B33" s="43" t="str">
        <f>+UCAP!C34</f>
        <v>Poste de concreto 16 metros</v>
      </c>
      <c r="C33" s="74"/>
      <c r="D33" s="55">
        <f>+UCAP!O34</f>
        <v>3064585</v>
      </c>
      <c r="E33" s="55">
        <f t="shared" si="0"/>
        <v>0</v>
      </c>
    </row>
    <row r="34" spans="1:5" hidden="1" x14ac:dyDescent="0.25">
      <c r="A34" s="43" t="str">
        <f>+UCAP!B35</f>
        <v>Cajas de Inspección y Canalizaciones</v>
      </c>
      <c r="B34" s="43" t="str">
        <f>+UCAP!C35</f>
        <v>Canalizacion con un ducto 1/2" PVC x 500MTS</v>
      </c>
      <c r="C34" s="73"/>
      <c r="D34" s="55">
        <f>+UCAP!O35</f>
        <v>6577158</v>
      </c>
      <c r="E34" s="55">
        <f t="shared" si="0"/>
        <v>0</v>
      </c>
    </row>
    <row r="35" spans="1:5" hidden="1" x14ac:dyDescent="0.25">
      <c r="A35" s="43" t="str">
        <f>+UCAP!B36</f>
        <v>Cajas de Inspección y Canalizaciones</v>
      </c>
      <c r="B35" s="43" t="str">
        <f>+UCAP!C36</f>
        <v>Canalizacion con un ducto  1 1/2" PVC x 500MTS</v>
      </c>
      <c r="C35" s="74"/>
      <c r="D35" s="55">
        <f>+UCAP!O36</f>
        <v>14291823</v>
      </c>
      <c r="E35" s="55">
        <f t="shared" si="0"/>
        <v>0</v>
      </c>
    </row>
    <row r="36" spans="1:5" hidden="1" x14ac:dyDescent="0.25">
      <c r="A36" s="43" t="str">
        <f>+UCAP!B37</f>
        <v>Cajas de Inspección y Canalizaciones</v>
      </c>
      <c r="B36" s="43" t="str">
        <f>+UCAP!C37</f>
        <v>Caja para redes subterraneas tipo alumbrado público</v>
      </c>
      <c r="C36" s="73"/>
      <c r="D36" s="55">
        <f>+UCAP!O37</f>
        <v>358194</v>
      </c>
      <c r="E36" s="55">
        <f t="shared" si="0"/>
        <v>0</v>
      </c>
    </row>
    <row r="37" spans="1:5" hidden="1" x14ac:dyDescent="0.25">
      <c r="A37" s="43" t="str">
        <f>+UCAP!B38</f>
        <v>Redes</v>
      </c>
      <c r="B37" s="43" t="str">
        <f>+UCAP!C38</f>
        <v>Red aerea en cable 2x4+4 AWG x 500MTS</v>
      </c>
      <c r="C37" s="73"/>
      <c r="D37" s="55">
        <f>+UCAP!O38</f>
        <v>7907278</v>
      </c>
      <c r="E37" s="55">
        <f t="shared" si="0"/>
        <v>0</v>
      </c>
    </row>
    <row r="38" spans="1:5" hidden="1" x14ac:dyDescent="0.25">
      <c r="A38" s="43" t="str">
        <f>+UCAP!B39</f>
        <v>Redes</v>
      </c>
      <c r="B38" s="43" t="str">
        <f>+UCAP!C39</f>
        <v>Red aerea en cable 2x2+2 AWG x 500MTS</v>
      </c>
      <c r="C38" s="74"/>
      <c r="D38" s="55">
        <f>+UCAP!O39</f>
        <v>9372820</v>
      </c>
      <c r="E38" s="55">
        <f t="shared" si="0"/>
        <v>0</v>
      </c>
    </row>
    <row r="39" spans="1:5" hidden="1" x14ac:dyDescent="0.25">
      <c r="A39" s="43" t="str">
        <f>+UCAP!B40</f>
        <v>Redes</v>
      </c>
      <c r="B39" s="43" t="str">
        <f>+UCAP!C40</f>
        <v>Red aerea en ASCR No 4x2 AWG x 500MTS</v>
      </c>
      <c r="C39" s="73"/>
      <c r="D39" s="55">
        <f>+UCAP!O40</f>
        <v>12709411</v>
      </c>
      <c r="E39" s="55">
        <f t="shared" si="0"/>
        <v>0</v>
      </c>
    </row>
    <row r="40" spans="1:5" hidden="1" x14ac:dyDescent="0.25">
      <c r="A40" s="43" t="str">
        <f>+UCAP!B41</f>
        <v>Redes</v>
      </c>
      <c r="B40" s="43" t="str">
        <f>+UCAP!C41</f>
        <v>Red subterranea en cable No 12 AWG Cu x 500MTS</v>
      </c>
      <c r="C40" s="74"/>
      <c r="D40" s="55">
        <f>+UCAP!O41</f>
        <v>4077855</v>
      </c>
      <c r="E40" s="55">
        <f t="shared" si="0"/>
        <v>0</v>
      </c>
    </row>
    <row r="41" spans="1:5" hidden="1" x14ac:dyDescent="0.25">
      <c r="A41" s="43" t="str">
        <f>+UCAP!B42</f>
        <v>Redes</v>
      </c>
      <c r="B41" s="43" t="str">
        <f>+UCAP!C42</f>
        <v>Red subterranea en cable No 2 AWG Al x 500MTS</v>
      </c>
      <c r="C41" s="74"/>
      <c r="D41" s="55">
        <f>+UCAP!O42</f>
        <v>4682064</v>
      </c>
      <c r="E41" s="55">
        <f t="shared" si="0"/>
        <v>0</v>
      </c>
    </row>
    <row r="42" spans="1:5" hidden="1" x14ac:dyDescent="0.25">
      <c r="A42" s="43" t="str">
        <f>+UCAP!B43</f>
        <v>Redes</v>
      </c>
      <c r="B42" s="43" t="str">
        <f>+UCAP!C43</f>
        <v>Red en cable encauchetado 3x14 AWG Cu x 500MTS</v>
      </c>
      <c r="C42" s="74"/>
      <c r="D42" s="55">
        <f>+UCAP!O43</f>
        <v>5247624</v>
      </c>
      <c r="E42" s="55">
        <f t="shared" si="0"/>
        <v>0</v>
      </c>
    </row>
    <row r="43" spans="1:5" hidden="1" x14ac:dyDescent="0.25">
      <c r="A43" s="43" t="str">
        <f>+UCAP!B44</f>
        <v>Redes</v>
      </c>
      <c r="B43" s="43" t="str">
        <f>+UCAP!C44</f>
        <v>Sistema puesta a tierra</v>
      </c>
      <c r="C43" s="73"/>
      <c r="D43" s="55">
        <f>+UCAP!O44</f>
        <v>337855</v>
      </c>
      <c r="E43" s="55">
        <f t="shared" si="0"/>
        <v>0</v>
      </c>
    </row>
    <row r="44" spans="1:5" x14ac:dyDescent="0.25">
      <c r="A44" s="313"/>
      <c r="C44" s="12"/>
      <c r="D44" s="10"/>
      <c r="E44" s="10"/>
    </row>
    <row r="45" spans="1:5" x14ac:dyDescent="0.25">
      <c r="C45" s="12"/>
      <c r="D45" s="10"/>
      <c r="E45" s="10"/>
    </row>
    <row r="46" spans="1:5" ht="14.25" customHeight="1" x14ac:dyDescent="0.25">
      <c r="A46" s="86" t="s">
        <v>44</v>
      </c>
      <c r="B46" s="87"/>
      <c r="C46" s="61"/>
      <c r="D46" s="62"/>
      <c r="E46" s="65">
        <f>+ROUND(SUM(E4:E43),0)</f>
        <v>1035924528</v>
      </c>
    </row>
    <row r="47" spans="1:5" ht="15" customHeight="1" x14ac:dyDescent="0.25">
      <c r="A47" s="86" t="s">
        <v>190</v>
      </c>
      <c r="B47" s="87"/>
      <c r="C47" s="87"/>
      <c r="D47" s="87"/>
      <c r="E47" s="206">
        <f>+'DATOS ENTRADA'!B18</f>
        <v>9.7000000000000003E-2</v>
      </c>
    </row>
    <row r="48" spans="1:5" ht="15" customHeight="1" x14ac:dyDescent="0.25">
      <c r="A48" s="86" t="s">
        <v>161</v>
      </c>
      <c r="B48" s="87"/>
      <c r="C48" s="87"/>
      <c r="D48" s="87"/>
      <c r="E48" s="88">
        <v>0</v>
      </c>
    </row>
    <row r="49" spans="1:5" ht="15" customHeight="1" x14ac:dyDescent="0.25">
      <c r="A49" s="86" t="s">
        <v>46</v>
      </c>
      <c r="B49" s="87"/>
      <c r="C49" s="87"/>
      <c r="D49" s="87"/>
      <c r="E49" s="88">
        <f>+'DATOS ENTRADA'!B21</f>
        <v>0.98</v>
      </c>
    </row>
    <row r="50" spans="1:5" ht="15" customHeight="1" x14ac:dyDescent="0.25">
      <c r="A50" s="86" t="s">
        <v>45</v>
      </c>
      <c r="B50" s="87"/>
      <c r="C50" s="61"/>
      <c r="D50" s="62"/>
      <c r="E50" s="207">
        <f>+'DATOS ENTRADA'!B32*'CENSO FUTURO '!F15*12*365</f>
        <v>285006.59999999998</v>
      </c>
    </row>
    <row r="51" spans="1:5" x14ac:dyDescent="0.25">
      <c r="C51" s="12"/>
      <c r="D51" s="10"/>
      <c r="E51" s="10"/>
    </row>
    <row r="52" spans="1:5" ht="17.25" customHeight="1" x14ac:dyDescent="0.25">
      <c r="A52" s="60" t="s">
        <v>146</v>
      </c>
      <c r="B52" s="87"/>
      <c r="C52" s="89"/>
      <c r="D52" s="90"/>
      <c r="E52" s="91">
        <f>+ROUND(((E46*(E47+E48)*E49)-E50),0)</f>
        <v>98189979</v>
      </c>
    </row>
    <row r="53" spans="1:5" ht="17.25" customHeight="1" x14ac:dyDescent="0.25">
      <c r="A53" s="60" t="s">
        <v>147</v>
      </c>
      <c r="B53" s="87"/>
      <c r="C53" s="89"/>
      <c r="D53" s="90"/>
      <c r="E53" s="91">
        <f>+ROUND((E52/12),0)</f>
        <v>8182498</v>
      </c>
    </row>
    <row r="54" spans="1:5" x14ac:dyDescent="0.25">
      <c r="E54" s="75">
        <f>+ROUND((E53/12),0)</f>
        <v>681875</v>
      </c>
    </row>
    <row r="55" spans="1:5" x14ac:dyDescent="0.25">
      <c r="E55" s="13"/>
    </row>
    <row r="56" spans="1:5" x14ac:dyDescent="0.25">
      <c r="E56" s="10"/>
    </row>
    <row r="57" spans="1:5" x14ac:dyDescent="0.25">
      <c r="E57" s="10"/>
    </row>
    <row r="59" spans="1:5" x14ac:dyDescent="0.25">
      <c r="B59" s="43" t="s">
        <v>133</v>
      </c>
      <c r="C59" s="55">
        <f>+E54</f>
        <v>681875</v>
      </c>
    </row>
    <row r="60" spans="1:5" x14ac:dyDescent="0.25">
      <c r="B60" s="43" t="s">
        <v>134</v>
      </c>
      <c r="C60" s="55">
        <f>+C59+$E$54</f>
        <v>1363750</v>
      </c>
    </row>
    <row r="61" spans="1:5" x14ac:dyDescent="0.25">
      <c r="B61" s="43" t="s">
        <v>135</v>
      </c>
      <c r="C61" s="55">
        <f t="shared" ref="C61:C70" si="1">+C60+$E$54</f>
        <v>2045625</v>
      </c>
    </row>
    <row r="62" spans="1:5" x14ac:dyDescent="0.25">
      <c r="B62" s="43" t="s">
        <v>136</v>
      </c>
      <c r="C62" s="55">
        <f t="shared" si="1"/>
        <v>2727500</v>
      </c>
    </row>
    <row r="63" spans="1:5" x14ac:dyDescent="0.25">
      <c r="B63" s="43" t="s">
        <v>137</v>
      </c>
      <c r="C63" s="55">
        <f t="shared" si="1"/>
        <v>3409375</v>
      </c>
    </row>
    <row r="64" spans="1:5" x14ac:dyDescent="0.25">
      <c r="B64" s="43" t="s">
        <v>138</v>
      </c>
      <c r="C64" s="55">
        <f t="shared" si="1"/>
        <v>4091250</v>
      </c>
    </row>
    <row r="65" spans="2:3" x14ac:dyDescent="0.25">
      <c r="B65" s="43" t="s">
        <v>139</v>
      </c>
      <c r="C65" s="55">
        <f t="shared" si="1"/>
        <v>4773125</v>
      </c>
    </row>
    <row r="66" spans="2:3" x14ac:dyDescent="0.25">
      <c r="B66" s="43" t="s">
        <v>140</v>
      </c>
      <c r="C66" s="55">
        <f t="shared" si="1"/>
        <v>5455000</v>
      </c>
    </row>
    <row r="67" spans="2:3" x14ac:dyDescent="0.25">
      <c r="B67" s="43" t="s">
        <v>141</v>
      </c>
      <c r="C67" s="55">
        <f t="shared" si="1"/>
        <v>6136875</v>
      </c>
    </row>
    <row r="68" spans="2:3" x14ac:dyDescent="0.25">
      <c r="B68" s="43" t="s">
        <v>142</v>
      </c>
      <c r="C68" s="55">
        <f t="shared" si="1"/>
        <v>6818750</v>
      </c>
    </row>
    <row r="69" spans="2:3" x14ac:dyDescent="0.25">
      <c r="B69" s="43" t="s">
        <v>143</v>
      </c>
      <c r="C69" s="55">
        <f t="shared" si="1"/>
        <v>7500625</v>
      </c>
    </row>
    <row r="70" spans="2:3" x14ac:dyDescent="0.25">
      <c r="B70" s="43" t="s">
        <v>144</v>
      </c>
      <c r="C70" s="55">
        <f t="shared" si="1"/>
        <v>8182500</v>
      </c>
    </row>
    <row r="72" spans="2:3" x14ac:dyDescent="0.25">
      <c r="C72" s="10"/>
    </row>
  </sheetData>
  <autoFilter ref="A3:E43" xr:uid="{CE59DAA4-0C94-47D8-AAC8-B653F5AA4A6C}">
    <filterColumn colId="2">
      <customFilters>
        <customFilter operator="notEqual" val=" "/>
      </customFilters>
    </filterColumn>
  </autoFilter>
  <mergeCells count="1">
    <mergeCell ref="A1:E1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8</vt:i4>
      </vt:variant>
    </vt:vector>
  </HeadingPairs>
  <TitlesOfParts>
    <vt:vector size="21" baseType="lpstr">
      <vt:lpstr>DATOS ENTRADA</vt:lpstr>
      <vt:lpstr>FC-30</vt:lpstr>
      <vt:lpstr>INGRESOS</vt:lpstr>
      <vt:lpstr>UCAP</vt:lpstr>
      <vt:lpstr>CENSO ACTUAL</vt:lpstr>
      <vt:lpstr>CENSO FUTURO </vt:lpstr>
      <vt:lpstr>CINV</vt:lpstr>
      <vt:lpstr>CAOM Lum_Act</vt:lpstr>
      <vt:lpstr>CAOM Lum_Fut</vt:lpstr>
      <vt:lpstr>CAOM Infraestructura</vt:lpstr>
      <vt:lpstr>INDICE DISPO.</vt:lpstr>
      <vt:lpstr>DATOS FLUJO REAL</vt:lpstr>
      <vt:lpstr>Tiempo</vt:lpstr>
      <vt:lpstr>'CAOM Infraestructura'!Área_de_impresión</vt:lpstr>
      <vt:lpstr>'CAOM Lum_Act'!Área_de_impresión</vt:lpstr>
      <vt:lpstr>'CAOM Lum_Fut'!Área_de_impresión</vt:lpstr>
      <vt:lpstr>CINV!Área_de_impresión</vt:lpstr>
      <vt:lpstr>'FC-30'!Área_de_impresión</vt:lpstr>
      <vt:lpstr>UCAP!Área_de_impresión</vt:lpstr>
      <vt:lpstr>'CAOM Lum_Act'!Títulos_a_imprimir</vt:lpstr>
      <vt:lpstr>'FC-30'!Títulos_a_imprimir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Shirly Marrugo Llorente</dc:creator>
  <cp:lastModifiedBy>Shirly Marrugo Llorente</cp:lastModifiedBy>
  <cp:lastPrinted>2022-10-28T02:24:38Z</cp:lastPrinted>
  <dcterms:created xsi:type="dcterms:W3CDTF">2020-10-08T18:29:18Z</dcterms:created>
  <dcterms:modified xsi:type="dcterms:W3CDTF">2022-10-28T02:24:45Z</dcterms:modified>
</cp:coreProperties>
</file>