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navarro\Desktop\AGM Desarrollos\Construccion\Presupuestos\Proyectos\Turbaco\Troncal Occidente\"/>
    </mc:Choice>
  </mc:AlternateContent>
  <xr:revisionPtr revIDLastSave="0" documentId="13_ncr:1_{7CF2BA7F-BBEB-4973-A8CE-8B8B7D931E3E}" xr6:coauthVersionLast="47" xr6:coauthVersionMax="47" xr10:uidLastSave="{00000000-0000-0000-0000-000000000000}"/>
  <bookViews>
    <workbookView xWindow="-120" yWindow="-120" windowWidth="29040" windowHeight="15840" tabRatio="586" xr2:uid="{00000000-000D-0000-FFFF-FFFF00000000}"/>
  </bookViews>
  <sheets>
    <sheet name="Electrico" sheetId="14" r:id="rId1"/>
    <sheet name="Material" sheetId="30" r:id="rId2"/>
    <sheet name="concreto" sheetId="33" r:id="rId3"/>
    <sheet name="MAno de obra" sheetId="31" r:id="rId4"/>
    <sheet name="Internos" sheetId="32" r:id="rId5"/>
    <sheet name="ORGANIGRAMA" sheetId="19" state="hidden" r:id="rId6"/>
    <sheet name="PROCESO" sheetId="26" state="hidden" r:id="rId7"/>
    <sheet name="OFERTAS CONTRATISTAS" sheetId="27" state="hidden" r:id="rId8"/>
    <sheet name="PRECIOS DE LUMINARIAS" sheetId="22" state="hidden" r:id="rId9"/>
    <sheet name="MATERIALES" sheetId="16" state="hidden" r:id="rId10"/>
    <sheet name="COTIZACIONES DE EQUIPOS Y HERRA" sheetId="28" state="hidden" r:id="rId11"/>
    <sheet name="ANALISIS RECURSO HUMANO" sheetId="13" state="hidden" r:id="rId12"/>
    <sheet name="VIGILANCIA" sheetId="23" state="hidden" r:id="rId13"/>
  </sheets>
  <externalReferences>
    <externalReference r:id="rId14"/>
  </externalReferences>
  <definedNames>
    <definedName name="_xlnm._FilterDatabase" localSheetId="3" hidden="1">'MAno de obra'!$B$2:$F$2</definedName>
    <definedName name="_xlnm._FilterDatabase" localSheetId="1" hidden="1">Material!$B$2:$F$2</definedName>
    <definedName name="ActualBeyond" localSheetId="11">'ANALISIS RECURSO HUMANO'!PeriodInActual*(#REF!&gt;0)</definedName>
    <definedName name="ActualBeyond" localSheetId="10">PeriodInActual*(#REF!&gt;0)</definedName>
    <definedName name="ActualBeyond" localSheetId="0">Electrico!PeriodInActual*(#REF!&gt;0)</definedName>
    <definedName name="ActualBeyond" localSheetId="9">MATERIALES!PeriodInActual*(#REF!&gt;0)</definedName>
    <definedName name="ActualBeyond" localSheetId="7">PeriodInActual*(#REF!&gt;0)</definedName>
    <definedName name="ActualBeyond" localSheetId="5">ORGANIGRAMA!PeriodInActual*(#REF!&gt;0)</definedName>
    <definedName name="ActualBeyond" localSheetId="8">'PRECIOS DE LUMINARIAS'!PeriodInActual*(#REF!&gt;0)</definedName>
    <definedName name="ActualBeyond" localSheetId="6">PROCESO!PeriodInActual*(#REF!&gt;0)</definedName>
    <definedName name="ActualBeyond" localSheetId="12">VIGILANCIA!PeriodInActual*(#REF!&gt;0)</definedName>
    <definedName name="ActualBeyond">PeriodInActual*(#REF!&gt;0)</definedName>
    <definedName name="_xlnm.Print_Area" localSheetId="0">Electrico!$A$1:$H$200</definedName>
    <definedName name="_xlnm.Print_Area" localSheetId="6">PROCESO!$A$1:$B$103</definedName>
    <definedName name="PercentCompleteBeyond" localSheetId="11">(#REF!=MEDIAN(#REF!,#REF!,#REF!+#REF!)*(#REF!&gt;0))*((#REF!&lt;(INT(#REF!+#REF!*#REF!)))+(#REF!=#REF!))*(#REF!&gt;0)</definedName>
    <definedName name="PercentCompleteBeyond" localSheetId="10">(#REF!=MEDIAN(#REF!,#REF!,#REF!+#REF!)*(#REF!&gt;0))*((#REF!&lt;(INT(#REF!+#REF!*#REF!)))+(#REF!=#REF!))*(#REF!&gt;0)</definedName>
    <definedName name="PercentCompleteBeyond" localSheetId="0">(#REF!=MEDIAN(#REF!,#REF!,#REF!+#REF!)*(#REF!&gt;0))*((#REF!&lt;(INT(#REF!+#REF!*#REF!)))+(#REF!=#REF!))*(#REF!&gt;0)</definedName>
    <definedName name="PercentCompleteBeyond" localSheetId="9">(#REF!=MEDIAN(#REF!,#REF!,#REF!+#REF!)*(#REF!&gt;0))*((#REF!&lt;(INT(#REF!+#REF!*#REF!)))+(#REF!=#REF!))*(#REF!&gt;0)</definedName>
    <definedName name="PercentCompleteBeyond" localSheetId="7">(#REF!=MEDIAN(#REF!,#REF!,#REF!+#REF!)*(#REF!&gt;0))*((#REF!&lt;(INT(#REF!+#REF!*#REF!)))+(#REF!=#REF!))*(#REF!&gt;0)</definedName>
    <definedName name="PercentCompleteBeyond" localSheetId="5">(#REF!=MEDIAN(#REF!,#REF!,#REF!+#REF!)*(#REF!&gt;0))*((#REF!&lt;(INT(#REF!+#REF!*#REF!)))+(#REF!=#REF!))*(#REF!&gt;0)</definedName>
    <definedName name="PercentCompleteBeyond" localSheetId="8">(#REF!=MEDIAN(#REF!,#REF!,#REF!+#REF!)*(#REF!&gt;0))*((#REF!&lt;(INT(#REF!+#REF!*#REF!)))+(#REF!=#REF!))*(#REF!&gt;0)</definedName>
    <definedName name="PercentCompleteBeyond" localSheetId="6">(#REF!=MEDIAN(#REF!,#REF!,#REF!+#REF!)*(#REF!&gt;0))*((#REF!&lt;(INT(#REF!+#REF!*#REF!)))+(#REF!=#REF!))*(#REF!&gt;0)</definedName>
    <definedName name="PercentCompleteBeyond" localSheetId="12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11">#REF!</definedName>
    <definedName name="period_selected" localSheetId="0">#REF!</definedName>
    <definedName name="period_selected" localSheetId="5">#REF!</definedName>
    <definedName name="period_selected" localSheetId="8">#REF!</definedName>
    <definedName name="period_selected" localSheetId="6">#REF!</definedName>
    <definedName name="period_selected" localSheetId="12">#REF!</definedName>
    <definedName name="period_selected">#REF!</definedName>
    <definedName name="PeriodInActual" localSheetId="11">#REF!=MEDIAN(#REF!,#REF!,#REF!+#REF!-1)</definedName>
    <definedName name="PeriodInActual" localSheetId="0">#REF!=MEDIAN(#REF!,#REF!,#REF!+#REF!-1)</definedName>
    <definedName name="PeriodInActual" localSheetId="9">#REF!=MEDIAN(#REF!,#REF!,#REF!+#REF!-1)</definedName>
    <definedName name="PeriodInActual" localSheetId="5">#REF!=MEDIAN(#REF!,#REF!,#REF!+#REF!-1)</definedName>
    <definedName name="PeriodInActual" localSheetId="8">#REF!=MEDIAN(#REF!,#REF!,#REF!+#REF!-1)</definedName>
    <definedName name="PeriodInActual" localSheetId="6">#REF!=MEDIAN(#REF!,#REF!,#REF!+#REF!-1)</definedName>
    <definedName name="PeriodInActual" localSheetId="12">#REF!=MEDIAN(#REF!,#REF!,#REF!+#REF!-1)</definedName>
    <definedName name="PeriodInActual">#REF!=MEDIAN(#REF!,#REF!,#REF!+#REF!-1)</definedName>
    <definedName name="PeriodInPlan" localSheetId="11">#REF!=MEDIAN(#REF!,#REF!,#REF!+#REF!-1)</definedName>
    <definedName name="PeriodInPlan" localSheetId="0">#REF!=MEDIAN(#REF!,#REF!,#REF!+#REF!-1)</definedName>
    <definedName name="PeriodInPlan" localSheetId="9">#REF!=MEDIAN(#REF!,#REF!,#REF!+#REF!-1)</definedName>
    <definedName name="PeriodInPlan" localSheetId="5">#REF!=MEDIAN(#REF!,#REF!,#REF!+#REF!-1)</definedName>
    <definedName name="PeriodInPlan" localSheetId="8">#REF!=MEDIAN(#REF!,#REF!,#REF!+#REF!-1)</definedName>
    <definedName name="PeriodInPlan" localSheetId="6">#REF!=MEDIAN(#REF!,#REF!,#REF!+#REF!-1)</definedName>
    <definedName name="PeriodInPlan" localSheetId="12">#REF!=MEDIAN(#REF!,#REF!,#REF!+#REF!-1)</definedName>
    <definedName name="PeriodInPlan">#REF!=MEDIAN(#REF!,#REF!,#REF!+#REF!-1)</definedName>
    <definedName name="Plan" localSheetId="11">'ANALISIS RECURSO HUMANO'!PeriodInPlan*(#REF!&gt;0)</definedName>
    <definedName name="Plan" localSheetId="10">PeriodInPlan*(#REF!&gt;0)</definedName>
    <definedName name="Plan" localSheetId="0">Electrico!PeriodInPlan*(#REF!&gt;0)</definedName>
    <definedName name="Plan" localSheetId="9">MATERIALES!PeriodInPlan*(#REF!&gt;0)</definedName>
    <definedName name="Plan" localSheetId="7">PeriodInPlan*(#REF!&gt;0)</definedName>
    <definedName name="Plan" localSheetId="5">ORGANIGRAMA!PeriodInPlan*(#REF!&gt;0)</definedName>
    <definedName name="Plan" localSheetId="8">'PRECIOS DE LUMINARIAS'!PeriodInPlan*(#REF!&gt;0)</definedName>
    <definedName name="Plan" localSheetId="6">PROCESO!PeriodInPlan*(#REF!&gt;0)</definedName>
    <definedName name="Plan" localSheetId="12">VIGILANCIA!PeriodInPlan*(#REF!&gt;0)</definedName>
    <definedName name="Plan">PeriodInPlan*(#REF!&gt;0)</definedName>
    <definedName name="PorcentajeCompletado" localSheetId="11">'ANALISIS RECURSO HUMANO'!PercentCompleteBeyond*'ANALISIS RECURSO HUMANO'!PeriodInPlan</definedName>
    <definedName name="PorcentajeCompletado" localSheetId="10">'COTIZACIONES DE EQUIPOS Y HERRA'!PercentCompleteBeyond*PeriodInPlan</definedName>
    <definedName name="PorcentajeCompletado" localSheetId="0">Electrico!PercentCompleteBeyond*Electrico!PeriodInPlan</definedName>
    <definedName name="PorcentajeCompletado" localSheetId="9">MATERIALES!PercentCompleteBeyond*MATERIALES!PeriodInPlan</definedName>
    <definedName name="PorcentajeCompletado" localSheetId="7">'OFERTAS CONTRATISTAS'!PercentCompleteBeyond*PeriodInPlan</definedName>
    <definedName name="PorcentajeCompletado" localSheetId="5">ORGANIGRAMA!PercentCompleteBeyond*ORGANIGRAMA!PeriodInPlan</definedName>
    <definedName name="PorcentajeCompletado" localSheetId="8">'PRECIOS DE LUMINARIAS'!PercentCompleteBeyond*'PRECIOS DE LUMINARIAS'!PeriodInPlan</definedName>
    <definedName name="PorcentajeCompletado" localSheetId="6">PROCESO!PercentCompleteBeyond*PROCESO!PeriodInPlan</definedName>
    <definedName name="PorcentajeCompletado" localSheetId="12">VIGILANCIA!PercentCompleteBeyond*VIGILANCIA!PeriodInPlan</definedName>
    <definedName name="PorcentajeCompletado">PercentCompleteBeyond*PeriodInPlan</definedName>
    <definedName name="Real" localSheetId="11">('ANALISIS RECURSO HUMANO'!PeriodInActual*(#REF!&gt;0))*'ANALISIS RECURSO HUMANO'!PeriodInPlan</definedName>
    <definedName name="Real" localSheetId="10">(PeriodInActual*(#REF!&gt;0))*PeriodInPlan</definedName>
    <definedName name="Real" localSheetId="0">(Electrico!PeriodInActual*(#REF!&gt;0))*Electrico!PeriodInPlan</definedName>
    <definedName name="Real" localSheetId="9">(MATERIALES!PeriodInActual*(#REF!&gt;0))*MATERIALES!PeriodInPlan</definedName>
    <definedName name="Real" localSheetId="7">(PeriodInActual*(#REF!&gt;0))*PeriodInPlan</definedName>
    <definedName name="Real" localSheetId="5">(ORGANIGRAMA!PeriodInActual*(#REF!&gt;0))*ORGANIGRAMA!PeriodInPlan</definedName>
    <definedName name="Real" localSheetId="8">('PRECIOS DE LUMINARIAS'!PeriodInActual*(#REF!&gt;0))*'PRECIOS DE LUMINARIAS'!PeriodInPlan</definedName>
    <definedName name="Real" localSheetId="6">(PROCESO!PeriodInActual*(#REF!&gt;0))*PROCESO!PeriodInPlan</definedName>
    <definedName name="Real" localSheetId="12">(VIGILANCIA!PeriodInActual*(#REF!&gt;0))*VIGILANCIA!PeriodInPlan</definedName>
    <definedName name="Real">(PeriodInActual*(#REF!&gt;0))*PeriodInPlan</definedName>
    <definedName name="TitleRegion..BO60" localSheetId="11">#REF!</definedName>
    <definedName name="TitleRegion..BO60" localSheetId="0">#REF!</definedName>
    <definedName name="TitleRegion..BO60" localSheetId="5">#REF!</definedName>
    <definedName name="TitleRegion..BO60" localSheetId="8">#REF!</definedName>
    <definedName name="TitleRegion..BO60" localSheetId="6">#REF!</definedName>
    <definedName name="TitleRegion..BO60" localSheetId="12">#REF!</definedName>
    <definedName name="TitleRegion..BO60">#REF!</definedName>
    <definedName name="_xlnm.Print_Titles" localSheetId="0">Electrico!$1:$8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0" i="14" l="1"/>
  <c r="H160" i="14" s="1"/>
  <c r="J160" i="14" s="1"/>
  <c r="C160" i="14"/>
  <c r="D160" i="14" s="1"/>
  <c r="D29" i="32"/>
  <c r="J41" i="14"/>
  <c r="H41" i="14"/>
  <c r="C41" i="14"/>
  <c r="D41" i="14" s="1"/>
  <c r="H29" i="14"/>
  <c r="D29" i="14"/>
  <c r="C29" i="14"/>
  <c r="G28" i="14"/>
  <c r="H28" i="14" s="1"/>
  <c r="D28" i="14"/>
  <c r="C28" i="14"/>
  <c r="H27" i="14"/>
  <c r="C27" i="14"/>
  <c r="G26" i="14"/>
  <c r="H26" i="14" s="1"/>
  <c r="D26" i="14"/>
  <c r="C26" i="14"/>
  <c r="H25" i="14"/>
  <c r="C25" i="14"/>
  <c r="D25" i="14" s="1"/>
  <c r="H24" i="14"/>
  <c r="C24" i="14"/>
  <c r="D24" i="14" s="1"/>
  <c r="G23" i="14"/>
  <c r="H23" i="14" s="1"/>
  <c r="C23" i="14"/>
  <c r="D23" i="14" s="1"/>
  <c r="G22" i="14"/>
  <c r="H22" i="14" s="1"/>
  <c r="C22" i="14"/>
  <c r="D22" i="14" s="1"/>
  <c r="G21" i="14"/>
  <c r="H21" i="14" s="1"/>
  <c r="C21" i="14"/>
  <c r="D21" i="14" s="1"/>
  <c r="H20" i="14"/>
  <c r="C20" i="14"/>
  <c r="D20" i="14" s="1"/>
  <c r="G19" i="14"/>
  <c r="H19" i="14" s="1"/>
  <c r="C19" i="14"/>
  <c r="D19" i="14" s="1"/>
  <c r="M14" i="33"/>
  <c r="F131" i="14"/>
  <c r="F132" i="14" s="1"/>
  <c r="M13" i="33"/>
  <c r="F133" i="14" s="1"/>
  <c r="M12" i="33"/>
  <c r="M11" i="33"/>
  <c r="F128" i="14"/>
  <c r="F129" i="14"/>
  <c r="F130" i="14"/>
  <c r="F127" i="14"/>
  <c r="C130" i="14"/>
  <c r="G130" i="14" s="1"/>
  <c r="H130" i="14" s="1"/>
  <c r="C129" i="14"/>
  <c r="G129" i="14" s="1"/>
  <c r="C128" i="14"/>
  <c r="G128" i="14" s="1"/>
  <c r="C127" i="14"/>
  <c r="G127" i="14" s="1"/>
  <c r="C134" i="14"/>
  <c r="G134" i="14" s="1"/>
  <c r="H134" i="14" s="1"/>
  <c r="C133" i="14"/>
  <c r="D133" i="14" s="1"/>
  <c r="C132" i="14"/>
  <c r="G132" i="14" s="1"/>
  <c r="C131" i="14"/>
  <c r="G131" i="14" s="1"/>
  <c r="H132" i="14" l="1"/>
  <c r="H131" i="14"/>
  <c r="H128" i="14"/>
  <c r="H129" i="14"/>
  <c r="H127" i="14"/>
  <c r="D127" i="14"/>
  <c r="D129" i="14"/>
  <c r="D132" i="14"/>
  <c r="D128" i="14"/>
  <c r="D130" i="14"/>
  <c r="D134" i="14"/>
  <c r="G133" i="14"/>
  <c r="H133" i="14" s="1"/>
  <c r="D131" i="14"/>
  <c r="L5" i="33" l="1"/>
  <c r="L6" i="33"/>
  <c r="L7" i="33"/>
  <c r="L4" i="33"/>
  <c r="H5" i="33"/>
  <c r="H6" i="33"/>
  <c r="H7" i="33"/>
  <c r="H4" i="33"/>
  <c r="G5" i="33"/>
  <c r="G6" i="33"/>
  <c r="G7" i="33"/>
  <c r="G4" i="33"/>
  <c r="E11" i="33"/>
  <c r="E12" i="33"/>
  <c r="E13" i="33"/>
  <c r="E14" i="33"/>
  <c r="E15" i="33"/>
  <c r="E16" i="33"/>
  <c r="E17" i="33"/>
  <c r="E18" i="33"/>
  <c r="E19" i="33"/>
  <c r="E8" i="33"/>
  <c r="E5" i="33"/>
  <c r="E6" i="33"/>
  <c r="E7" i="33"/>
  <c r="E4" i="33"/>
  <c r="C135" i="14"/>
  <c r="G135" i="14" s="1"/>
  <c r="H135" i="14" s="1"/>
  <c r="H136" i="14" s="1"/>
  <c r="P6" i="33" l="1"/>
  <c r="M6" i="33"/>
  <c r="N6" i="33" s="1"/>
  <c r="P4" i="33"/>
  <c r="M4" i="33"/>
  <c r="P7" i="33"/>
  <c r="M7" i="33"/>
  <c r="N7" i="33" s="1"/>
  <c r="P5" i="33"/>
  <c r="M5" i="33"/>
  <c r="N5" i="33" s="1"/>
  <c r="D135" i="14"/>
  <c r="F143" i="14"/>
  <c r="G161" i="14"/>
  <c r="H161" i="14" s="1"/>
  <c r="J161" i="14" s="1"/>
  <c r="D24" i="32"/>
  <c r="G163" i="14"/>
  <c r="H163" i="14" s="1"/>
  <c r="J163" i="14" s="1"/>
  <c r="C163" i="14"/>
  <c r="D163" i="14" s="1"/>
  <c r="I72" i="14"/>
  <c r="I71" i="14"/>
  <c r="C161" i="14"/>
  <c r="D161" i="14" s="1"/>
  <c r="C75" i="14"/>
  <c r="G75" i="14" s="1"/>
  <c r="C150" i="14"/>
  <c r="D150" i="14" s="1"/>
  <c r="I119" i="14"/>
  <c r="C119" i="14"/>
  <c r="G119" i="14" s="1"/>
  <c r="H119" i="14" s="1"/>
  <c r="C120" i="14"/>
  <c r="G120" i="14" s="1"/>
  <c r="H120" i="14" s="1"/>
  <c r="C121" i="14"/>
  <c r="G121" i="14" s="1"/>
  <c r="H121" i="14" s="1"/>
  <c r="C122" i="14"/>
  <c r="G122" i="14" s="1"/>
  <c r="H122" i="14" s="1"/>
  <c r="I118" i="14"/>
  <c r="C118" i="14"/>
  <c r="G118" i="14" s="1"/>
  <c r="H118" i="14" s="1"/>
  <c r="I106" i="14"/>
  <c r="I111" i="14"/>
  <c r="I112" i="14"/>
  <c r="I114" i="14"/>
  <c r="I115" i="14"/>
  <c r="I116" i="14"/>
  <c r="C92" i="14"/>
  <c r="G92" i="14" s="1"/>
  <c r="C93" i="14"/>
  <c r="G93" i="14" s="1"/>
  <c r="C84" i="14"/>
  <c r="D84" i="14" s="1"/>
  <c r="I17" i="14"/>
  <c r="I83" i="14" s="1"/>
  <c r="I86" i="14" s="1"/>
  <c r="I88" i="14" s="1"/>
  <c r="I89" i="14" s="1"/>
  <c r="I78" i="14"/>
  <c r="P8" i="33" l="1"/>
  <c r="D10" i="33" s="1"/>
  <c r="E10" i="33" s="1"/>
  <c r="M8" i="33"/>
  <c r="N4" i="33"/>
  <c r="N8" i="33" s="1"/>
  <c r="I76" i="14"/>
  <c r="J75" i="14"/>
  <c r="H75" i="14"/>
  <c r="D75" i="14"/>
  <c r="J119" i="14"/>
  <c r="D119" i="14"/>
  <c r="J120" i="14"/>
  <c r="D120" i="14"/>
  <c r="J121" i="14"/>
  <c r="D121" i="14"/>
  <c r="J122" i="14"/>
  <c r="D122" i="14"/>
  <c r="J118" i="14"/>
  <c r="D118" i="14"/>
  <c r="J92" i="14"/>
  <c r="H92" i="14"/>
  <c r="D92" i="14"/>
  <c r="J93" i="14"/>
  <c r="H93" i="14"/>
  <c r="D93" i="14"/>
  <c r="I87" i="14"/>
  <c r="I85" i="14"/>
  <c r="I91" i="14" s="1"/>
  <c r="G84" i="14"/>
  <c r="J84" i="14" l="1"/>
  <c r="H84" i="14"/>
  <c r="I74" i="14" l="1"/>
  <c r="I73" i="14"/>
  <c r="I79" i="14" s="1"/>
  <c r="C71" i="14"/>
  <c r="G71" i="14" s="1"/>
  <c r="I70" i="14"/>
  <c r="I69" i="14"/>
  <c r="I68" i="14"/>
  <c r="I67" i="14"/>
  <c r="C67" i="14"/>
  <c r="G67" i="14" s="1"/>
  <c r="C68" i="14"/>
  <c r="G68" i="14" s="1"/>
  <c r="C69" i="14"/>
  <c r="D69" i="14" s="1"/>
  <c r="I66" i="14"/>
  <c r="J71" i="14" l="1"/>
  <c r="H71" i="14"/>
  <c r="D71" i="14"/>
  <c r="J67" i="14"/>
  <c r="H67" i="14"/>
  <c r="D67" i="14"/>
  <c r="J68" i="14"/>
  <c r="H68" i="14"/>
  <c r="D68" i="14"/>
  <c r="G69" i="14"/>
  <c r="I56" i="14"/>
  <c r="I60" i="14" s="1"/>
  <c r="J69" i="14" l="1"/>
  <c r="H69" i="14"/>
  <c r="I57" i="14"/>
  <c r="I58" i="14"/>
  <c r="I59" i="14"/>
  <c r="J13" i="14" l="1"/>
  <c r="J14" i="14"/>
  <c r="C14" i="14"/>
  <c r="D14" i="14" s="1"/>
  <c r="J12" i="14"/>
  <c r="C12" i="14"/>
  <c r="D12" i="14" s="1"/>
  <c r="C13" i="14"/>
  <c r="D13" i="14" s="1"/>
  <c r="J123" i="14"/>
  <c r="H14" i="14" l="1"/>
  <c r="H12" i="14"/>
  <c r="H13" i="14"/>
  <c r="G162" i="14" l="1"/>
  <c r="H162" i="14" s="1"/>
  <c r="J162" i="14" s="1"/>
  <c r="C162" i="14"/>
  <c r="D162" i="14" s="1"/>
  <c r="G149" i="14"/>
  <c r="C149" i="14"/>
  <c r="D149" i="14" s="1"/>
  <c r="G150" i="14"/>
  <c r="D15" i="32"/>
  <c r="D148" i="14"/>
  <c r="G147" i="14"/>
  <c r="C147" i="14"/>
  <c r="D147" i="14" s="1"/>
  <c r="D12" i="32"/>
  <c r="G145" i="14"/>
  <c r="C145" i="14"/>
  <c r="D145" i="14" s="1"/>
  <c r="G146" i="14"/>
  <c r="C146" i="14"/>
  <c r="D146" i="14" s="1"/>
  <c r="G144" i="14"/>
  <c r="C144" i="14"/>
  <c r="D144" i="14" s="1"/>
  <c r="G148" i="14"/>
  <c r="C148" i="14"/>
  <c r="G159" i="14"/>
  <c r="H159" i="14" s="1"/>
  <c r="J159" i="14" s="1"/>
  <c r="C159" i="14"/>
  <c r="D159" i="14" s="1"/>
  <c r="G164" i="14"/>
  <c r="H164" i="14" s="1"/>
  <c r="J164" i="14" s="1"/>
  <c r="C164" i="14"/>
  <c r="D164" i="14" s="1"/>
  <c r="J150" i="14" l="1"/>
  <c r="H150" i="14"/>
  <c r="H148" i="14"/>
  <c r="J148" i="14"/>
  <c r="H144" i="14"/>
  <c r="J144" i="14"/>
  <c r="H147" i="14"/>
  <c r="J147" i="14"/>
  <c r="H149" i="14"/>
  <c r="J149" i="14"/>
  <c r="H146" i="14"/>
  <c r="J146" i="14"/>
  <c r="H145" i="14"/>
  <c r="J145" i="14"/>
  <c r="C78" i="14"/>
  <c r="G78" i="14" s="1"/>
  <c r="J78" i="14" s="1"/>
  <c r="C60" i="14"/>
  <c r="G60" i="14" s="1"/>
  <c r="I101" i="14"/>
  <c r="D71" i="32"/>
  <c r="E78" i="32"/>
  <c r="E77" i="32"/>
  <c r="E76" i="32"/>
  <c r="O189" i="14"/>
  <c r="G194" i="14"/>
  <c r="H194" i="14" s="1"/>
  <c r="J194" i="14" s="1"/>
  <c r="C194" i="14"/>
  <c r="D194" i="14" s="1"/>
  <c r="F156" i="30"/>
  <c r="I113" i="14"/>
  <c r="I103" i="14"/>
  <c r="I102" i="14"/>
  <c r="J102" i="14" s="1"/>
  <c r="C74" i="14"/>
  <c r="G74" i="14" s="1"/>
  <c r="C76" i="14"/>
  <c r="G76" i="14" s="1"/>
  <c r="J76" i="14" s="1"/>
  <c r="C72" i="14"/>
  <c r="G72" i="14" s="1"/>
  <c r="J72" i="14" s="1"/>
  <c r="C73" i="14"/>
  <c r="G73" i="14" s="1"/>
  <c r="J73" i="14" s="1"/>
  <c r="C77" i="14"/>
  <c r="G77" i="14" s="1"/>
  <c r="J77" i="14" s="1"/>
  <c r="C59" i="14"/>
  <c r="G59" i="14" s="1"/>
  <c r="J59" i="14" s="1"/>
  <c r="G66" i="14"/>
  <c r="J66" i="14" s="1"/>
  <c r="D66" i="14"/>
  <c r="F26" i="30"/>
  <c r="I117" i="14" l="1"/>
  <c r="H60" i="14"/>
  <c r="J60" i="14"/>
  <c r="H74" i="14"/>
  <c r="J74" i="14"/>
  <c r="H78" i="14"/>
  <c r="H59" i="14"/>
  <c r="D78" i="14"/>
  <c r="D60" i="14"/>
  <c r="E79" i="32"/>
  <c r="E80" i="32" s="1"/>
  <c r="H76" i="14"/>
  <c r="D74" i="14"/>
  <c r="D76" i="14"/>
  <c r="H77" i="14"/>
  <c r="H73" i="14"/>
  <c r="H72" i="14"/>
  <c r="D72" i="14"/>
  <c r="D73" i="14"/>
  <c r="D77" i="14"/>
  <c r="D59" i="14"/>
  <c r="I104" i="14" l="1"/>
  <c r="G195" i="14"/>
  <c r="H195" i="14" s="1"/>
  <c r="J195" i="14" s="1"/>
  <c r="C195" i="14"/>
  <c r="D195" i="14" s="1"/>
  <c r="G170" i="14"/>
  <c r="J170" i="14" s="1"/>
  <c r="H102" i="14"/>
  <c r="C91" i="14"/>
  <c r="G91" i="14" s="1"/>
  <c r="J91" i="14" s="1"/>
  <c r="D40" i="14"/>
  <c r="F153" i="30"/>
  <c r="C42" i="14"/>
  <c r="D42" i="14" s="1"/>
  <c r="C18" i="14"/>
  <c r="D18" i="14" s="1"/>
  <c r="C39" i="14"/>
  <c r="D39" i="14" s="1"/>
  <c r="I105" i="14" l="1"/>
  <c r="H42" i="14"/>
  <c r="J42" i="14"/>
  <c r="H18" i="14"/>
  <c r="J18" i="14"/>
  <c r="H39" i="14"/>
  <c r="J39" i="14"/>
  <c r="H91" i="14"/>
  <c r="D91" i="14"/>
  <c r="I108" i="14" l="1"/>
  <c r="I107" i="14"/>
  <c r="C115" i="14"/>
  <c r="G115" i="14" s="1"/>
  <c r="C114" i="14"/>
  <c r="G114" i="14" s="1"/>
  <c r="C113" i="14"/>
  <c r="G113" i="14" s="1"/>
  <c r="C117" i="14"/>
  <c r="D117" i="14" s="1"/>
  <c r="C110" i="14"/>
  <c r="G110" i="14" s="1"/>
  <c r="C109" i="14"/>
  <c r="G109" i="14" s="1"/>
  <c r="C108" i="14"/>
  <c r="G108" i="14" s="1"/>
  <c r="C112" i="14"/>
  <c r="G112" i="14" s="1"/>
  <c r="C111" i="14"/>
  <c r="G111" i="14" s="1"/>
  <c r="C116" i="14"/>
  <c r="G116" i="14" s="1"/>
  <c r="C107" i="14"/>
  <c r="G107" i="14" s="1"/>
  <c r="C106" i="14"/>
  <c r="G106" i="14" s="1"/>
  <c r="C105" i="14"/>
  <c r="G105" i="14" s="1"/>
  <c r="C104" i="14"/>
  <c r="G104" i="14" s="1"/>
  <c r="C103" i="14"/>
  <c r="G103" i="14" s="1"/>
  <c r="C102" i="14"/>
  <c r="D102" i="14" s="1"/>
  <c r="C101" i="14"/>
  <c r="G101" i="14" s="1"/>
  <c r="C100" i="14"/>
  <c r="G100" i="14" s="1"/>
  <c r="C99" i="14"/>
  <c r="G99" i="14" s="1"/>
  <c r="C98" i="14"/>
  <c r="G98" i="14" s="1"/>
  <c r="I109" i="14" l="1"/>
  <c r="H101" i="14"/>
  <c r="J101" i="14"/>
  <c r="H103" i="14"/>
  <c r="J103" i="14"/>
  <c r="H112" i="14"/>
  <c r="J112" i="14"/>
  <c r="H104" i="14"/>
  <c r="J104" i="14"/>
  <c r="H108" i="14"/>
  <c r="J108" i="14"/>
  <c r="H105" i="14"/>
  <c r="J105" i="14"/>
  <c r="H109" i="14"/>
  <c r="H106" i="14"/>
  <c r="J106" i="14"/>
  <c r="H98" i="14"/>
  <c r="J98" i="14"/>
  <c r="H107" i="14"/>
  <c r="J107" i="14"/>
  <c r="H99" i="14"/>
  <c r="J99" i="14"/>
  <c r="H100" i="14"/>
  <c r="J100" i="14"/>
  <c r="H116" i="14"/>
  <c r="J116" i="14"/>
  <c r="H113" i="14"/>
  <c r="J113" i="14"/>
  <c r="H114" i="14"/>
  <c r="J114" i="14"/>
  <c r="H111" i="14"/>
  <c r="J111" i="14"/>
  <c r="H115" i="14"/>
  <c r="J115" i="14"/>
  <c r="D113" i="14"/>
  <c r="D114" i="14"/>
  <c r="D115" i="14"/>
  <c r="G117" i="14"/>
  <c r="D108" i="14"/>
  <c r="D109" i="14"/>
  <c r="D110" i="14"/>
  <c r="D111" i="14"/>
  <c r="D112" i="14"/>
  <c r="D103" i="14"/>
  <c r="D104" i="14"/>
  <c r="D105" i="14"/>
  <c r="D106" i="14"/>
  <c r="D107" i="14"/>
  <c r="D116" i="14"/>
  <c r="D98" i="14"/>
  <c r="D99" i="14"/>
  <c r="D100" i="14"/>
  <c r="D101" i="14"/>
  <c r="C88" i="14"/>
  <c r="G88" i="14" s="1"/>
  <c r="C89" i="14"/>
  <c r="G89" i="14" s="1"/>
  <c r="J109" i="14" l="1"/>
  <c r="H89" i="14"/>
  <c r="J89" i="14"/>
  <c r="H88" i="14"/>
  <c r="J88" i="14"/>
  <c r="H117" i="14"/>
  <c r="J117" i="14"/>
  <c r="D88" i="14"/>
  <c r="D89" i="14"/>
  <c r="I110" i="14" l="1"/>
  <c r="J110" i="14" s="1"/>
  <c r="J124" i="14" s="1"/>
  <c r="J125" i="14" s="1"/>
  <c r="H110" i="14"/>
  <c r="H124" i="14" s="1"/>
  <c r="G196" i="14"/>
  <c r="H196" i="14" s="1"/>
  <c r="C196" i="14"/>
  <c r="D196" i="14" s="1"/>
  <c r="H197" i="14" l="1"/>
  <c r="J196" i="14"/>
  <c r="J197" i="14" s="1"/>
  <c r="G172" i="14"/>
  <c r="G166" i="14"/>
  <c r="G151" i="14"/>
  <c r="J151" i="14" s="1"/>
  <c r="G143" i="14"/>
  <c r="J143" i="14" s="1"/>
  <c r="J152" i="14" l="1"/>
  <c r="J153" i="14" s="1"/>
  <c r="H40" i="14"/>
  <c r="H43" i="14" s="1"/>
  <c r="J40" i="14"/>
  <c r="H17" i="14"/>
  <c r="J17" i="14"/>
  <c r="H16" i="14"/>
  <c r="J16" i="14"/>
  <c r="H15" i="14"/>
  <c r="J15" i="14"/>
  <c r="H11" i="14"/>
  <c r="J11" i="14"/>
  <c r="G171" i="14"/>
  <c r="J171" i="14" s="1"/>
  <c r="C170" i="14"/>
  <c r="D170" i="14" s="1"/>
  <c r="H30" i="14" l="1"/>
  <c r="H31" i="14" s="1"/>
  <c r="J43" i="14"/>
  <c r="J44" i="14" s="1"/>
  <c r="C143" i="14"/>
  <c r="H143" i="14" s="1"/>
  <c r="C151" i="14"/>
  <c r="H151" i="14" s="1"/>
  <c r="C86" i="14"/>
  <c r="G86" i="14" s="1"/>
  <c r="H34" i="14" l="1"/>
  <c r="H35" i="14" s="1"/>
  <c r="H32" i="14"/>
  <c r="H33" i="14"/>
  <c r="H86" i="14"/>
  <c r="J86" i="14"/>
  <c r="J45" i="14"/>
  <c r="J46" i="14"/>
  <c r="J47" i="14"/>
  <c r="J48" i="14" s="1"/>
  <c r="D143" i="14"/>
  <c r="D151" i="14"/>
  <c r="D86" i="14"/>
  <c r="C90" i="14"/>
  <c r="G90" i="14" s="1"/>
  <c r="C40" i="14"/>
  <c r="C16" i="14"/>
  <c r="C17" i="14"/>
  <c r="C15" i="14"/>
  <c r="H36" i="14" l="1"/>
  <c r="H90" i="14"/>
  <c r="J90" i="14"/>
  <c r="J49" i="14"/>
  <c r="D90" i="14"/>
  <c r="D16" i="14"/>
  <c r="D17" i="14"/>
  <c r="D15" i="14"/>
  <c r="G158" i="14"/>
  <c r="G157" i="14"/>
  <c r="G188" i="14"/>
  <c r="G189" i="14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2" i="32"/>
  <c r="C113" i="32"/>
  <c r="C114" i="32"/>
  <c r="C115" i="32"/>
  <c r="C116" i="32"/>
  <c r="C117" i="32"/>
  <c r="C118" i="32"/>
  <c r="C119" i="32"/>
  <c r="C120" i="32"/>
  <c r="C122" i="32"/>
  <c r="C123" i="32"/>
  <c r="C90" i="32"/>
  <c r="G90" i="32"/>
  <c r="C189" i="14"/>
  <c r="C188" i="14"/>
  <c r="D188" i="14" s="1"/>
  <c r="C180" i="14"/>
  <c r="D180" i="14" s="1"/>
  <c r="C172" i="14"/>
  <c r="H172" i="14" s="1"/>
  <c r="C171" i="14"/>
  <c r="C169" i="14"/>
  <c r="C166" i="14"/>
  <c r="H166" i="14" s="1"/>
  <c r="J166" i="14" s="1"/>
  <c r="C158" i="14"/>
  <c r="D158" i="14" s="1"/>
  <c r="C157" i="14"/>
  <c r="C83" i="14"/>
  <c r="C85" i="14"/>
  <c r="D85" i="14" s="1"/>
  <c r="C87" i="14"/>
  <c r="D87" i="14" s="1"/>
  <c r="C94" i="14"/>
  <c r="D94" i="14" s="1"/>
  <c r="C79" i="14"/>
  <c r="G79" i="14" s="1"/>
  <c r="C70" i="14"/>
  <c r="G70" i="14" s="1"/>
  <c r="C66" i="14"/>
  <c r="H66" i="14" s="1"/>
  <c r="C57" i="14"/>
  <c r="G57" i="14" s="1"/>
  <c r="C58" i="14"/>
  <c r="D58" i="14" s="1"/>
  <c r="C61" i="14"/>
  <c r="G61" i="14" s="1"/>
  <c r="C56" i="14"/>
  <c r="D56" i="14" s="1"/>
  <c r="C11" i="14"/>
  <c r="J180" i="14" l="1"/>
  <c r="J181" i="14" s="1"/>
  <c r="J182" i="14" s="1"/>
  <c r="J50" i="14"/>
  <c r="H57" i="14"/>
  <c r="J57" i="14"/>
  <c r="H61" i="14"/>
  <c r="J61" i="14"/>
  <c r="H70" i="14"/>
  <c r="J70" i="14"/>
  <c r="H79" i="14"/>
  <c r="J79" i="14"/>
  <c r="H170" i="14"/>
  <c r="G169" i="14"/>
  <c r="H125" i="14"/>
  <c r="D83" i="14"/>
  <c r="G83" i="14"/>
  <c r="H189" i="14"/>
  <c r="J189" i="14" s="1"/>
  <c r="D11" i="14"/>
  <c r="D57" i="14"/>
  <c r="G56" i="14"/>
  <c r="G58" i="14"/>
  <c r="D61" i="14"/>
  <c r="H158" i="14"/>
  <c r="J158" i="14" s="1"/>
  <c r="H157" i="14"/>
  <c r="J157" i="14" s="1"/>
  <c r="H171" i="14"/>
  <c r="D189" i="14"/>
  <c r="H188" i="14"/>
  <c r="D172" i="14"/>
  <c r="D171" i="14"/>
  <c r="D169" i="14"/>
  <c r="D166" i="14"/>
  <c r="D157" i="14"/>
  <c r="G87" i="14"/>
  <c r="G94" i="14"/>
  <c r="G85" i="14"/>
  <c r="D79" i="14"/>
  <c r="D70" i="14"/>
  <c r="J188" i="14" l="1"/>
  <c r="J190" i="14" s="1"/>
  <c r="J191" i="14" s="1"/>
  <c r="H190" i="14"/>
  <c r="H169" i="14"/>
  <c r="H173" i="14" s="1"/>
  <c r="J169" i="14"/>
  <c r="J173" i="14" s="1"/>
  <c r="J174" i="14" s="1"/>
  <c r="J80" i="14"/>
  <c r="J81" i="14" s="1"/>
  <c r="H80" i="14"/>
  <c r="H81" i="14" s="1"/>
  <c r="H94" i="14"/>
  <c r="J94" i="14"/>
  <c r="H87" i="14"/>
  <c r="J87" i="14"/>
  <c r="H83" i="14"/>
  <c r="J83" i="14"/>
  <c r="H58" i="14"/>
  <c r="J58" i="14"/>
  <c r="H56" i="14"/>
  <c r="J56" i="14"/>
  <c r="H85" i="14"/>
  <c r="J85" i="14"/>
  <c r="H62" i="14" l="1"/>
  <c r="J62" i="14"/>
  <c r="J63" i="14" s="1"/>
  <c r="J175" i="14"/>
  <c r="H95" i="14"/>
  <c r="J95" i="14"/>
  <c r="H175" i="14"/>
  <c r="H96" i="14" l="1"/>
  <c r="H137" i="14"/>
  <c r="J96" i="14"/>
  <c r="J137" i="14"/>
  <c r="J138" i="14" s="1"/>
  <c r="H152" i="14"/>
  <c r="J139" i="14" l="1"/>
  <c r="J198" i="14"/>
  <c r="H153" i="14"/>
  <c r="C39" i="28" l="1"/>
  <c r="G39" i="28" s="1"/>
  <c r="C29" i="28"/>
  <c r="D29" i="28" s="1"/>
  <c r="E29" i="28" s="1"/>
  <c r="K40" i="28"/>
  <c r="G40" i="28"/>
  <c r="C40" i="28"/>
  <c r="K39" i="28"/>
  <c r="K38" i="28"/>
  <c r="G38" i="28"/>
  <c r="D38" i="28"/>
  <c r="E38" i="28" s="1"/>
  <c r="K37" i="28"/>
  <c r="G37" i="28"/>
  <c r="D37" i="28"/>
  <c r="E37" i="28" s="1"/>
  <c r="K36" i="28"/>
  <c r="G36" i="28"/>
  <c r="I36" i="28" s="1"/>
  <c r="D36" i="28"/>
  <c r="E36" i="28" s="1"/>
  <c r="K35" i="28"/>
  <c r="G35" i="28"/>
  <c r="I35" i="28" s="1"/>
  <c r="D35" i="28"/>
  <c r="E35" i="28" s="1"/>
  <c r="K34" i="28"/>
  <c r="G34" i="28"/>
  <c r="I34" i="28" s="1"/>
  <c r="D34" i="28"/>
  <c r="E34" i="28" s="1"/>
  <c r="K33" i="28"/>
  <c r="G33" i="28"/>
  <c r="I33" i="28" s="1"/>
  <c r="D33" i="28"/>
  <c r="E33" i="28" s="1"/>
  <c r="K32" i="28"/>
  <c r="C32" i="28"/>
  <c r="D32" i="28" s="1"/>
  <c r="E32" i="28" s="1"/>
  <c r="K31" i="28"/>
  <c r="C31" i="28"/>
  <c r="G31" i="28" s="1"/>
  <c r="I31" i="28" s="1"/>
  <c r="K30" i="28"/>
  <c r="G30" i="28"/>
  <c r="I30" i="28" s="1"/>
  <c r="D30" i="28"/>
  <c r="E30" i="28" s="1"/>
  <c r="K29" i="28"/>
  <c r="G29" i="28"/>
  <c r="I29" i="28" s="1"/>
  <c r="K28" i="28"/>
  <c r="G28" i="28"/>
  <c r="I28" i="28" s="1"/>
  <c r="D28" i="28"/>
  <c r="E28" i="28" s="1"/>
  <c r="K27" i="28"/>
  <c r="G27" i="28"/>
  <c r="I27" i="28" s="1"/>
  <c r="D27" i="28"/>
  <c r="E27" i="28" s="1"/>
  <c r="K26" i="28"/>
  <c r="G26" i="28"/>
  <c r="I26" i="28" s="1"/>
  <c r="D26" i="28"/>
  <c r="E26" i="28" s="1"/>
  <c r="K25" i="28"/>
  <c r="G25" i="28"/>
  <c r="I25" i="28" s="1"/>
  <c r="D25" i="28"/>
  <c r="K24" i="28"/>
  <c r="G24" i="28"/>
  <c r="I24" i="28" s="1"/>
  <c r="D24" i="28"/>
  <c r="E24" i="28" s="1"/>
  <c r="K23" i="28"/>
  <c r="G23" i="28"/>
  <c r="I23" i="28" s="1"/>
  <c r="D23" i="28"/>
  <c r="E23" i="28" s="1"/>
  <c r="K22" i="28"/>
  <c r="G22" i="28"/>
  <c r="I22" i="28" s="1"/>
  <c r="D22" i="28"/>
  <c r="E22" i="28" s="1"/>
  <c r="K21" i="28"/>
  <c r="G21" i="28"/>
  <c r="I21" i="28" s="1"/>
  <c r="D21" i="28"/>
  <c r="E21" i="28" s="1"/>
  <c r="K20" i="28"/>
  <c r="G20" i="28"/>
  <c r="I20" i="28" s="1"/>
  <c r="D20" i="28"/>
  <c r="E20" i="28" s="1"/>
  <c r="K19" i="28"/>
  <c r="G19" i="28"/>
  <c r="I19" i="28" s="1"/>
  <c r="D19" i="28"/>
  <c r="E19" i="28" s="1"/>
  <c r="K18" i="28"/>
  <c r="G18" i="28"/>
  <c r="I18" i="28" s="1"/>
  <c r="D18" i="28"/>
  <c r="E18" i="28" s="1"/>
  <c r="K17" i="28"/>
  <c r="G17" i="28"/>
  <c r="I17" i="28" s="1"/>
  <c r="D17" i="28"/>
  <c r="E17" i="28" s="1"/>
  <c r="K16" i="28"/>
  <c r="G16" i="28"/>
  <c r="I16" i="28" s="1"/>
  <c r="D16" i="28"/>
  <c r="E16" i="28" s="1"/>
  <c r="K15" i="28"/>
  <c r="G15" i="28"/>
  <c r="I15" i="28" s="1"/>
  <c r="C15" i="28"/>
  <c r="D15" i="28" s="1"/>
  <c r="E15" i="28" s="1"/>
  <c r="K14" i="28"/>
  <c r="C14" i="28"/>
  <c r="G14" i="28" s="1"/>
  <c r="I14" i="28" s="1"/>
  <c r="K13" i="28"/>
  <c r="C13" i="28"/>
  <c r="D13" i="28" s="1"/>
  <c r="G12" i="28"/>
  <c r="I12" i="28" s="1"/>
  <c r="E12" i="28"/>
  <c r="K11" i="28"/>
  <c r="G11" i="28"/>
  <c r="I11" i="28" s="1"/>
  <c r="E11" i="28"/>
  <c r="L11" i="28" s="1"/>
  <c r="K10" i="28"/>
  <c r="G10" i="28"/>
  <c r="I10" i="28" s="1"/>
  <c r="E10" i="28"/>
  <c r="K9" i="28"/>
  <c r="G9" i="28"/>
  <c r="I9" i="28" s="1"/>
  <c r="E9" i="28"/>
  <c r="K8" i="28"/>
  <c r="G8" i="28"/>
  <c r="I8" i="28" s="1"/>
  <c r="E8" i="28"/>
  <c r="G7" i="28"/>
  <c r="I7" i="28" s="1"/>
  <c r="E7" i="28"/>
  <c r="L7" i="28" s="1"/>
  <c r="K6" i="28"/>
  <c r="G6" i="28"/>
  <c r="I6" i="28" s="1"/>
  <c r="E6" i="28"/>
  <c r="K5" i="28"/>
  <c r="I5" i="28"/>
  <c r="G5" i="28"/>
  <c r="E5" i="28"/>
  <c r="K4" i="28"/>
  <c r="G4" i="28"/>
  <c r="I4" i="28" s="1"/>
  <c r="E4" i="28"/>
  <c r="L4" i="28" s="1"/>
  <c r="L6" i="28" l="1"/>
  <c r="L9" i="28"/>
  <c r="G32" i="28"/>
  <c r="I32" i="28" s="1"/>
  <c r="L34" i="28"/>
  <c r="L36" i="28"/>
  <c r="L30" i="28"/>
  <c r="L32" i="28"/>
  <c r="D14" i="28"/>
  <c r="E14" i="28" s="1"/>
  <c r="L21" i="28"/>
  <c r="D31" i="28"/>
  <c r="E31" i="28" s="1"/>
  <c r="L10" i="28"/>
  <c r="L5" i="28"/>
  <c r="L26" i="28"/>
  <c r="L8" i="28"/>
  <c r="L16" i="28"/>
  <c r="L18" i="28"/>
  <c r="L20" i="28"/>
  <c r="L22" i="28"/>
  <c r="L24" i="28"/>
  <c r="L33" i="28"/>
  <c r="L35" i="28"/>
  <c r="D39" i="28"/>
  <c r="E39" i="28" s="1"/>
  <c r="L28" i="28"/>
  <c r="E40" i="28"/>
  <c r="L12" i="28"/>
  <c r="L15" i="28"/>
  <c r="L17" i="28"/>
  <c r="L19" i="28"/>
  <c r="L23" i="28"/>
  <c r="L25" i="28"/>
  <c r="L27" i="28"/>
  <c r="L29" i="28"/>
  <c r="L31" i="28"/>
  <c r="E13" i="28"/>
  <c r="D40" i="28"/>
  <c r="G13" i="28"/>
  <c r="I13" i="28" s="1"/>
  <c r="L14" i="28" l="1"/>
  <c r="L13" i="28"/>
  <c r="D23" i="16" l="1"/>
  <c r="D17" i="16"/>
  <c r="D25" i="16"/>
  <c r="D8" i="16"/>
  <c r="R19" i="27" l="1"/>
  <c r="R20" i="27"/>
  <c r="O6" i="27"/>
  <c r="O5" i="27"/>
  <c r="J6" i="27"/>
  <c r="J5" i="27"/>
  <c r="E5" i="27"/>
  <c r="E6" i="27"/>
  <c r="D9" i="16"/>
  <c r="D18" i="16"/>
  <c r="E13" i="22"/>
  <c r="E12" i="22"/>
  <c r="E11" i="22"/>
  <c r="E10" i="22"/>
  <c r="E9" i="22"/>
  <c r="E8" i="22"/>
  <c r="E7" i="22"/>
  <c r="E6" i="22"/>
  <c r="E5" i="22"/>
  <c r="E3" i="22"/>
  <c r="E2" i="22"/>
  <c r="D19" i="16"/>
  <c r="K18" i="16"/>
  <c r="D20" i="16" s="1"/>
  <c r="B53" i="13"/>
  <c r="B56" i="13" s="1"/>
  <c r="B55" i="13"/>
  <c r="C55" i="13"/>
  <c r="C53" i="13"/>
  <c r="C51" i="13"/>
  <c r="B51" i="13"/>
  <c r="D32" i="13"/>
  <c r="B32" i="13"/>
  <c r="D20" i="13"/>
  <c r="M17" i="13"/>
  <c r="L17" i="13"/>
  <c r="J17" i="13"/>
  <c r="K17" i="13" s="1"/>
  <c r="H17" i="13"/>
  <c r="G17" i="13"/>
  <c r="F17" i="13"/>
  <c r="E17" i="13"/>
  <c r="D17" i="13"/>
  <c r="C17" i="13"/>
  <c r="M16" i="13"/>
  <c r="L16" i="13"/>
  <c r="J16" i="13"/>
  <c r="K16" i="13" s="1"/>
  <c r="H16" i="13"/>
  <c r="G16" i="13"/>
  <c r="F16" i="13"/>
  <c r="E16" i="13"/>
  <c r="D16" i="13"/>
  <c r="C16" i="13"/>
  <c r="M15" i="13"/>
  <c r="L15" i="13"/>
  <c r="J15" i="13"/>
  <c r="K15" i="13" s="1"/>
  <c r="H15" i="13"/>
  <c r="G15" i="13"/>
  <c r="F15" i="13"/>
  <c r="E15" i="13"/>
  <c r="D15" i="13"/>
  <c r="C15" i="13"/>
  <c r="M14" i="13"/>
  <c r="L14" i="13"/>
  <c r="J14" i="13"/>
  <c r="K14" i="13" s="1"/>
  <c r="H14" i="13"/>
  <c r="G14" i="13"/>
  <c r="F14" i="13"/>
  <c r="E14" i="13"/>
  <c r="D14" i="13"/>
  <c r="C14" i="13"/>
  <c r="M13" i="13"/>
  <c r="L13" i="13"/>
  <c r="J13" i="13"/>
  <c r="K13" i="13" s="1"/>
  <c r="H13" i="13"/>
  <c r="G13" i="13"/>
  <c r="F13" i="13"/>
  <c r="E13" i="13"/>
  <c r="D13" i="13"/>
  <c r="C13" i="13"/>
  <c r="M12" i="13"/>
  <c r="L12" i="13"/>
  <c r="J12" i="13"/>
  <c r="K12" i="13" s="1"/>
  <c r="H12" i="13"/>
  <c r="G12" i="13"/>
  <c r="F12" i="13"/>
  <c r="E12" i="13"/>
  <c r="D12" i="13"/>
  <c r="C12" i="13"/>
  <c r="M11" i="13"/>
  <c r="L11" i="13"/>
  <c r="J11" i="13"/>
  <c r="K11" i="13" s="1"/>
  <c r="H11" i="13"/>
  <c r="G11" i="13"/>
  <c r="F11" i="13"/>
  <c r="E11" i="13"/>
  <c r="D11" i="13"/>
  <c r="C11" i="13"/>
  <c r="M10" i="13"/>
  <c r="L10" i="13"/>
  <c r="J10" i="13"/>
  <c r="K10" i="13" s="1"/>
  <c r="H10" i="13"/>
  <c r="G10" i="13"/>
  <c r="F10" i="13"/>
  <c r="E10" i="13"/>
  <c r="D10" i="13"/>
  <c r="C10" i="13"/>
  <c r="M9" i="13"/>
  <c r="L9" i="13"/>
  <c r="J9" i="13"/>
  <c r="K9" i="13" s="1"/>
  <c r="H9" i="13"/>
  <c r="G9" i="13"/>
  <c r="F9" i="13"/>
  <c r="E9" i="13"/>
  <c r="D9" i="13"/>
  <c r="C9" i="13"/>
  <c r="M8" i="13"/>
  <c r="L8" i="13"/>
  <c r="J8" i="13"/>
  <c r="K8" i="13" s="1"/>
  <c r="H8" i="13"/>
  <c r="G8" i="13"/>
  <c r="F8" i="13"/>
  <c r="E8" i="13"/>
  <c r="D8" i="13"/>
  <c r="C8" i="13"/>
  <c r="M7" i="13"/>
  <c r="L7" i="13"/>
  <c r="J7" i="13"/>
  <c r="K7" i="13" s="1"/>
  <c r="H7" i="13"/>
  <c r="G7" i="13"/>
  <c r="F7" i="13"/>
  <c r="E7" i="13"/>
  <c r="D7" i="13"/>
  <c r="C7" i="13"/>
  <c r="O7" i="13" l="1"/>
  <c r="O10" i="13"/>
  <c r="O13" i="13"/>
  <c r="O11" i="13"/>
  <c r="T22" i="27"/>
  <c r="T23" i="27" s="1"/>
  <c r="E7" i="27"/>
  <c r="C56" i="13"/>
  <c r="O12" i="13"/>
  <c r="O15" i="13"/>
  <c r="J7" i="27"/>
  <c r="O14" i="13"/>
  <c r="O9" i="13"/>
  <c r="O16" i="13"/>
  <c r="O8" i="13"/>
  <c r="O17" i="13"/>
  <c r="T25" i="27"/>
  <c r="T26" i="27" s="1"/>
  <c r="H174" i="14" l="1"/>
  <c r="T24" i="27"/>
  <c r="T28" i="27" s="1"/>
  <c r="T29" i="27" s="1"/>
  <c r="H44" i="14"/>
  <c r="H45" i="14" l="1"/>
  <c r="H191" i="14"/>
  <c r="H63" i="14" l="1"/>
  <c r="H138" i="14"/>
  <c r="H46" i="14"/>
  <c r="H47" i="14"/>
  <c r="H48" i="14" s="1"/>
  <c r="H139" i="14" l="1"/>
  <c r="H49" i="14"/>
  <c r="H180" i="14" l="1"/>
  <c r="H181" i="14" s="1"/>
  <c r="H182" i="14" s="1"/>
  <c r="H50" i="14"/>
  <c r="H52" i="14" s="1"/>
  <c r="G19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Rada</author>
  </authors>
  <commentList>
    <comment ref="I2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Sara Rada:</t>
        </r>
        <r>
          <rPr>
            <sz val="9"/>
            <color indexed="81"/>
            <rFont val="Tahoma"/>
            <family val="2"/>
          </rPr>
          <t xml:space="preserve">
Enviados a bodega colon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Olarte Castillo</author>
  </authors>
  <commentList>
    <comment ref="A2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Jorge Olarte Castillo:</t>
        </r>
        <r>
          <rPr>
            <sz val="9"/>
            <color indexed="81"/>
            <rFont val="Tahoma"/>
            <family val="2"/>
          </rPr>
          <t xml:space="preserve">
producto sin iva</t>
        </r>
      </text>
    </comment>
  </commentList>
</comments>
</file>

<file path=xl/sharedStrings.xml><?xml version="1.0" encoding="utf-8"?>
<sst xmlns="http://schemas.openxmlformats.org/spreadsheetml/2006/main" count="1582" uniqueCount="792">
  <si>
    <t>ÍTEMS</t>
  </si>
  <si>
    <t>ACTIVIDADES</t>
  </si>
  <si>
    <t>UNIDAD</t>
  </si>
  <si>
    <t>VALOR UNITARIO</t>
  </si>
  <si>
    <t>MUNICIPIO</t>
  </si>
  <si>
    <t>Unidad</t>
  </si>
  <si>
    <t>CANTIDAD</t>
  </si>
  <si>
    <t>VALOR TOTAL</t>
  </si>
  <si>
    <t>TOTAL</t>
  </si>
  <si>
    <t xml:space="preserve">TOTAL PRESUPUESTO DE OBRA </t>
  </si>
  <si>
    <t>PROYECTO</t>
  </si>
  <si>
    <t>FECHA</t>
  </si>
  <si>
    <t xml:space="preserve">Elaboró </t>
  </si>
  <si>
    <t>Aprobó</t>
  </si>
  <si>
    <t>ALCANCE</t>
  </si>
  <si>
    <t>OTROS GASTOS</t>
  </si>
  <si>
    <t>COSTOS DE INVERSION</t>
  </si>
  <si>
    <t xml:space="preserve"> TOTAL PERSONAL REQUERIDO</t>
  </si>
  <si>
    <t xml:space="preserve"> TOTAL OTROS GASTOS</t>
  </si>
  <si>
    <t>DURACIÓN</t>
  </si>
  <si>
    <t>Escritorio</t>
  </si>
  <si>
    <t>Mensual</t>
  </si>
  <si>
    <t>IMPREVISTOS</t>
  </si>
  <si>
    <t>Digitador</t>
  </si>
  <si>
    <t>Global</t>
  </si>
  <si>
    <t>Celular</t>
  </si>
  <si>
    <t xml:space="preserve">PAPELERIA </t>
  </si>
  <si>
    <t xml:space="preserve"> TOTAL IMPREVISTOS</t>
  </si>
  <si>
    <t>VIÁTICOS</t>
  </si>
  <si>
    <t>VIÁTICOS PARA PERSONAL OPERATIVO</t>
  </si>
  <si>
    <t xml:space="preserve"> TOTAL VIÁTICOS</t>
  </si>
  <si>
    <t>Cencista</t>
  </si>
  <si>
    <t>Ingeniero de Software</t>
  </si>
  <si>
    <t>Auxiliar de Software</t>
  </si>
  <si>
    <t>Lider de Calidad</t>
  </si>
  <si>
    <t>2.1.1</t>
  </si>
  <si>
    <t>ENVIOS</t>
  </si>
  <si>
    <t>3.1.2</t>
  </si>
  <si>
    <t>Computador portatil</t>
  </si>
  <si>
    <t>PERSONAL</t>
  </si>
  <si>
    <t>1.1.1</t>
  </si>
  <si>
    <t>1.1.2</t>
  </si>
  <si>
    <t>GASTOS DE OFICINA</t>
  </si>
  <si>
    <t>2.1.2</t>
  </si>
  <si>
    <t>2.1.3</t>
  </si>
  <si>
    <t>2.1.4</t>
  </si>
  <si>
    <t>2.1.5</t>
  </si>
  <si>
    <t>MANO DE OBRA</t>
  </si>
  <si>
    <t>MANO DE OBRA DIRECTA</t>
  </si>
  <si>
    <t>DURACIÓN (MES)</t>
  </si>
  <si>
    <t>SUMINISTRO DE MATERIALES</t>
  </si>
  <si>
    <t>Luminaria Led 110W</t>
  </si>
  <si>
    <t>TOTAL DE SUMINISTRO DE LUMINARIAS</t>
  </si>
  <si>
    <t>TOTAL SUMINISTRO DE MATERIALES ELECTRICOS</t>
  </si>
  <si>
    <t>PERSONAL REQUERIDO</t>
  </si>
  <si>
    <t>PERSONAL REQUERIDO PARA EL PROYECTO</t>
  </si>
  <si>
    <t>Ingeniero Residente</t>
  </si>
  <si>
    <t>Auxiliar de Taller</t>
  </si>
  <si>
    <t>4.2.1</t>
  </si>
  <si>
    <t>Mesa de armado de luminarias</t>
  </si>
  <si>
    <t>6.1.1</t>
  </si>
  <si>
    <t>7.1.1</t>
  </si>
  <si>
    <t>Transporte ida y vuelta al Municipio</t>
  </si>
  <si>
    <t>collarin de 6" a 7" dos salidas con tornillos 5/8 x 4"</t>
  </si>
  <si>
    <t>Und</t>
  </si>
  <si>
    <t>collarin de 7" a 8" dos salidas con tornillos 5/8 x 10"</t>
  </si>
  <si>
    <t>collarin de 8" a 9" dos salidas con tornillos 5/8 x 4"</t>
  </si>
  <si>
    <t>perno de 5/8 x 3" con guaza arandela y tuerca</t>
  </si>
  <si>
    <t>Varilla roscada 5/8" por 1mts</t>
  </si>
  <si>
    <t>Tuerca hexagonal 5/8"</t>
  </si>
  <si>
    <t>fotoceldas</t>
  </si>
  <si>
    <t>brazo galvanizado 1.0m Reciclado (instalados en terreno)</t>
  </si>
  <si>
    <t>Adaptador para brazo de 1" (Manguera transparente 1 1/2 x 1 mts</t>
  </si>
  <si>
    <t>Cruceta Reflector</t>
  </si>
  <si>
    <t>conectores de perforación</t>
  </si>
  <si>
    <t>conectores de compresión</t>
  </si>
  <si>
    <t>antiescalante</t>
  </si>
  <si>
    <t>Acople farol</t>
  </si>
  <si>
    <t>conector en gel AP1</t>
  </si>
  <si>
    <t xml:space="preserve">DESCRIPCION </t>
  </si>
  <si>
    <t>Mt</t>
  </si>
  <si>
    <t>CANTIDAD TOTAL</t>
  </si>
  <si>
    <t>Cinta Band It 5/8"</t>
  </si>
  <si>
    <t>Hebilla Cinta Band It 5/8"</t>
  </si>
  <si>
    <t>conector de resorte rojo</t>
  </si>
  <si>
    <t>Cinta aislante Super 33</t>
  </si>
  <si>
    <t>Rollo</t>
  </si>
  <si>
    <t>IPC</t>
  </si>
  <si>
    <t>Collarin de 6" a 7" dos salidas con tornillos 5/8 x 4"</t>
  </si>
  <si>
    <t>Collarin de 7" a 8" dos salidas con tornillos 5/8 x 10"</t>
  </si>
  <si>
    <t>Collarin de 8" a 9" dos salidas con tornillos 5/8 x 4"</t>
  </si>
  <si>
    <t>Base para fotocelda</t>
  </si>
  <si>
    <t>IVA</t>
  </si>
  <si>
    <t>CARGO</t>
  </si>
  <si>
    <t>SALARIO BASE</t>
  </si>
  <si>
    <t>CESANTIAS</t>
  </si>
  <si>
    <t>INETRESES DE CESANTÍAS</t>
  </si>
  <si>
    <t>VACACIONES</t>
  </si>
  <si>
    <t xml:space="preserve">PRIMAS </t>
  </si>
  <si>
    <t>EPS</t>
  </si>
  <si>
    <t>PENSIÓN</t>
  </si>
  <si>
    <t>ARL</t>
  </si>
  <si>
    <t>CAJA DE COM</t>
  </si>
  <si>
    <t>DOTACIÓN</t>
  </si>
  <si>
    <t xml:space="preserve">AUX. DE TRANSPORTE         </t>
  </si>
  <si>
    <t>SALARIO TOTAL</t>
  </si>
  <si>
    <t>PORCENTAJE</t>
  </si>
  <si>
    <t>CLASE DE RIESGO</t>
  </si>
  <si>
    <t>TOTAL DE ARL</t>
  </si>
  <si>
    <t>(MÁS DE 2 S.M.L.V)</t>
  </si>
  <si>
    <t>Ingeniero Supervisor</t>
  </si>
  <si>
    <t>V</t>
  </si>
  <si>
    <t>Supervisor de Terreno</t>
  </si>
  <si>
    <t>Georeferenciador</t>
  </si>
  <si>
    <t>I</t>
  </si>
  <si>
    <t>Auxiliar de calidad</t>
  </si>
  <si>
    <t xml:space="preserve"> TABLA PORCENTUAL PARA EL CALCULO
 DE PRESTACIONES SOBRE SALARIOS AÑO 2019</t>
  </si>
  <si>
    <t>HASTA 2 SMLV</t>
  </si>
  <si>
    <t>MÁS DE 2 SMLV</t>
  </si>
  <si>
    <t>APORTES</t>
  </si>
  <si>
    <t>%</t>
  </si>
  <si>
    <t>AUX. DE TRANSPORTE</t>
  </si>
  <si>
    <t>NOTA:</t>
  </si>
  <si>
    <t>LA ARL PUEDE VARIAR SEGÚN LOS SIGUIENTES CRITERIOS:</t>
  </si>
  <si>
    <t>TARIFA</t>
  </si>
  <si>
    <t>RIESGO</t>
  </si>
  <si>
    <t>0.522%</t>
  </si>
  <si>
    <t>Riesgo Mínimo</t>
  </si>
  <si>
    <t>II</t>
  </si>
  <si>
    <t>1.044%</t>
  </si>
  <si>
    <t>riesgo Bajo</t>
  </si>
  <si>
    <t>III</t>
  </si>
  <si>
    <t>2.436%</t>
  </si>
  <si>
    <t>Riesgo Medio</t>
  </si>
  <si>
    <t>IV</t>
  </si>
  <si>
    <t>4.350%</t>
  </si>
  <si>
    <t>Riesgo Alto</t>
  </si>
  <si>
    <t>6.960%</t>
  </si>
  <si>
    <t>Riesgo Máximo</t>
  </si>
  <si>
    <t>SMLV</t>
  </si>
  <si>
    <t>SUB DE TRANSPORTE</t>
  </si>
  <si>
    <t>CALCULO DE PAGO POR PUNTO</t>
  </si>
  <si>
    <t>CENSADORES</t>
  </si>
  <si>
    <t>DIGITADOR</t>
  </si>
  <si>
    <t>CANT DE PERSONAL</t>
  </si>
  <si>
    <t>RENDIMIENTO DIARIO</t>
  </si>
  <si>
    <t xml:space="preserve">CANT. DE PUNTOS </t>
  </si>
  <si>
    <t>TIEMPO DEL TRABAJO</t>
  </si>
  <si>
    <t>VALOR DEL PUNTO</t>
  </si>
  <si>
    <t>TOTAL POR LEVANTAMIENTO DE PUNTOS</t>
  </si>
  <si>
    <t>PLANILLA DE SEGURIDAD</t>
  </si>
  <si>
    <t>TOTAL PALNILLA</t>
  </si>
  <si>
    <t>MINI-2 series Street Light RL0310201</t>
  </si>
  <si>
    <t>35W  Cold Grey  4700-5300k  A3 with parts and accesories</t>
  </si>
  <si>
    <t>MINI-2 series Street Light RL0310202</t>
  </si>
  <si>
    <t>52W  Cold Grey  4700-5300k  A3 with parts and accesories</t>
  </si>
  <si>
    <t>Apollo 2 series Street  RL181120</t>
  </si>
  <si>
    <t>110W  Cold Grey  4700-5300k  A3L126  with parts and accesories</t>
  </si>
  <si>
    <t>Apollo 2 series Street  RL181160</t>
  </si>
  <si>
    <t>150W  Cold Grey  4700-5300k  A3L126 with parts and accesories</t>
  </si>
  <si>
    <t>Apollo 2 series Street  RL181200</t>
  </si>
  <si>
    <t>180W  Cold Grey  4700-5300k  A3L126</t>
  </si>
  <si>
    <t>Apollo 2 series Street  RL181240</t>
  </si>
  <si>
    <t>210W  Cold Grey  4700-5300k  A3L126</t>
  </si>
  <si>
    <t>Villa LED courtyard light CL5671/AU5671</t>
  </si>
  <si>
    <t>31W  Black 4700-5300k  A3L112</t>
  </si>
  <si>
    <t>Villa LED courtyard light CL5672/AU5672</t>
  </si>
  <si>
    <t>62W  Black   4700-5300k  A3L112</t>
  </si>
  <si>
    <t>Apollo-2 Tunnel Light  TL2K1120</t>
  </si>
  <si>
    <t>110W  Cold Grey  4700-5300k  A2S121</t>
  </si>
  <si>
    <t>Apollo-2 Tunnel Light  TL2K1180</t>
  </si>
  <si>
    <t>210W  Cold Grey  4700-5300k  A2S121</t>
  </si>
  <si>
    <t>QUADRAT Series Flood light FL2M6006</t>
  </si>
  <si>
    <t xml:space="preserve">400W  Cold Grey  4700-5300k  Y1N411 </t>
  </si>
  <si>
    <t xml:space="preserve">COMPRAS 2019 </t>
  </si>
  <si>
    <t>MATERIALES ELÉCTRICOS</t>
  </si>
  <si>
    <t>SIN IVA</t>
  </si>
  <si>
    <t>COLLARIN DE 6" A 7" DE DOS SALIDAS 160MM 1/4X1 1/2" - 2 TORNILLOS AJUSTE 5/8X4"</t>
  </si>
  <si>
    <t>UND</t>
  </si>
  <si>
    <t>IMPUCHE</t>
  </si>
  <si>
    <t>HERRAJES ANDINA</t>
  </si>
  <si>
    <t xml:space="preserve">COLLARIN DE 7" A 8" 180 MM 1/4" 1 1/2" DE DOS SALIDAS - 2 TORNILLOS  5/8 X 4" </t>
  </si>
  <si>
    <t>PERNO DE 5/8 X 3" CON GUASA TUERCA Y ARANDELA</t>
  </si>
  <si>
    <t xml:space="preserve">BRAZO GALVANIZADO 1.5MX1 1/2" CAL 14 (2MM) </t>
  </si>
  <si>
    <t>BRAZO GALVANIZADO 2.0MX1 1/2" CAL 14 (2MM)</t>
  </si>
  <si>
    <t>CONECTORES DE PERFORACION CDP70 M&amp;D</t>
  </si>
  <si>
    <t>DISTRIB. ELECTRICAS JE</t>
  </si>
  <si>
    <t>CONECTORES DE PERFORACION CDP70 INTELLI</t>
  </si>
  <si>
    <t>CONECTORES DE COMRPESION AP1</t>
  </si>
  <si>
    <t>CONECTOR EN GEL AP1</t>
  </si>
  <si>
    <t>JD ELETRICOS</t>
  </si>
  <si>
    <t>ANTIESCALANTE</t>
  </si>
  <si>
    <t>INDESA</t>
  </si>
  <si>
    <t>FOTOCONTROL INADISA</t>
  </si>
  <si>
    <t>INADISA</t>
  </si>
  <si>
    <t>VARILLA ROSCADA 5/8"</t>
  </si>
  <si>
    <t>MT</t>
  </si>
  <si>
    <t>TUERCA HEXAGONAL 5/8</t>
  </si>
  <si>
    <t>BASE PARA FOTOCELDA</t>
  </si>
  <si>
    <t>INTER ELECTRICAS</t>
  </si>
  <si>
    <t>CABLE TRENZADO TRIPLEX AL N 3 X 4 AWG</t>
  </si>
  <si>
    <t>DISTRIBUCIONES ELECTRICAS JE</t>
  </si>
  <si>
    <t>CABLE ENCAUCHETADO 3X18 AWG</t>
  </si>
  <si>
    <t>JD ELECTRICOS</t>
  </si>
  <si>
    <t>CINTA AISLANTE SUPER 33</t>
  </si>
  <si>
    <t>RLL</t>
  </si>
  <si>
    <t>CONECTOR RESORTE ROJO</t>
  </si>
  <si>
    <t>TOTALIZADOR 3X80A</t>
  </si>
  <si>
    <t>CAJA PARA TOTALIZADOR</t>
  </si>
  <si>
    <t>PERCHA TIPO PESADA 1P</t>
  </si>
  <si>
    <t>AISLADOR TIPO CARRETE</t>
  </si>
  <si>
    <t>HEBILLA BAND IT 3/4</t>
  </si>
  <si>
    <t>CINTA BAND IT 3/4</t>
  </si>
  <si>
    <t>CABLE AL N.4 SERIE 8000</t>
  </si>
  <si>
    <t>Transporte Casa - terminal - Hotel - terminal - casa</t>
  </si>
  <si>
    <t>CONTRATISTA MJ GROUP SAS</t>
  </si>
  <si>
    <t>CONCEPTO</t>
  </si>
  <si>
    <t>CANTIDAD (UND)</t>
  </si>
  <si>
    <t>PRECIO UNIT</t>
  </si>
  <si>
    <t>Instalación de luminaria LED con escalera</t>
  </si>
  <si>
    <t>Instalación de luminaria LED con carro canasta</t>
  </si>
  <si>
    <t>LUMINARIAS</t>
  </si>
  <si>
    <t xml:space="preserve"> RL181080</t>
    <phoneticPr fontId="0" type="noConversion"/>
  </si>
  <si>
    <t>Apollo 2 series Street
75W  Cold Grey  4700-5300k  A3L126</t>
    <phoneticPr fontId="0" type="noConversion"/>
  </si>
  <si>
    <t>FAROLES</t>
  </si>
  <si>
    <t>REFLECTORES</t>
  </si>
  <si>
    <t>* Responsable: Digitador de Planta</t>
  </si>
  <si>
    <t xml:space="preserve"> </t>
  </si>
  <si>
    <t>* Responsable: Planeación Inicial</t>
  </si>
  <si>
    <t>* Responsable: Coordinador de proyectos</t>
  </si>
  <si>
    <t>* Responsable: Ingeniero Residente</t>
  </si>
  <si>
    <t>* Responsable: Supervisión de terreno</t>
  </si>
  <si>
    <t>ENERSOFT SAS</t>
  </si>
  <si>
    <t>U&amp;F CONSTRUCCIONES S.A.S</t>
  </si>
  <si>
    <t>U&amp;F CONTRUCCIONES S.A.S.</t>
  </si>
  <si>
    <t>COTIZACION</t>
  </si>
  <si>
    <t>NIT</t>
  </si>
  <si>
    <t>CLIENTE</t>
  </si>
  <si>
    <t>CONTACTO</t>
  </si>
  <si>
    <t>CIUDAD</t>
  </si>
  <si>
    <t>AGM DESARROLOS</t>
  </si>
  <si>
    <t>YULIANA BUITRAGO</t>
  </si>
  <si>
    <t>Cartagena</t>
  </si>
  <si>
    <t>TELEFONO</t>
  </si>
  <si>
    <t>DIRECCION</t>
  </si>
  <si>
    <t>E-MAIL</t>
  </si>
  <si>
    <t>T. PAGO</t>
  </si>
  <si>
    <t>INSTALACION Y DESMONTE DE LUMINARIAS EN AGUACHICA</t>
  </si>
  <si>
    <t>ITEM</t>
  </si>
  <si>
    <t>CODIGO</t>
  </si>
  <si>
    <t>DESCRIPCION</t>
  </si>
  <si>
    <t>VR. TOTAL</t>
  </si>
  <si>
    <t>INSTALACION DE LUMINARIAS BAJA POTENCIA (35W, 52W, 75W)</t>
  </si>
  <si>
    <t xml:space="preserve">INSTALACION DE LUMINARIAS ALTA POTENCIA (110W, 210W, 400W) </t>
  </si>
  <si>
    <t>TOTAL COSTOS DIRECTOS</t>
  </si>
  <si>
    <t>ADMINISTRACION</t>
  </si>
  <si>
    <t>IMPREVISTO</t>
  </si>
  <si>
    <t>UTILIDAD</t>
  </si>
  <si>
    <t>IVA SOBRE UTILIDAD</t>
  </si>
  <si>
    <t>OBSERVACIONES: Iva vigente al momento de facturar.                                                                                                                         VALIDEZ DE LA OFERTA: 10 DIAS.                                                                                                                                                                   FORMA DE PAGO: 30% ANTICIPO, 70% PAGO PARCIALES ACORDE A LO RECIBIDO.</t>
  </si>
  <si>
    <t>GRAN TOTAL</t>
  </si>
  <si>
    <t>ÍTEM</t>
  </si>
  <si>
    <t>AGUACHICA - CESAR</t>
  </si>
  <si>
    <t>SARDINATA - NDS</t>
  </si>
  <si>
    <t>CONSOLIDADO TOTAL X CANTIDAD</t>
  </si>
  <si>
    <t>CONSOLIDADO TOTAL X PRECIO</t>
  </si>
  <si>
    <t>OBSERVACIONES</t>
  </si>
  <si>
    <t>PRECION UNITARIO</t>
  </si>
  <si>
    <t>AIU/IVA</t>
  </si>
  <si>
    <t>Instalación  luminaria LED con escalera (Incluye desmonte, instalación de collarines, fotocelda, conexión a la red)</t>
  </si>
  <si>
    <t>Instalación  luminaria LED con carro canasta (Incluye desmonte, instalación de collarines, fotocelda, conexión a la red)</t>
  </si>
  <si>
    <t>Instalación  luminaria LED con escalera (Incluye desmonte, instalación de collarines, fotocelda, conexión a la red) (ZONA ROJA)</t>
  </si>
  <si>
    <t>Arriendo Bodega</t>
  </si>
  <si>
    <t>Meses</t>
  </si>
  <si>
    <t>Envío de luminarias CTG - AGU</t>
  </si>
  <si>
    <t>Envío de material desmontado (Luminaria, materiales reciclados)</t>
  </si>
  <si>
    <t>Envío de material de bodegas AGM a Aguachica</t>
  </si>
  <si>
    <t>COSTOS DE INVERSIÓN</t>
  </si>
  <si>
    <t>Camara Fotografica</t>
  </si>
  <si>
    <t>Baterias recargables para camara(cargador con 4 baterias)</t>
  </si>
  <si>
    <t>Cargador bateria para camara(no se requieren bat + carg)</t>
  </si>
  <si>
    <t>Memorias SD (8GB)</t>
  </si>
  <si>
    <t>Disco Duro 1T</t>
  </si>
  <si>
    <t>Odometro 8pg karson</t>
  </si>
  <si>
    <t>Medidor Laser de distancia x 30 mts Bosh</t>
  </si>
  <si>
    <t>Impresora tabloide</t>
  </si>
  <si>
    <t>Mesa redonda plastica 90 cm vaniplast</t>
  </si>
  <si>
    <t>Archivador 4 cajones</t>
  </si>
  <si>
    <t>Sillas Plasticas sin brazos vaniplast</t>
  </si>
  <si>
    <t>Kit de escritorio</t>
  </si>
  <si>
    <t>Botiquin</t>
  </si>
  <si>
    <t>Casco blanco dielectrico</t>
  </si>
  <si>
    <t>Gafas de Seguridad día OSCURO propack x 5 (3) + (2)</t>
  </si>
  <si>
    <t>Gafas de seguridad transparentes</t>
  </si>
  <si>
    <t>Camisa manga larga indigo</t>
  </si>
  <si>
    <t>Pantalon Jean tipo Obrero</t>
  </si>
  <si>
    <t>Botas de seguridad dielectricas</t>
  </si>
  <si>
    <t>Par</t>
  </si>
  <si>
    <t>Guantes de baqueta</t>
  </si>
  <si>
    <t>Nivel Aluminio 24 pg</t>
  </si>
  <si>
    <t>Martillo de Goma</t>
  </si>
  <si>
    <t>Sonda para cableado</t>
  </si>
  <si>
    <t>Juego de Raches con extension</t>
  </si>
  <si>
    <t>Transporte interno</t>
  </si>
  <si>
    <t>AIU</t>
  </si>
  <si>
    <t>1.2.1</t>
  </si>
  <si>
    <t>1.2.2</t>
  </si>
  <si>
    <t>1.2.3</t>
  </si>
  <si>
    <t>1.2.4</t>
  </si>
  <si>
    <t>Administración</t>
  </si>
  <si>
    <t>Imprevistos</t>
  </si>
  <si>
    <t>Utilidad</t>
  </si>
  <si>
    <t>SUBTOTAL</t>
  </si>
  <si>
    <t>Suministro brazo metalico galvanizado EPM, 1 1/2", angulo 52°/0°, 1.5 metros, para soporte con collarin. Anexo hoja "DETALLES"</t>
  </si>
  <si>
    <t>Suministro brazo metalico galvanizado EPM, 1 1/2", angulo 52°/0°, 2.0 metros, para soporte con collarin. Anexo hoja "DETALLES"</t>
  </si>
  <si>
    <t>2.2.1</t>
  </si>
  <si>
    <t>2.2.2</t>
  </si>
  <si>
    <t>2.2.3</t>
  </si>
  <si>
    <t>Reflector Led 110w</t>
  </si>
  <si>
    <t>Reflector Led 210w</t>
  </si>
  <si>
    <t>Hospedaje</t>
  </si>
  <si>
    <t>SUBTOTAL MANO DE OBRA MODERNIZACIÓN</t>
  </si>
  <si>
    <t>SUBTOTAL MATERIALES MODERNIZACIÓN</t>
  </si>
  <si>
    <t>Caja menor 3% de la inversión</t>
  </si>
  <si>
    <t>GL</t>
  </si>
  <si>
    <t>2.1.6</t>
  </si>
  <si>
    <t>Papeleria (planos por cuadrante)</t>
  </si>
  <si>
    <t>Descargo y cargue de material desmontado</t>
  </si>
  <si>
    <t>Servicios de internet</t>
  </si>
  <si>
    <t>día</t>
  </si>
  <si>
    <t>Combustible de camioneta</t>
  </si>
  <si>
    <t>Peajes</t>
  </si>
  <si>
    <t>Alimentación e hidratación</t>
  </si>
  <si>
    <t>2.2.11</t>
  </si>
  <si>
    <t>2.2.12</t>
  </si>
  <si>
    <t>2.2.13</t>
  </si>
  <si>
    <t>2.2.14</t>
  </si>
  <si>
    <t>2.2.15</t>
  </si>
  <si>
    <t>2.2.16</t>
  </si>
  <si>
    <t>4.1.1</t>
  </si>
  <si>
    <t>4.1.2</t>
  </si>
  <si>
    <t>ARL Auxiliar de taller</t>
  </si>
  <si>
    <t>VIATICOS INGENIERO RESIDENTE O ING PROYECTOS</t>
  </si>
  <si>
    <t>Rache, Juego de copa, Llave en L</t>
  </si>
  <si>
    <t>COD SIESA</t>
  </si>
  <si>
    <t>Luminaria Led 52w</t>
  </si>
  <si>
    <t>Fotocelda</t>
  </si>
  <si>
    <t>Conector resorte rojo</t>
  </si>
  <si>
    <t>Luminaria Led 35w</t>
  </si>
  <si>
    <t>Luminaria Led 75w</t>
  </si>
  <si>
    <t>Base para fotocelda con soporte en L</t>
  </si>
  <si>
    <t xml:space="preserve">Pinza de Retensión en baja tensión de Ø 4 a 22 mm </t>
  </si>
  <si>
    <t>Escuadra 90 grados recta en acero o niquel de 50x50 mm</t>
  </si>
  <si>
    <t>Cinta bandit 1/2" en acero marca eagle o similar</t>
  </si>
  <si>
    <t>Hebilla bandit 1/2"</t>
  </si>
  <si>
    <t>Cable encauchetado 3 x 14 AWG</t>
  </si>
  <si>
    <t>Instalacion de red de baja tension con cable encauchetada 3x12 awg Cu aereo</t>
  </si>
  <si>
    <t>Instalacion de red de baja tension con cable encauchetada 3x14 awg Cu aereo</t>
  </si>
  <si>
    <t>Cable encauchetado 3 x 12 AWG</t>
  </si>
  <si>
    <t>Cable encauchetado 3 x 10 AWG</t>
  </si>
  <si>
    <t>Instalacion de red de baja tension con cable encauchetada 3x14 y 3x10 awg Cu aereo</t>
  </si>
  <si>
    <t>Construcción e instalación de registro de baja tensión de 40x40x60 cm con tapa en concreto, impermeabilizado y con desague. Fundido en concreto y con tapa de seguridad anti robo. (Contratista Incluir material)</t>
  </si>
  <si>
    <t>Tornillo y tuerca 5/8"x3"</t>
  </si>
  <si>
    <t>Sondeo e instalacion de red de baja tensión cable encuachetado 3x14 awg Cu en tubo PVC 1/2" enterrado a 60 cm, incluye excavación y resane en concreto</t>
  </si>
  <si>
    <t>Desmonte de posteria para verificar el estado del cableado</t>
  </si>
  <si>
    <t>Desmonte de posteria metalica de 6m para verificar el estado del cableado</t>
  </si>
  <si>
    <t>Sondeo e instalacion de red de baja tensión cable #6 AL S8000</t>
  </si>
  <si>
    <t>Cable Aluminio THHW # 6 AWG S 8000</t>
  </si>
  <si>
    <t>Evaluacion y correcion del tablero de distribucion (Incluye puesta en marcha del tablero).</t>
  </si>
  <si>
    <t>Reflector Led 400w</t>
  </si>
  <si>
    <t>Cambio de la posicion del medidor de energia (Incluye, desmonte, instalacion del medidor)</t>
  </si>
  <si>
    <t>Conector ponchable AP1</t>
  </si>
  <si>
    <t>Conector ponchable AP2</t>
  </si>
  <si>
    <t>Instalacion de red de baja tension con cable triplex 3x4 AL awg aereo</t>
  </si>
  <si>
    <t>Conector de perforación CP70</t>
  </si>
  <si>
    <t>Conector de perforación CP120</t>
  </si>
  <si>
    <t>Cinta bandit 3/4" en acero marca eagle o similar</t>
  </si>
  <si>
    <t>Hebilla bandit 3/4"</t>
  </si>
  <si>
    <t>Pecha de un puesto ANSI 53-2</t>
  </si>
  <si>
    <t>Aislador tipo carrete (ansi 53-2)</t>
  </si>
  <si>
    <t>Poste de 8 mts 510 KGF de fibra de vidrio</t>
  </si>
  <si>
    <t xml:space="preserve">Desmonte de posteria metálica existente de 6 mts </t>
  </si>
  <si>
    <t xml:space="preserve">Desmonte de luminaria LED de baja potencia tipo farol </t>
  </si>
  <si>
    <t>Instalacion de red de baja tension con cable triplex Al aereo</t>
  </si>
  <si>
    <t>Reflector Led 35w</t>
  </si>
  <si>
    <t xml:space="preserve">Caja prefabricada de 30x30 cm </t>
  </si>
  <si>
    <t>Curva PVC pesada de 1 1/2"</t>
  </si>
  <si>
    <t>Tubo metálico IMC de 1 1/2" x 3 mts</t>
  </si>
  <si>
    <t>Capacete galvanizado de 1 1/2"</t>
  </si>
  <si>
    <t>Unión IMC 1 1/2"</t>
  </si>
  <si>
    <t>Poste de 10 mts 750 KGF de fibra de vidrio</t>
  </si>
  <si>
    <t>Poste de 10 mts 510 KGF de fibra de vidrio</t>
  </si>
  <si>
    <t>Item</t>
  </si>
  <si>
    <t>Descripcion</t>
  </si>
  <si>
    <t>Siesa</t>
  </si>
  <si>
    <t>Valor</t>
  </si>
  <si>
    <t>Ml</t>
  </si>
  <si>
    <t>Instalacion de red de baja tension con cable encauchetada  3x10 awg Cu aereo</t>
  </si>
  <si>
    <t>Instalacion de tubo galvanizado de 1 1/2"x3mts con cable. Adosado a poste. Incluye instalacion de elementos de fijacion y soporte</t>
  </si>
  <si>
    <t>Instalacion de caja prefabricada tipo registro de 30x30x30 cm.</t>
  </si>
  <si>
    <t>Instalación de sistema puesta a tierra</t>
  </si>
  <si>
    <t>Instalación de Centro de transformación conectado a una red tipo horizontal trafo 1F hasta (30KVA)</t>
  </si>
  <si>
    <t>Instalación de red de baja tensión trenzado 3x2+2 AWG en aluminio (Aereo)</t>
  </si>
  <si>
    <t>Instalación de Poste Translucido de 10m para alumbrado público con manguera LED</t>
  </si>
  <si>
    <t>Retiro de poste existente de 9 mts en concreto. Relleno, compactación y resane en concreto. Incluye: disposición final de escombros.</t>
  </si>
  <si>
    <t>Instalación de tablero a todo costo</t>
  </si>
  <si>
    <t>Desmonde de luminarias existentes</t>
  </si>
  <si>
    <t>Brazo metalico galvanizado 1 1/2", angulo 52°/0°, 1.5 metros, para soporte con collarin.</t>
  </si>
  <si>
    <t>Cable Aluminio THHW # 2 AWG S 8000</t>
  </si>
  <si>
    <t>Cable Aluminio THHW # 4 AWG S 8000</t>
  </si>
  <si>
    <t>Cable Cuadruplex 3 x 4 + 4 AWG Al autosoportado</t>
  </si>
  <si>
    <t>Cable encauchetado 3 x 8 AWG</t>
  </si>
  <si>
    <t>Cable triplex 2 x 1/0 + 1/0 AWG Al autosoportado</t>
  </si>
  <si>
    <t>Cable triplex 2 x 2 + 2  AWG Al autosoportado</t>
  </si>
  <si>
    <t>Cable triplex 2 x 4 + 4  AWG Al autosoportado</t>
  </si>
  <si>
    <t>Cable Cuadruplex 3 x 2 + 2 AWG Al autosoportado</t>
  </si>
  <si>
    <t xml:space="preserve">Caja prefabricada de 40x40 cm </t>
  </si>
  <si>
    <t>Capacete galvanizado de 2"</t>
  </si>
  <si>
    <t>Capacete galvanizado de 1"</t>
  </si>
  <si>
    <t>Capacete galvanizado de 3/4"</t>
  </si>
  <si>
    <t>Cinta aislante  23</t>
  </si>
  <si>
    <t xml:space="preserve">Cinta aislante temflex color rojo </t>
  </si>
  <si>
    <t>Cinta aislante temflex color blanco</t>
  </si>
  <si>
    <t>Cinta aislante temflex color verde</t>
  </si>
  <si>
    <t>Cinta bandit 5/8" en acero marca eagle o similar</t>
  </si>
  <si>
    <t>Collarin de 5" a 6" dos salidas con tornillos 5/8 x 4"</t>
  </si>
  <si>
    <t>Collarin de 5" a 6" una salida con tornillos 5/8 x 4"</t>
  </si>
  <si>
    <t>Collarin de 6" a 7" una salida con tornillos 5/8 x 4"</t>
  </si>
  <si>
    <t>Collarin de 7" a 8" una salida con tornillos 5/8 x 10"</t>
  </si>
  <si>
    <t>Collarin de 8" a 9" Una salida con tornillos 5/8 x 4"</t>
  </si>
  <si>
    <t>Conector ponchable en gel 6-2/ 14-8</t>
  </si>
  <si>
    <t>Curva PVC pesada de 2"</t>
  </si>
  <si>
    <t>Curva PVC pesada de 1"</t>
  </si>
  <si>
    <t>Curva PVC pesada de 3/4"</t>
  </si>
  <si>
    <t>Conector recto coraza 1"</t>
  </si>
  <si>
    <t>Conector recto coraza 1 1/2"</t>
  </si>
  <si>
    <t>Coraza LT 1 1/2"</t>
  </si>
  <si>
    <t>Coraza LT 1"</t>
  </si>
  <si>
    <t>Cruceta metalica autosoportada de 2,4 m</t>
  </si>
  <si>
    <t>Cruceta metalica autosoportada de 1,5 m</t>
  </si>
  <si>
    <t xml:space="preserve">Conduleta  1 1/2 LB                </t>
  </si>
  <si>
    <t xml:space="preserve">Conduleta 1 1/2 LL                 </t>
  </si>
  <si>
    <t xml:space="preserve">Conduleta 1 1/2 C </t>
  </si>
  <si>
    <t>Conduleta 1 1/2 LR</t>
  </si>
  <si>
    <t xml:space="preserve">Conduleta  1  LB                </t>
  </si>
  <si>
    <t>Conduleta 1 LR</t>
  </si>
  <si>
    <t xml:space="preserve">Conduleta 1  T </t>
  </si>
  <si>
    <t xml:space="preserve">Conduleta  3/4  LB                </t>
  </si>
  <si>
    <t xml:space="preserve">Conduleta 3/4  T </t>
  </si>
  <si>
    <t>Conduleta 3/4 LR</t>
  </si>
  <si>
    <t xml:space="preserve">Conduleta  1/2  LB                </t>
  </si>
  <si>
    <t xml:space="preserve">Conduleta 1/2  T </t>
  </si>
  <si>
    <t>Conduleta 1/2 LR</t>
  </si>
  <si>
    <t>Conector amovible P 4/0 - 2  S 6-4/0</t>
  </si>
  <si>
    <t>Conector ampac con estribo 1/0-2/0</t>
  </si>
  <si>
    <t xml:space="preserve">Conector varilla / Cable cobre </t>
  </si>
  <si>
    <t>Conector compresion cobre 2-2</t>
  </si>
  <si>
    <t>Conector PVC 2"</t>
  </si>
  <si>
    <t>Conector PVC 1 1/2"</t>
  </si>
  <si>
    <t>Conector PVC 1"</t>
  </si>
  <si>
    <t>Conector PVC 3/4"</t>
  </si>
  <si>
    <t>Conector tipo H</t>
  </si>
  <si>
    <t>Esparrago de 5/8 x 12"</t>
  </si>
  <si>
    <t>Esparrago de 5/8 x 18"</t>
  </si>
  <si>
    <t>Fusible de expulsión 0.4 (SR) tipo D</t>
  </si>
  <si>
    <t>Fusible de expulsión 2 (VS)</t>
  </si>
  <si>
    <t>Descargadores de sobretension de 15Kv</t>
  </si>
  <si>
    <t>Grapa tipo pistola 1/0</t>
  </si>
  <si>
    <t>Guardacabo 5/8</t>
  </si>
  <si>
    <t>Hebilla bandit 5/8"</t>
  </si>
  <si>
    <t>Luminaria Led 150W</t>
  </si>
  <si>
    <t>breaker 1 polo 50 amperios riel</t>
  </si>
  <si>
    <t>breaker 2 polo 40 amperios riel</t>
  </si>
  <si>
    <t>breaker 2 polo 60 amperios riel</t>
  </si>
  <si>
    <t>breaker 2 polo 20 amperios riel</t>
  </si>
  <si>
    <t>breaker 2 polo 15 amperios riel</t>
  </si>
  <si>
    <t>breaker 1 polo 20 amperios riel</t>
  </si>
  <si>
    <t>Aislador Line post 23 kv</t>
  </si>
  <si>
    <t>Aislador suspensión polimerico 15kV</t>
  </si>
  <si>
    <t>Aislador tensor 3/8</t>
  </si>
  <si>
    <t>Alambre aluminio aislado # 6</t>
  </si>
  <si>
    <t>Alambre aluminio aislado # 8</t>
  </si>
  <si>
    <t>Amarra plastica de 100 mm</t>
  </si>
  <si>
    <t>Amarra plastica de 200 mm</t>
  </si>
  <si>
    <t>Amarra plastica de 300 mm</t>
  </si>
  <si>
    <t>Arandela plana redonda 1/2</t>
  </si>
  <si>
    <t>Arandela plana redonda 5/8</t>
  </si>
  <si>
    <t>Arandela plana redonda 1/4</t>
  </si>
  <si>
    <t>Arandela Presion 1/2</t>
  </si>
  <si>
    <t>Arandela Presion 5/8</t>
  </si>
  <si>
    <t>Arandela cuadrada de 5/8 x 2 x 2</t>
  </si>
  <si>
    <t>Arandela cuadrada de 5/8 x 4 x 4</t>
  </si>
  <si>
    <t>Brazo metalico galvanizado 1 1/2", angulo 52°/0°, 2 metros, para soporte con collarin.</t>
  </si>
  <si>
    <t>Cable de cu Desnudo # 2</t>
  </si>
  <si>
    <t>Cable de cu Desnudo # 8</t>
  </si>
  <si>
    <t>Caja radwelt 4x4 - 3 salidas 3/4</t>
  </si>
  <si>
    <t>Caja radwelt 2x2 - 3 salidas 3/4</t>
  </si>
  <si>
    <t>Luminaria Led 106,5W</t>
  </si>
  <si>
    <t>Luminaria Led 120,4W</t>
  </si>
  <si>
    <t>Perno de ojo de 5/8 x 12</t>
  </si>
  <si>
    <t>Perno 5/8 x 4"</t>
  </si>
  <si>
    <t>Perno 5/8 x 10"</t>
  </si>
  <si>
    <t>Reflector Led 300w</t>
  </si>
  <si>
    <t>Poste de 12 mts 510 KGF de fibra de vidrio</t>
  </si>
  <si>
    <t>Poste de 12 mts 750 KGF de fibra de vidrio</t>
  </si>
  <si>
    <t>Poste de 12 mts 350 KGF de fibra de vidrio</t>
  </si>
  <si>
    <t>Poste de 10 mts 750 KGF de concreto</t>
  </si>
  <si>
    <t>Poste de 12 mts 750 KGF de concreto</t>
  </si>
  <si>
    <t>Poste de 12 mts 1050 KGF de concreto</t>
  </si>
  <si>
    <t>Poste de 12 mts 1350 KGF de concreto</t>
  </si>
  <si>
    <t>Poste de 10 mts 350 KGF Translucido</t>
  </si>
  <si>
    <t>Poste de 10 mts 750 KGF Translucido</t>
  </si>
  <si>
    <t>Poste de 12 mts 510 KGF Translucido</t>
  </si>
  <si>
    <t>Poste de 10 mts 510 KGF Translucido</t>
  </si>
  <si>
    <t>Poste de 12 mts 750 KGF Translucido</t>
  </si>
  <si>
    <t>Prensa estopa 1/2</t>
  </si>
  <si>
    <t>Prensa estopa 3/4</t>
  </si>
  <si>
    <t>Terminal aluminio cable # 4</t>
  </si>
  <si>
    <t>Terminal aluminio cable # 1/0</t>
  </si>
  <si>
    <t>Terminal aluminio cable # 2</t>
  </si>
  <si>
    <t>Transformador Monofasico 5 kVA 13200/480-240</t>
  </si>
  <si>
    <t>Transformador Monofasico 10 kVA 13200/480-240</t>
  </si>
  <si>
    <t>Transformador Monofasico 15 kVA 13200/480-240</t>
  </si>
  <si>
    <t>Tubo metálico IMC de 2" x 3 mts</t>
  </si>
  <si>
    <t>Tubo metálico IMC de 1" x 3 mts</t>
  </si>
  <si>
    <t>Tubo metálico IMC de 3/4" x 3 mts</t>
  </si>
  <si>
    <t>Tubo PVC pesado de 3/4" x 3 mts</t>
  </si>
  <si>
    <t>Tubo PVC pesado de 1" x 3 mts</t>
  </si>
  <si>
    <t>Tubo PVC pesado de 1 1/2" x 3 mts</t>
  </si>
  <si>
    <t>Tubo PVC pesado de 2" x 3 mts</t>
  </si>
  <si>
    <t>Varilla corrugada 5/8" x 1 m</t>
  </si>
  <si>
    <t>Varilla cooperweld 5/8" x 2,4 m</t>
  </si>
  <si>
    <t>Varilla corrugada 3/8" x  1 m</t>
  </si>
  <si>
    <t>Varilla anclaje 5/8 x 1500mm</t>
  </si>
  <si>
    <t>Collarin para transformador</t>
  </si>
  <si>
    <t>Alambre acero galvanizado 10 grado comun</t>
  </si>
  <si>
    <t>Bloque anclaje de  400x300x100mm</t>
  </si>
  <si>
    <t>Cable de acero Galvanizado 3/8" extra alta resistencia</t>
  </si>
  <si>
    <t>Cable #6 Cu forrado AWG THHN/THWN-2, 90 C°, 600 V.</t>
  </si>
  <si>
    <t>Cable #8 Cu forrado AWG THHN/THWN-2, 90 C°, 600 V.</t>
  </si>
  <si>
    <t>Cable ACSR 4 awg</t>
  </si>
  <si>
    <t>Cable ACSR 2 awg</t>
  </si>
  <si>
    <t>Cable poder manguera led</t>
  </si>
  <si>
    <t>Collarin antiescalante</t>
  </si>
  <si>
    <t>Contrapeso tipo tuerca de ojo</t>
  </si>
  <si>
    <t>Medidor Monofasico 480/240</t>
  </si>
  <si>
    <t>Medidor Trifasico 480/240</t>
  </si>
  <si>
    <t>Grillete largo recto 5/8</t>
  </si>
  <si>
    <t>Kit stavol para SPT</t>
  </si>
  <si>
    <t>Perno 5/8 x 12"</t>
  </si>
  <si>
    <t>Soldadura PVC x 1/8</t>
  </si>
  <si>
    <t>Union manguera led</t>
  </si>
  <si>
    <t>Cable AAAC 1/0 awg</t>
  </si>
  <si>
    <t>Platina de sujeccion para retenida</t>
  </si>
  <si>
    <t>Cinta led de 3,6w x 1m - 240V</t>
  </si>
  <si>
    <t>Tapon sellador para cable 4</t>
  </si>
  <si>
    <t>Tapon sellador para cable 2</t>
  </si>
  <si>
    <t>Grapa tres pernos 1 1/2 x 3/8</t>
  </si>
  <si>
    <t>CAJA MENOR</t>
  </si>
  <si>
    <t>PAPELERIA</t>
  </si>
  <si>
    <t>Cable de acero Galvanizado 1/4" extra alta resistencia</t>
  </si>
  <si>
    <t>Luminaria farol LED 31w</t>
  </si>
  <si>
    <t>Luminaria farol LED 62w</t>
  </si>
  <si>
    <t>Supervisor de terreno</t>
  </si>
  <si>
    <t>Examenes médicos Supervisor de Terreno</t>
  </si>
  <si>
    <t>Certificación RETIE y Retilap</t>
  </si>
  <si>
    <t>Factibilidad ante el operador de red (AFINIA)</t>
  </si>
  <si>
    <t>Polizas de la ANI para permiso de obra en vía concesionada</t>
  </si>
  <si>
    <t>Casco Blanco</t>
  </si>
  <si>
    <t>Gafas de seguridad</t>
  </si>
  <si>
    <t>Camisa manga larga Indigo</t>
  </si>
  <si>
    <t>Pantalon Jean tipo obrero</t>
  </si>
  <si>
    <t>Botas</t>
  </si>
  <si>
    <t xml:space="preserve">Guantes </t>
  </si>
  <si>
    <t>Herramientas de armado de luminarias</t>
  </si>
  <si>
    <t>Envío de luminarias CTG - Destino</t>
  </si>
  <si>
    <t>Bolivar</t>
  </si>
  <si>
    <t>Altos del rosario</t>
  </si>
  <si>
    <t>Arjona</t>
  </si>
  <si>
    <t>Barranco de Loba</t>
  </si>
  <si>
    <t>Calamar</t>
  </si>
  <si>
    <t>Carmen de Bolivar</t>
  </si>
  <si>
    <t>Cicuco</t>
  </si>
  <si>
    <t>Clemencia</t>
  </si>
  <si>
    <t>Hatillo de Loba</t>
  </si>
  <si>
    <t>Margarita</t>
  </si>
  <si>
    <t>Maria la baja</t>
  </si>
  <si>
    <t>Mompox</t>
  </si>
  <si>
    <t>San estanislao</t>
  </si>
  <si>
    <t>San Jacinto</t>
  </si>
  <si>
    <t>San juan de Nepomoceno</t>
  </si>
  <si>
    <t>San martin de loba</t>
  </si>
  <si>
    <t>San Pedro</t>
  </si>
  <si>
    <t>Santa Rosa</t>
  </si>
  <si>
    <t>Talaiguanuevo</t>
  </si>
  <si>
    <t>Turbaco</t>
  </si>
  <si>
    <t>Villanueva</t>
  </si>
  <si>
    <t>Cesar</t>
  </si>
  <si>
    <t>La paz</t>
  </si>
  <si>
    <t>Codazzi</t>
  </si>
  <si>
    <t>Chiriguana</t>
  </si>
  <si>
    <t>Copey</t>
  </si>
  <si>
    <t>Nueva Granada</t>
  </si>
  <si>
    <t>El paso</t>
  </si>
  <si>
    <t>San juan</t>
  </si>
  <si>
    <t>Urumita</t>
  </si>
  <si>
    <t>Currumani</t>
  </si>
  <si>
    <t>Chimichagua</t>
  </si>
  <si>
    <t>Rioacha</t>
  </si>
  <si>
    <t>Guajira</t>
  </si>
  <si>
    <t>Gambote</t>
  </si>
  <si>
    <t>Carmen</t>
  </si>
  <si>
    <t>Tablero para medida directa con espacio para Interruptor</t>
  </si>
  <si>
    <t>Instalación luminaria LED de baja potencia  con escalera (Incluye desmonte, instalación de collarines, fotocelda, conexión a la red). Potencia entre 0 y 75 W</t>
  </si>
  <si>
    <t>Instalación luminaria LED de alta potencia con escalera (Incluye desmonte, instalación de collarines, fotocelda, conexión a la red). Potencia mayores a 75 W</t>
  </si>
  <si>
    <t>Instalación luminaria LED de baja potencia con carro Canasta(Incluye desmonte, instalación de collarines, fotocelda, conexión a la red). Potencia entre 0 y 75 W</t>
  </si>
  <si>
    <t>Instalación luminaria LED de alta potencia con carro canasta (Incluye desmonte, instalación de collarines, fotocelda, conexión a la red). Potencia mayores a 75 W</t>
  </si>
  <si>
    <t>Instalacion y sondeo de red de baja tension con Cable # 6 Cu awg Cu subterraneo</t>
  </si>
  <si>
    <t>Demolición de Obras civiles</t>
  </si>
  <si>
    <t>Retiro de poste existente de 10 mts en concreto. Relleno, compactación y resane en concreto. Incluye: disposición final de escombros.</t>
  </si>
  <si>
    <t xml:space="preserve">Retiro de red aérea existente en baja tensión </t>
  </si>
  <si>
    <t>Instalación de Poste Translucido de 12m para alumbrado público con manguera LED (Todo Costo,Transporte, Excavacion, Hincada, aplomada, fundida y dispocisión final de escombros)</t>
  </si>
  <si>
    <t>Instalación de Poste concreto de 12m  (Todo Costo,Transporte, Excavacion, Hincada, aplomada, fundida y dispocisión final de escombros)</t>
  </si>
  <si>
    <t>Retiro de poste existente de 12 mts. Relleno, compactación y resane en concreto. Incluye: disposición final de escombros.</t>
  </si>
  <si>
    <t>Luminarias</t>
  </si>
  <si>
    <t>Cableado</t>
  </si>
  <si>
    <t>Tuberia</t>
  </si>
  <si>
    <t>Postes</t>
  </si>
  <si>
    <t>Civil</t>
  </si>
  <si>
    <t>Transformacion y Medicion</t>
  </si>
  <si>
    <t>Sistema de puesto a tierra</t>
  </si>
  <si>
    <t>ml</t>
  </si>
  <si>
    <t>Glb</t>
  </si>
  <si>
    <t>Instalacion de medidor monofasico o trifasico con tablero</t>
  </si>
  <si>
    <t>Examenes médicos Auxiliar de taller</t>
  </si>
  <si>
    <t>Conductor Ayudante</t>
  </si>
  <si>
    <t>Examenes médicos Ayudante</t>
  </si>
  <si>
    <t>Transporte</t>
  </si>
  <si>
    <t>Municipios</t>
  </si>
  <si>
    <t>Trasnporte</t>
  </si>
  <si>
    <t>Km</t>
  </si>
  <si>
    <t>Turbana</t>
  </si>
  <si>
    <t>-</t>
  </si>
  <si>
    <t>Instalacion sistema de retencion</t>
  </si>
  <si>
    <t>Suministro e Instalacion de Luminarias LED 150w en poste traslucido (incluye instalacion de accesorios de fijacion, soporte y fotocontrol)</t>
  </si>
  <si>
    <t>Descargo de posteria</t>
  </si>
  <si>
    <t>EPP</t>
  </si>
  <si>
    <t>Arner certificado</t>
  </si>
  <si>
    <t>Eslinga de posicionamiento de 2 mts</t>
  </si>
  <si>
    <t>HERRAMIENTAS MENORES</t>
  </si>
  <si>
    <t>VIATICOS PERSONAL</t>
  </si>
  <si>
    <t>CERTIFICACION</t>
  </si>
  <si>
    <t>4.4.1</t>
  </si>
  <si>
    <t>4.4.2</t>
  </si>
  <si>
    <t>4.4.3</t>
  </si>
  <si>
    <t>4.4.4</t>
  </si>
  <si>
    <t>5.1.1</t>
  </si>
  <si>
    <t>6.1.1.2</t>
  </si>
  <si>
    <t>6.1.1.3</t>
  </si>
  <si>
    <t>CERTIFICACIONES</t>
  </si>
  <si>
    <t>Flanche para Poste</t>
  </si>
  <si>
    <t>Conector Imc 1"</t>
  </si>
  <si>
    <t>Conector Imc 1 1/2"</t>
  </si>
  <si>
    <t>Grapa channel 1"</t>
  </si>
  <si>
    <t>Riel channel 4x2 ranurado perfil bajo</t>
  </si>
  <si>
    <t>Caja de paso intemperie plastica 40x30x12 ip65</t>
  </si>
  <si>
    <t>Centro de transformacion</t>
  </si>
  <si>
    <t>na</t>
  </si>
  <si>
    <t>na1</t>
  </si>
  <si>
    <t>na2</t>
  </si>
  <si>
    <t>Instalacion de tubo galvanizado de 1 "x3mts con cable 4#4+1#4 Al. Adosado a poste. Incluye instalacion de elementos de fijacion y soporte</t>
  </si>
  <si>
    <t>Instalacion de red de baja tension con Cable 3# 4 awg AL subterraneo en tuberia pvc 1"</t>
  </si>
  <si>
    <t>Luminaria solar 13000 LM</t>
  </si>
  <si>
    <t>NA4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</si>
  <si>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</si>
  <si>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</si>
  <si>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</si>
  <si>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</si>
  <si>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</si>
  <si>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</si>
  <si>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</si>
  <si>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</si>
  <si>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</si>
  <si>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Instalacion de flanches</t>
  </si>
  <si>
    <t>Instalación de Puentes en caliente</t>
  </si>
  <si>
    <t>1.1.13</t>
  </si>
  <si>
    <t>1.1.14</t>
  </si>
  <si>
    <t>Sondeo de red de baja tension con cable encauchetada 3x14 awg Cu dentro de poste</t>
  </si>
  <si>
    <t>Grapa doble ala  1" metalica</t>
  </si>
  <si>
    <t>Coraza LT 3/4"</t>
  </si>
  <si>
    <t>Conector recto coraza 3/4"</t>
  </si>
  <si>
    <t xml:space="preserve">Cortacircuito completo 27KVA 200A               </t>
  </si>
  <si>
    <t>Cable encauchetado 2 x 16 AWG</t>
  </si>
  <si>
    <t>Aislador Line post 23 kv Hibrido</t>
  </si>
  <si>
    <t>7.1.2</t>
  </si>
  <si>
    <t xml:space="preserve"> TOTAL CERTIFICACION</t>
  </si>
  <si>
    <t>Alvaro Navarro C</t>
  </si>
  <si>
    <t>ILUMINACION TRONCAL DE OCCIDENTE</t>
  </si>
  <si>
    <t>ILUMINACION DE ALUMBRADO TRONCAL DE OCCIDENTE</t>
  </si>
  <si>
    <t>Instalacion de red de baja tension con Cable 4# 1/0 awg AL subterraneo en tuberia pvc 2"</t>
  </si>
  <si>
    <t>Construcción e instalación de registro de baja tensión de 71x71x90 cm con tapa en concreto, impermeabilizado y con desague. Fundido en concreto y con tapa de seguridad anti robo. (Contratista Incluir material)</t>
  </si>
  <si>
    <t>Horadacion Horizontal con topo neumatico y tuberia de 2"</t>
  </si>
  <si>
    <t>Instalación de tuberia IMC  de 2" x 3mts adosado a muro</t>
  </si>
  <si>
    <t>Cimentacion Postes translucidos</t>
  </si>
  <si>
    <t>Brazo metalico tipo Falmingo galvanizado 1 1/2", angulo 52°/0°, 2 metros, para soporte con collarin.</t>
  </si>
  <si>
    <t>Cable Aluminio THHW # 1/0 AWG S 8000</t>
  </si>
  <si>
    <t>Conector ponchable en gel AP2</t>
  </si>
  <si>
    <t>Instalacion de Red de baja tension Subterranea</t>
  </si>
  <si>
    <t>Instalacion de poste traslucido de 12 metros con Manguera LED</t>
  </si>
  <si>
    <t>Poste de 12 mts 350 KGF Traslucido</t>
  </si>
  <si>
    <t>BT</t>
  </si>
  <si>
    <t>Retilap</t>
  </si>
  <si>
    <t>Transformaicon</t>
  </si>
  <si>
    <t>Cimentacion canalizacion</t>
  </si>
  <si>
    <t>M3</t>
  </si>
  <si>
    <t>Confinamiento Registros Baja tension</t>
  </si>
  <si>
    <t>1.1.15</t>
  </si>
  <si>
    <t>1.1.16</t>
  </si>
  <si>
    <t>1.1.17</t>
  </si>
  <si>
    <t>4.1.3</t>
  </si>
  <si>
    <t>Bodeguero</t>
  </si>
  <si>
    <t>SISO</t>
  </si>
  <si>
    <t>Topografo</t>
  </si>
  <si>
    <t>Medidor de resistencia de puesta a tierra</t>
  </si>
  <si>
    <t>Vigilante</t>
  </si>
  <si>
    <t>CANTIDAD REPLANTEO</t>
  </si>
  <si>
    <t>Valor TOTAL</t>
  </si>
  <si>
    <t>Excavacion de terreno hasta 1 m de produnfidad para tuberia pvc de 1" a 3"</t>
  </si>
  <si>
    <t>Instalacion de red de baja tension con Cable 2# 1/0+1#4  awg AL subterraneo en tuberia pvc 2"</t>
  </si>
  <si>
    <t>Instalacion de red de baja tension con Cable 3# 2/0+1#4  awg AL subterraneo en tuberia pvc 2"</t>
  </si>
  <si>
    <t>Instalacion de red de baja tension con Cable 3# 4/0+1#4  awg AL subterraneo en tuberia pvc 2"</t>
  </si>
  <si>
    <t>Extension de Red de media tension</t>
  </si>
  <si>
    <t>Cable Aluminio THHW # 2/0 AWG S 8000</t>
  </si>
  <si>
    <t>Cable Aluminio THHW # 4/0 AWG S 8000</t>
  </si>
  <si>
    <t>p1</t>
  </si>
  <si>
    <t>p2</t>
  </si>
  <si>
    <t>p3</t>
  </si>
  <si>
    <t>P5</t>
  </si>
  <si>
    <t>Tubo PVC pesado de 3" x 3 mts</t>
  </si>
  <si>
    <t>Cinta señalizacion Amarillo negro peligro x 100 m</t>
  </si>
  <si>
    <t>1 MES DE PLANEACIÓN - 8 MESES DE EJECUCIÓN Y CIERRE DE PROYECTO (1 CONTRATISTA)</t>
  </si>
  <si>
    <t>Compra de Vehiculo</t>
  </si>
  <si>
    <t>Alquiler de Portatil</t>
  </si>
  <si>
    <t>Auxiliar de Taller para luminaria y manguera led</t>
  </si>
  <si>
    <t>Alquiler de bodega / Baño portatil</t>
  </si>
  <si>
    <t>PRESUPUESTO DE OBRA</t>
  </si>
  <si>
    <t>PROCEDIMIENTO DE INSTALACION, MODERNIZACION Y/O EXPANSION DE ALUMBRADO PUBLICO</t>
  </si>
  <si>
    <t>Obras Civiles</t>
  </si>
  <si>
    <t>concreto</t>
  </si>
  <si>
    <t>descripcion</t>
  </si>
  <si>
    <t>Cantidad</t>
  </si>
  <si>
    <t>V Total</t>
  </si>
  <si>
    <t>Arena Rio</t>
  </si>
  <si>
    <t>Cemento 50 kg</t>
  </si>
  <si>
    <t>Triturado 1/2"</t>
  </si>
  <si>
    <t>Plastocrete DM</t>
  </si>
  <si>
    <t>Bulto</t>
  </si>
  <si>
    <t>Kg</t>
  </si>
  <si>
    <t>Angulo 2"x2"x3/16 x 6m</t>
  </si>
  <si>
    <t>Platina 2"x 316 x 6m</t>
  </si>
  <si>
    <t>Varilla 3/8 x 6m</t>
  </si>
  <si>
    <t>Alambre Negro</t>
  </si>
  <si>
    <t>Soldadura 6011</t>
  </si>
  <si>
    <t>Caja Clavo de Acero 1 1/2 a 3" x 500 gr</t>
  </si>
  <si>
    <t>Caja puntilla dulce 1 1/2 a 3" x 500 gr</t>
  </si>
  <si>
    <t xml:space="preserve">Lamina Formaleta madera 18 mm </t>
  </si>
  <si>
    <t>Liston Madera 2"x2"x3m</t>
  </si>
  <si>
    <t>m2</t>
  </si>
  <si>
    <t>KG</t>
  </si>
  <si>
    <t>Registros</t>
  </si>
  <si>
    <t>Arquitecto Marcos Vaqueero</t>
  </si>
  <si>
    <t>Arquitecto Urbina</t>
  </si>
  <si>
    <t>Ar</t>
  </si>
  <si>
    <t>Tr</t>
  </si>
  <si>
    <t>Pl</t>
  </si>
  <si>
    <t>Cm</t>
  </si>
  <si>
    <t>Formaleta Metalica</t>
  </si>
  <si>
    <t>PT</t>
  </si>
  <si>
    <t>Ag</t>
  </si>
  <si>
    <t>Vr</t>
  </si>
  <si>
    <t>An</t>
  </si>
  <si>
    <t>Fm</t>
  </si>
  <si>
    <t>TOTAL DE SUMINISTRO DE MATERIALES</t>
  </si>
  <si>
    <t>TOTAL MANO DE OBRA ELECTRICA</t>
  </si>
  <si>
    <t>MANO DE OBRA ELECTRICA</t>
  </si>
  <si>
    <t>MANO DE OBRA CIVIL</t>
  </si>
  <si>
    <t>Instalacion de tuberia PVC 1-3"</t>
  </si>
  <si>
    <t>TOTAL MANO DE OBRA CIVIL</t>
  </si>
  <si>
    <t>TOTAL MANO DE OBRA CIVIL+ELECTRICA</t>
  </si>
  <si>
    <t>ML</t>
  </si>
  <si>
    <t>Compra de señalizacion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</si>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</sst>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_(&quot;$&quot;\ * #,##0.00_);_(&quot;$&quot;\ * \(#,##0.00\);_(&quot;$&quot;\ * &quot;-&quot;??_);_(@_)"/>
    <numFmt numFmtId="169" formatCode="_(&quot;$&quot;\ * #,##0_);_(&quot;$&quot;\ * \(#,##0\);_(&quot;$&quot;\ * &quot;-&quot;??_);_(@_)"/>
    <numFmt numFmtId="170" formatCode="_-[$$-240A]\ * #,##0.00_-;\-[$$-240A]\ * #,##0.00_-;_-[$$-240A]\ * &quot;-&quot;??_-;_-@_-"/>
    <numFmt numFmtId="171" formatCode="0.0%"/>
    <numFmt numFmtId="172" formatCode="_-* #,##0\ _€_-;\-* #,##0\ _€_-;_-* &quot;-&quot;??\ _€_-;_-@_-"/>
    <numFmt numFmtId="173" formatCode="_-[$USD]\ * #,##0.00_-;\-[$USD]\ * #,##0.00_-;_-[$USD]\ * &quot;-&quot;??_-;_-@_-"/>
    <numFmt numFmtId="174" formatCode="_-&quot;$&quot;\ * #,##0_-;\-&quot;$&quot;\ * #,##0_-;_-&quot;$&quot;\ * &quot;-&quot;??_-;_-@_-"/>
    <numFmt numFmtId="175" formatCode="dd\-mmm\-yyyy"/>
    <numFmt numFmtId="176" formatCode="&quot;$&quot;#,##0"/>
    <numFmt numFmtId="177" formatCode="&quot;$&quot;\ #,##0;[Red]&quot;$&quot;\ \-#,##0"/>
    <numFmt numFmtId="178" formatCode="&quot;$&quot;\ #,##0.00"/>
    <numFmt numFmtId="179" formatCode="&quot;$&quot;\ #,##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2"/>
      <color theme="1"/>
      <name val="Arial Unicode MS"/>
      <family val="2"/>
    </font>
    <font>
      <b/>
      <sz val="11"/>
      <color theme="9" tint="-0.249977111117893"/>
      <name val="Arial Unicode MS"/>
      <family val="2"/>
    </font>
    <font>
      <sz val="11"/>
      <color rgb="FF000000"/>
      <name val="Arial"/>
      <family val="2"/>
    </font>
    <font>
      <sz val="12"/>
      <color theme="1"/>
      <name val="Arial Unicode MS"/>
      <family val="2"/>
    </font>
    <font>
      <sz val="9"/>
      <color theme="1"/>
      <name val="Arial Unicode MS"/>
      <family val="2"/>
    </font>
    <font>
      <b/>
      <sz val="11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charset val="134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6"/>
      <name val="CG Times"/>
      <family val="1"/>
    </font>
    <font>
      <sz val="11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sz val="10"/>
      <name val="MS Sans Serif"/>
    </font>
    <font>
      <u/>
      <sz val="11"/>
      <color theme="10"/>
      <name val="Calibri"/>
      <family val="2"/>
      <scheme val="minor"/>
    </font>
    <font>
      <sz val="11"/>
      <color indexed="72"/>
      <name val="Calibri"/>
      <family val="2"/>
      <scheme val="minor"/>
    </font>
    <font>
      <sz val="8"/>
      <name val="Verdana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2" tint="-0.249977111117893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indexed="64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thin">
        <color indexed="64"/>
      </top>
      <bottom style="thin">
        <color indexed="64"/>
      </bottom>
      <diagonal/>
    </border>
    <border>
      <left style="hair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hair">
        <color theme="0" tint="-0.249977111117893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medium">
        <color indexed="64"/>
      </right>
      <top style="hair">
        <color theme="0" tint="-0.249977111117893"/>
      </top>
      <bottom style="hair">
        <color theme="0" tint="-0.249977111117893"/>
      </bottom>
      <diagonal/>
    </border>
  </borders>
  <cellStyleXfs count="43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 applyFill="0" applyBorder="0" applyProtection="0">
      <alignment horizontal="left" wrapText="1"/>
    </xf>
    <xf numFmtId="0" fontId="7" fillId="6" borderId="26" applyNumberFormat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9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center"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3" fontId="11" fillId="0" borderId="27" applyFill="0" applyProtection="0">
      <alignment horizontal="center"/>
    </xf>
    <xf numFmtId="0" fontId="10" fillId="7" borderId="28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0" fontId="12" fillId="0" borderId="0" applyNumberFormat="0" applyFill="0" applyBorder="0" applyProtection="0">
      <alignment horizontal="left" vertical="center"/>
    </xf>
    <xf numFmtId="0" fontId="10" fillId="8" borderId="28" applyNumberFormat="0" applyFont="0" applyAlignment="0">
      <alignment horizontal="center"/>
    </xf>
    <xf numFmtId="0" fontId="10" fillId="9" borderId="28" applyNumberFormat="0" applyFont="0" applyAlignment="0">
      <alignment horizontal="center"/>
    </xf>
    <xf numFmtId="0" fontId="10" fillId="10" borderId="28" applyNumberFormat="0" applyFont="0" applyAlignment="0">
      <alignment horizontal="center"/>
    </xf>
    <xf numFmtId="0" fontId="10" fillId="11" borderId="29" applyNumberFormat="0" applyFont="0" applyAlignment="0">
      <alignment horizontal="center"/>
    </xf>
    <xf numFmtId="1" fontId="13" fillId="6" borderId="26">
      <alignment horizontal="center" vertical="center"/>
    </xf>
    <xf numFmtId="0" fontId="26" fillId="0" borderId="0"/>
    <xf numFmtId="0" fontId="26" fillId="0" borderId="0"/>
    <xf numFmtId="166" fontId="29" fillId="0" borderId="0" applyFont="0" applyFill="0" applyBorder="0" applyAlignment="0" applyProtection="0"/>
    <xf numFmtId="0" fontId="29" fillId="0" borderId="0"/>
    <xf numFmtId="0" fontId="31" fillId="0" borderId="0"/>
    <xf numFmtId="0" fontId="43" fillId="0" borderId="0" applyNumberFormat="0" applyFill="0" applyBorder="0" applyAlignment="0" applyProtection="0">
      <alignment vertical="top"/>
      <protection locked="0"/>
    </xf>
    <xf numFmtId="42" fontId="1" fillId="0" borderId="0" applyFont="0" applyFill="0" applyBorder="0" applyAlignment="0" applyProtection="0"/>
    <xf numFmtId="0" fontId="1" fillId="0" borderId="0"/>
    <xf numFmtId="0" fontId="51" fillId="0" borderId="0"/>
    <xf numFmtId="0" fontId="1" fillId="0" borderId="0"/>
    <xf numFmtId="0" fontId="52" fillId="0" borderId="0" applyNumberFormat="0" applyFill="0" applyBorder="0" applyAlignment="0" applyProtection="0"/>
    <xf numFmtId="0" fontId="1" fillId="0" borderId="0"/>
    <xf numFmtId="0" fontId="54" fillId="0" borderId="0">
      <alignment vertical="center"/>
    </xf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4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</cellStyleXfs>
  <cellXfs count="567">
    <xf numFmtId="0" fontId="0" fillId="0" borderId="0" xfId="0"/>
    <xf numFmtId="170" fontId="0" fillId="0" borderId="0" xfId="0" applyNumberFormat="1"/>
    <xf numFmtId="0" fontId="0" fillId="0" borderId="0" xfId="0" applyFill="1"/>
    <xf numFmtId="0" fontId="2" fillId="0" borderId="42" xfId="0" applyFont="1" applyBorder="1" applyAlignment="1">
      <alignment horizontal="center" vertical="center"/>
    </xf>
    <xf numFmtId="9" fontId="14" fillId="2" borderId="42" xfId="2" applyFont="1" applyFill="1" applyBorder="1" applyAlignment="1">
      <alignment vertical="center"/>
    </xf>
    <xf numFmtId="9" fontId="15" fillId="2" borderId="42" xfId="2" applyFont="1" applyFill="1" applyBorder="1" applyAlignment="1">
      <alignment horizontal="center" vertical="center"/>
    </xf>
    <xf numFmtId="167" fontId="15" fillId="0" borderId="42" xfId="5" applyFont="1" applyBorder="1"/>
    <xf numFmtId="0" fontId="14" fillId="2" borderId="42" xfId="0" applyFont="1" applyFill="1" applyBorder="1" applyAlignment="1">
      <alignment vertical="center"/>
    </xf>
    <xf numFmtId="0" fontId="15" fillId="2" borderId="42" xfId="0" applyFont="1" applyFill="1" applyBorder="1" applyAlignment="1">
      <alignment horizontal="center" vertical="center"/>
    </xf>
    <xf numFmtId="0" fontId="14" fillId="0" borderId="42" xfId="0" applyFont="1" applyBorder="1" applyAlignment="1">
      <alignment vertical="center"/>
    </xf>
    <xf numFmtId="9" fontId="0" fillId="0" borderId="0" xfId="0" applyNumberFormat="1"/>
    <xf numFmtId="17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14" borderId="43" xfId="0" applyFont="1" applyFill="1" applyBorder="1" applyAlignment="1">
      <alignment horizontal="center" vertical="center" wrapText="1"/>
    </xf>
    <xf numFmtId="0" fontId="17" fillId="14" borderId="47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10" fontId="18" fillId="14" borderId="43" xfId="2" applyNumberFormat="1" applyFont="1" applyFill="1" applyBorder="1" applyAlignment="1">
      <alignment horizontal="center" vertical="center"/>
    </xf>
    <xf numFmtId="9" fontId="18" fillId="14" borderId="43" xfId="2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 wrapText="1"/>
    </xf>
    <xf numFmtId="0" fontId="17" fillId="14" borderId="45" xfId="0" applyFont="1" applyFill="1" applyBorder="1" applyAlignment="1">
      <alignment vertical="center" wrapText="1"/>
    </xf>
    <xf numFmtId="0" fontId="17" fillId="14" borderId="46" xfId="0" applyFont="1" applyFill="1" applyBorder="1" applyAlignment="1">
      <alignment vertical="center" wrapText="1"/>
    </xf>
    <xf numFmtId="0" fontId="16" fillId="0" borderId="44" xfId="0" applyFont="1" applyBorder="1" applyAlignment="1">
      <alignment horizontal="center" vertical="center"/>
    </xf>
    <xf numFmtId="167" fontId="16" fillId="0" borderId="44" xfId="5" applyFont="1" applyBorder="1" applyAlignment="1">
      <alignment horizontal="center" vertical="center"/>
    </xf>
    <xf numFmtId="167" fontId="16" fillId="0" borderId="49" xfId="5" applyFont="1" applyBorder="1" applyAlignment="1">
      <alignment horizontal="center" vertical="center"/>
    </xf>
    <xf numFmtId="167" fontId="16" fillId="0" borderId="50" xfId="5" applyFont="1" applyBorder="1" applyAlignment="1">
      <alignment horizontal="center" vertical="center"/>
    </xf>
    <xf numFmtId="167" fontId="16" fillId="0" borderId="51" xfId="5" applyFont="1" applyBorder="1" applyAlignment="1">
      <alignment horizontal="center" vertical="center"/>
    </xf>
    <xf numFmtId="167" fontId="19" fillId="0" borderId="51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167" fontId="16" fillId="0" borderId="52" xfId="5" applyFont="1" applyBorder="1" applyAlignment="1">
      <alignment horizontal="center" vertical="center"/>
    </xf>
    <xf numFmtId="167" fontId="16" fillId="0" borderId="21" xfId="5" applyFont="1" applyBorder="1" applyAlignment="1">
      <alignment horizontal="center" vertical="center"/>
    </xf>
    <xf numFmtId="167" fontId="16" fillId="0" borderId="1" xfId="5" applyFont="1" applyBorder="1" applyAlignment="1">
      <alignment horizontal="center" vertical="center"/>
    </xf>
    <xf numFmtId="167" fontId="16" fillId="0" borderId="19" xfId="5" applyFont="1" applyBorder="1" applyAlignment="1">
      <alignment horizontal="center" vertical="center"/>
    </xf>
    <xf numFmtId="167" fontId="19" fillId="0" borderId="19" xfId="0" applyNumberFormat="1" applyFont="1" applyBorder="1" applyAlignment="1">
      <alignment horizontal="center" vertical="center"/>
    </xf>
    <xf numFmtId="0" fontId="16" fillId="0" borderId="52" xfId="0" applyFont="1" applyFill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12" borderId="54" xfId="0" applyFont="1" applyFill="1" applyBorder="1" applyAlignment="1">
      <alignment horizontal="center" vertical="center"/>
    </xf>
    <xf numFmtId="167" fontId="16" fillId="12" borderId="54" xfId="5" applyFont="1" applyFill="1" applyBorder="1" applyAlignment="1">
      <alignment horizontal="center" vertical="center"/>
    </xf>
    <xf numFmtId="167" fontId="16" fillId="12" borderId="20" xfId="5" applyFont="1" applyFill="1" applyBorder="1" applyAlignment="1">
      <alignment horizontal="center" vertical="center"/>
    </xf>
    <xf numFmtId="167" fontId="16" fillId="12" borderId="4" xfId="5" applyFont="1" applyFill="1" applyBorder="1" applyAlignment="1">
      <alignment horizontal="center" vertical="center"/>
    </xf>
    <xf numFmtId="167" fontId="16" fillId="12" borderId="55" xfId="5" applyFont="1" applyFill="1" applyBorder="1" applyAlignment="1">
      <alignment horizontal="center" vertical="center"/>
    </xf>
    <xf numFmtId="167" fontId="19" fillId="12" borderId="54" xfId="0" applyNumberFormat="1" applyFont="1" applyFill="1" applyBorder="1" applyAlignment="1">
      <alignment horizontal="center" vertical="center"/>
    </xf>
    <xf numFmtId="0" fontId="16" fillId="12" borderId="53" xfId="0" applyFont="1" applyFill="1" applyBorder="1" applyAlignment="1">
      <alignment horizontal="center" vertical="center"/>
    </xf>
    <xf numFmtId="169" fontId="20" fillId="12" borderId="56" xfId="1" applyNumberFormat="1" applyFont="1" applyFill="1" applyBorder="1"/>
    <xf numFmtId="167" fontId="16" fillId="12" borderId="53" xfId="5" applyNumberFormat="1" applyFont="1" applyFill="1" applyBorder="1" applyAlignment="1">
      <alignment horizontal="center" vertical="center"/>
    </xf>
    <xf numFmtId="167" fontId="16" fillId="12" borderId="9" xfId="5" applyFont="1" applyFill="1" applyBorder="1" applyAlignment="1">
      <alignment horizontal="center" vertical="center"/>
    </xf>
    <xf numFmtId="167" fontId="16" fillId="12" borderId="57" xfId="5" applyFont="1" applyFill="1" applyBorder="1" applyAlignment="1">
      <alignment horizontal="center" vertical="center"/>
    </xf>
    <xf numFmtId="165" fontId="16" fillId="12" borderId="58" xfId="5" applyNumberFormat="1" applyFont="1" applyFill="1" applyBorder="1" applyAlignment="1">
      <alignment horizontal="center" vertical="center"/>
    </xf>
    <xf numFmtId="167" fontId="19" fillId="12" borderId="53" xfId="0" applyNumberFormat="1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167" fontId="18" fillId="14" borderId="2" xfId="5" applyFont="1" applyFill="1" applyBorder="1" applyAlignment="1">
      <alignment vertical="center"/>
    </xf>
    <xf numFmtId="0" fontId="21" fillId="14" borderId="1" xfId="0" applyFont="1" applyFill="1" applyBorder="1" applyAlignment="1">
      <alignment horizontal="center" vertical="center"/>
    </xf>
    <xf numFmtId="42" fontId="18" fillId="14" borderId="22" xfId="0" applyNumberFormat="1" applyFont="1" applyFill="1" applyBorder="1" applyAlignment="1">
      <alignment vertical="center"/>
    </xf>
    <xf numFmtId="0" fontId="21" fillId="14" borderId="9" xfId="0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21" fillId="14" borderId="58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10" fontId="21" fillId="0" borderId="4" xfId="2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0" fontId="21" fillId="0" borderId="55" xfId="2" applyNumberFormat="1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9" fontId="21" fillId="0" borderId="1" xfId="2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0" borderId="19" xfId="2" applyFont="1" applyBorder="1" applyAlignment="1">
      <alignment horizontal="center" vertical="center" wrapText="1"/>
    </xf>
    <xf numFmtId="10" fontId="21" fillId="0" borderId="1" xfId="2" applyNumberFormat="1" applyFont="1" applyBorder="1" applyAlignment="1">
      <alignment horizontal="center" vertical="center" wrapText="1"/>
    </xf>
    <xf numFmtId="10" fontId="21" fillId="0" borderId="19" xfId="2" applyNumberFormat="1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10" fontId="21" fillId="0" borderId="5" xfId="2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9" fontId="21" fillId="0" borderId="63" xfId="2" applyFont="1" applyBorder="1" applyAlignment="1">
      <alignment horizontal="center" vertical="center" wrapText="1"/>
    </xf>
    <xf numFmtId="0" fontId="21" fillId="14" borderId="64" xfId="0" applyFont="1" applyFill="1" applyBorder="1" applyAlignment="1">
      <alignment horizontal="center" vertical="center"/>
    </xf>
    <xf numFmtId="10" fontId="18" fillId="14" borderId="65" xfId="2" applyNumberFormat="1" applyFont="1" applyFill="1" applyBorder="1" applyAlignment="1">
      <alignment horizontal="center" vertical="center"/>
    </xf>
    <xf numFmtId="0" fontId="21" fillId="14" borderId="65" xfId="0" applyFont="1" applyFill="1" applyBorder="1" applyAlignment="1">
      <alignment horizontal="center" vertical="center"/>
    </xf>
    <xf numFmtId="10" fontId="18" fillId="14" borderId="66" xfId="2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" fontId="18" fillId="0" borderId="0" xfId="2" applyNumberFormat="1" applyFont="1" applyFill="1" applyBorder="1" applyAlignment="1">
      <alignment horizontal="center" vertical="center"/>
    </xf>
    <xf numFmtId="1" fontId="18" fillId="14" borderId="49" xfId="2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1" fontId="18" fillId="0" borderId="21" xfId="2" applyNumberFormat="1" applyFont="1" applyFill="1" applyBorder="1" applyAlignment="1">
      <alignment horizontal="center" vertical="center"/>
    </xf>
    <xf numFmtId="1" fontId="18" fillId="0" borderId="1" xfId="2" applyNumberFormat="1" applyFont="1" applyFill="1" applyBorder="1" applyAlignment="1">
      <alignment horizontal="center" vertical="center"/>
    </xf>
    <xf numFmtId="1" fontId="18" fillId="0" borderId="19" xfId="2" applyNumberFormat="1" applyFont="1" applyFill="1" applyBorder="1" applyAlignment="1">
      <alignment horizontal="center" vertical="center"/>
    </xf>
    <xf numFmtId="49" fontId="21" fillId="0" borderId="1" xfId="2" applyNumberFormat="1" applyFont="1" applyFill="1" applyBorder="1" applyAlignment="1">
      <alignment horizontal="center" vertical="center"/>
    </xf>
    <xf numFmtId="1" fontId="21" fillId="0" borderId="19" xfId="2" applyNumberFormat="1" applyFont="1" applyFill="1" applyBorder="1" applyAlignment="1">
      <alignment horizontal="center" vertical="center" wrapText="1"/>
    </xf>
    <xf numFmtId="1" fontId="18" fillId="0" borderId="9" xfId="2" applyNumberFormat="1" applyFont="1" applyFill="1" applyBorder="1" applyAlignment="1">
      <alignment horizontal="center" vertical="center"/>
    </xf>
    <xf numFmtId="49" fontId="21" fillId="0" borderId="57" xfId="2" applyNumberFormat="1" applyFont="1" applyFill="1" applyBorder="1" applyAlignment="1">
      <alignment horizontal="center" vertical="center"/>
    </xf>
    <xf numFmtId="1" fontId="21" fillId="0" borderId="58" xfId="2" applyNumberFormat="1" applyFont="1" applyFill="1" applyBorder="1" applyAlignment="1">
      <alignment horizontal="center" vertical="center" wrapText="1"/>
    </xf>
    <xf numFmtId="0" fontId="21" fillId="14" borderId="49" xfId="0" applyFont="1" applyFill="1" applyBorder="1" applyAlignment="1">
      <alignment horizontal="center" vertical="center"/>
    </xf>
    <xf numFmtId="167" fontId="18" fillId="0" borderId="51" xfId="5" applyFont="1" applyFill="1" applyBorder="1" applyAlignment="1">
      <alignment horizontal="center" vertical="center"/>
    </xf>
    <xf numFmtId="167" fontId="18" fillId="0" borderId="58" xfId="5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14" borderId="64" xfId="0" applyFont="1" applyFill="1" applyBorder="1" applyAlignment="1">
      <alignment horizontal="center" vertical="center" wrapText="1"/>
    </xf>
    <xf numFmtId="0" fontId="16" fillId="14" borderId="65" xfId="0" applyFont="1" applyFill="1" applyBorder="1" applyAlignment="1">
      <alignment horizontal="center" vertical="center"/>
    </xf>
    <xf numFmtId="0" fontId="16" fillId="14" borderId="66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169" fontId="22" fillId="0" borderId="0" xfId="1" applyNumberFormat="1" applyFont="1" applyAlignment="1">
      <alignment horizontal="center" vertical="center"/>
    </xf>
    <xf numFmtId="168" fontId="22" fillId="0" borderId="0" xfId="1" applyFont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/>
    </xf>
    <xf numFmtId="1" fontId="22" fillId="0" borderId="19" xfId="0" applyNumberFormat="1" applyFont="1" applyBorder="1" applyAlignment="1">
      <alignment horizontal="center" vertical="center"/>
    </xf>
    <xf numFmtId="169" fontId="22" fillId="0" borderId="1" xfId="1" applyNumberFormat="1" applyFont="1" applyBorder="1" applyAlignment="1">
      <alignment horizontal="center" vertical="center"/>
    </xf>
    <xf numFmtId="169" fontId="22" fillId="0" borderId="19" xfId="1" applyNumberFormat="1" applyFont="1" applyBorder="1" applyAlignment="1">
      <alignment horizontal="center" vertical="center"/>
    </xf>
    <xf numFmtId="0" fontId="21" fillId="14" borderId="64" xfId="0" applyFont="1" applyFill="1" applyBorder="1" applyAlignment="1">
      <alignment horizontal="center" vertical="center" wrapText="1"/>
    </xf>
    <xf numFmtId="169" fontId="21" fillId="14" borderId="65" xfId="1" applyNumberFormat="1" applyFont="1" applyFill="1" applyBorder="1" applyAlignment="1">
      <alignment horizontal="center" vertical="center"/>
    </xf>
    <xf numFmtId="169" fontId="21" fillId="14" borderId="66" xfId="1" applyNumberFormat="1" applyFont="1" applyFill="1" applyBorder="1" applyAlignment="1">
      <alignment horizontal="center" vertical="center"/>
    </xf>
    <xf numFmtId="0" fontId="27" fillId="15" borderId="5" xfId="24" applyFont="1" applyFill="1" applyBorder="1" applyAlignment="1">
      <alignment horizontal="center" vertical="center"/>
    </xf>
    <xf numFmtId="0" fontId="28" fillId="15" borderId="1" xfId="25" applyFont="1" applyFill="1" applyBorder="1" applyAlignment="1">
      <alignment horizontal="left" vertical="center" wrapText="1"/>
    </xf>
    <xf numFmtId="0" fontId="28" fillId="15" borderId="5" xfId="25" applyFont="1" applyFill="1" applyBorder="1" applyAlignment="1">
      <alignment horizontal="left" vertical="center" wrapText="1"/>
    </xf>
    <xf numFmtId="172" fontId="30" fillId="15" borderId="5" xfId="26" applyNumberFormat="1" applyFont="1" applyFill="1" applyBorder="1" applyAlignment="1">
      <alignment horizontal="center" vertical="center" wrapText="1"/>
    </xf>
    <xf numFmtId="173" fontId="29" fillId="0" borderId="1" xfId="27" applyNumberFormat="1" applyBorder="1" applyAlignment="1"/>
    <xf numFmtId="0" fontId="29" fillId="0" borderId="0" xfId="27"/>
    <xf numFmtId="0" fontId="27" fillId="15" borderId="1" xfId="24" applyFont="1" applyFill="1" applyBorder="1" applyAlignment="1">
      <alignment horizontal="center" vertical="center"/>
    </xf>
    <xf numFmtId="172" fontId="30" fillId="15" borderId="1" xfId="26" applyNumberFormat="1" applyFont="1" applyFill="1" applyBorder="1" applyAlignment="1">
      <alignment horizontal="center" vertical="center" wrapText="1"/>
    </xf>
    <xf numFmtId="0" fontId="27" fillId="15" borderId="14" xfId="2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" xfId="0" applyNumberFormat="1" applyBorder="1"/>
    <xf numFmtId="171" fontId="0" fillId="0" borderId="1" xfId="0" applyNumberFormat="1" applyBorder="1"/>
    <xf numFmtId="10" fontId="0" fillId="0" borderId="0" xfId="0" applyNumberFormat="1"/>
    <xf numFmtId="0" fontId="32" fillId="4" borderId="47" xfId="0" applyFont="1" applyFill="1" applyBorder="1" applyAlignment="1">
      <alignment horizontal="left" vertical="center" wrapText="1"/>
    </xf>
    <xf numFmtId="0" fontId="32" fillId="4" borderId="68" xfId="0" applyFont="1" applyFill="1" applyBorder="1" applyAlignment="1">
      <alignment horizontal="center" vertical="center" wrapText="1"/>
    </xf>
    <xf numFmtId="169" fontId="32" fillId="4" borderId="68" xfId="1" applyNumberFormat="1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 wrapText="1"/>
    </xf>
    <xf numFmtId="0" fontId="33" fillId="2" borderId="69" xfId="3" applyNumberFormat="1" applyFont="1" applyFill="1" applyBorder="1" applyAlignment="1">
      <alignment horizontal="left" vertical="center" wrapText="1"/>
    </xf>
    <xf numFmtId="0" fontId="33" fillId="2" borderId="70" xfId="0" applyFont="1" applyFill="1" applyBorder="1" applyAlignment="1">
      <alignment horizontal="center" vertical="center"/>
    </xf>
    <xf numFmtId="169" fontId="33" fillId="2" borderId="70" xfId="1" applyNumberFormat="1" applyFont="1" applyFill="1" applyBorder="1" applyAlignment="1">
      <alignment horizontal="left" vertical="center"/>
    </xf>
    <xf numFmtId="0" fontId="33" fillId="2" borderId="71" xfId="0" applyFont="1" applyFill="1" applyBorder="1" applyAlignment="1">
      <alignment horizontal="left" vertical="center" wrapText="1"/>
    </xf>
    <xf numFmtId="0" fontId="33" fillId="2" borderId="72" xfId="3" applyNumberFormat="1" applyFont="1" applyFill="1" applyBorder="1" applyAlignment="1">
      <alignment horizontal="left" vertical="center" wrapText="1"/>
    </xf>
    <xf numFmtId="0" fontId="33" fillId="2" borderId="73" xfId="0" applyFont="1" applyFill="1" applyBorder="1" applyAlignment="1">
      <alignment horizontal="center" vertical="center"/>
    </xf>
    <xf numFmtId="169" fontId="33" fillId="2" borderId="73" xfId="1" applyNumberFormat="1" applyFont="1" applyFill="1" applyBorder="1" applyAlignment="1">
      <alignment horizontal="left" vertical="center"/>
    </xf>
    <xf numFmtId="0" fontId="33" fillId="2" borderId="74" xfId="0" applyFont="1" applyFill="1" applyBorder="1" applyAlignment="1">
      <alignment horizontal="left" vertical="center" wrapText="1"/>
    </xf>
    <xf numFmtId="0" fontId="33" fillId="2" borderId="72" xfId="11" applyNumberFormat="1" applyFont="1" applyFill="1" applyBorder="1" applyAlignment="1">
      <alignment horizontal="left" vertical="center" wrapText="1"/>
    </xf>
    <xf numFmtId="0" fontId="33" fillId="2" borderId="69" xfId="11" applyNumberFormat="1" applyFont="1" applyFill="1" applyBorder="1" applyAlignment="1">
      <alignment horizontal="left" vertical="center" wrapText="1"/>
    </xf>
    <xf numFmtId="0" fontId="33" fillId="2" borderId="75" xfId="11" applyNumberFormat="1" applyFont="1" applyFill="1" applyBorder="1" applyAlignment="1">
      <alignment horizontal="left" vertical="center" wrapText="1"/>
    </xf>
    <xf numFmtId="0" fontId="33" fillId="2" borderId="76" xfId="0" applyFont="1" applyFill="1" applyBorder="1" applyAlignment="1">
      <alignment horizontal="center" vertical="center"/>
    </xf>
    <xf numFmtId="169" fontId="33" fillId="2" borderId="76" xfId="1" applyNumberFormat="1" applyFont="1" applyFill="1" applyBorder="1" applyAlignment="1">
      <alignment horizontal="left" vertical="center"/>
    </xf>
    <xf numFmtId="0" fontId="33" fillId="2" borderId="77" xfId="3" applyNumberFormat="1" applyFont="1" applyFill="1" applyBorder="1" applyAlignment="1">
      <alignment horizontal="left" vertical="center" wrapText="1"/>
    </xf>
    <xf numFmtId="0" fontId="33" fillId="2" borderId="69" xfId="0" applyFont="1" applyFill="1" applyBorder="1" applyAlignment="1">
      <alignment horizontal="left" vertical="center" wrapText="1"/>
    </xf>
    <xf numFmtId="0" fontId="33" fillId="2" borderId="72" xfId="0" applyFont="1" applyFill="1" applyBorder="1" applyAlignment="1">
      <alignment horizontal="left" vertical="center" wrapText="1"/>
    </xf>
    <xf numFmtId="0" fontId="33" fillId="2" borderId="69" xfId="11" applyNumberFormat="1" applyFont="1" applyFill="1" applyBorder="1" applyAlignment="1">
      <alignment horizontal="left" vertical="center"/>
    </xf>
    <xf numFmtId="0" fontId="33" fillId="2" borderId="71" xfId="3" applyNumberFormat="1" applyFont="1" applyFill="1" applyBorder="1" applyAlignment="1">
      <alignment horizontal="left" vertical="center" wrapText="1"/>
    </xf>
    <xf numFmtId="0" fontId="33" fillId="2" borderId="72" xfId="11" applyNumberFormat="1" applyFont="1" applyFill="1" applyBorder="1" applyAlignment="1">
      <alignment horizontal="left" vertical="center"/>
    </xf>
    <xf numFmtId="169" fontId="34" fillId="2" borderId="70" xfId="1" applyNumberFormat="1" applyFont="1" applyFill="1" applyBorder="1" applyAlignment="1">
      <alignment horizontal="left" vertical="center"/>
    </xf>
    <xf numFmtId="0" fontId="33" fillId="2" borderId="78" xfId="11" applyNumberFormat="1" applyFont="1" applyFill="1" applyBorder="1" applyAlignment="1">
      <alignment horizontal="left" vertical="center"/>
    </xf>
    <xf numFmtId="0" fontId="33" fillId="2" borderId="79" xfId="0" applyFont="1" applyFill="1" applyBorder="1" applyAlignment="1">
      <alignment horizontal="center" vertical="center"/>
    </xf>
    <xf numFmtId="169" fontId="33" fillId="2" borderId="79" xfId="1" applyNumberFormat="1" applyFont="1" applyFill="1" applyBorder="1" applyAlignment="1">
      <alignment horizontal="left" vertical="center"/>
    </xf>
    <xf numFmtId="0" fontId="33" fillId="2" borderId="80" xfId="3" applyNumberFormat="1" applyFont="1" applyFill="1" applyBorder="1" applyAlignment="1">
      <alignment horizontal="left" vertical="center" wrapText="1"/>
    </xf>
    <xf numFmtId="0" fontId="33" fillId="2" borderId="74" xfId="3" applyNumberFormat="1" applyFont="1" applyFill="1" applyBorder="1" applyAlignment="1">
      <alignment horizontal="left" vertical="center" wrapText="1"/>
    </xf>
    <xf numFmtId="0" fontId="33" fillId="2" borderId="81" xfId="11" applyNumberFormat="1" applyFont="1" applyFill="1" applyBorder="1" applyAlignment="1">
      <alignment horizontal="left" vertical="center"/>
    </xf>
    <xf numFmtId="0" fontId="33" fillId="2" borderId="82" xfId="0" applyFont="1" applyFill="1" applyBorder="1" applyAlignment="1">
      <alignment horizontal="center" vertical="center"/>
    </xf>
    <xf numFmtId="169" fontId="33" fillId="2" borderId="82" xfId="1" applyNumberFormat="1" applyFont="1" applyFill="1" applyBorder="1" applyAlignment="1">
      <alignment horizontal="left" vertical="center"/>
    </xf>
    <xf numFmtId="0" fontId="33" fillId="2" borderId="83" xfId="0" applyFont="1" applyFill="1" applyBorder="1" applyAlignment="1">
      <alignment horizontal="left" vertical="center" wrapText="1"/>
    </xf>
    <xf numFmtId="0" fontId="34" fillId="2" borderId="69" xfId="11" applyNumberFormat="1" applyFont="1" applyFill="1" applyBorder="1" applyAlignment="1">
      <alignment horizontal="left" vertical="center"/>
    </xf>
    <xf numFmtId="0" fontId="34" fillId="2" borderId="70" xfId="0" applyFont="1" applyFill="1" applyBorder="1" applyAlignment="1">
      <alignment horizontal="center" vertical="center"/>
    </xf>
    <xf numFmtId="0" fontId="34" fillId="2" borderId="71" xfId="0" applyFont="1" applyFill="1" applyBorder="1" applyAlignment="1">
      <alignment horizontal="left" vertical="center" wrapText="1"/>
    </xf>
    <xf numFmtId="0" fontId="33" fillId="2" borderId="81" xfId="3" applyNumberFormat="1" applyFont="1" applyFill="1" applyBorder="1" applyAlignment="1">
      <alignment horizontal="left" vertical="center" wrapText="1"/>
    </xf>
    <xf numFmtId="0" fontId="0" fillId="0" borderId="34" xfId="0" applyBorder="1"/>
    <xf numFmtId="0" fontId="0" fillId="0" borderId="17" xfId="0" applyBorder="1"/>
    <xf numFmtId="0" fontId="0" fillId="0" borderId="3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33" xfId="0" applyBorder="1"/>
    <xf numFmtId="0" fontId="2" fillId="0" borderId="9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4" xfId="0" applyBorder="1" applyAlignment="1">
      <alignment horizontal="center" vertical="center"/>
    </xf>
    <xf numFmtId="167" fontId="0" fillId="0" borderId="4" xfId="5" applyFont="1" applyBorder="1" applyAlignment="1">
      <alignment vertical="center"/>
    </xf>
    <xf numFmtId="167" fontId="0" fillId="0" borderId="55" xfId="0" applyNumberFormat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1" xfId="0" applyBorder="1" applyAlignment="1">
      <alignment horizontal="center" vertical="center"/>
    </xf>
    <xf numFmtId="167" fontId="0" fillId="0" borderId="1" xfId="5" applyFont="1" applyBorder="1" applyAlignment="1">
      <alignment vertical="center"/>
    </xf>
    <xf numFmtId="167" fontId="0" fillId="0" borderId="19" xfId="0" applyNumberFormat="1" applyBorder="1" applyAlignment="1">
      <alignment horizontal="center" vertical="center"/>
    </xf>
    <xf numFmtId="0" fontId="36" fillId="0" borderId="0" xfId="28" applyFont="1" applyBorder="1"/>
    <xf numFmtId="0" fontId="36" fillId="0" borderId="0" xfId="28" applyFont="1"/>
    <xf numFmtId="0" fontId="37" fillId="0" borderId="0" xfId="28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horizontal="center" vertical="center"/>
    </xf>
    <xf numFmtId="167" fontId="0" fillId="0" borderId="0" xfId="5" applyFont="1" applyBorder="1" applyAlignment="1">
      <alignment vertical="center"/>
    </xf>
    <xf numFmtId="167" fontId="0" fillId="0" borderId="8" xfId="0" applyNumberFormat="1" applyBorder="1" applyAlignment="1">
      <alignment horizontal="center" vertical="center"/>
    </xf>
    <xf numFmtId="0" fontId="40" fillId="0" borderId="0" xfId="0" applyFont="1" applyProtection="1"/>
    <xf numFmtId="0" fontId="41" fillId="17" borderId="84" xfId="0" applyFont="1" applyFill="1" applyBorder="1" applyAlignment="1" applyProtection="1">
      <alignment horizontal="centerContinuous"/>
    </xf>
    <xf numFmtId="0" fontId="42" fillId="0" borderId="84" xfId="0" applyFont="1" applyBorder="1" applyAlignment="1" applyProtection="1">
      <alignment vertical="center"/>
    </xf>
    <xf numFmtId="0" fontId="31" fillId="0" borderId="0" xfId="0" applyFont="1" applyProtection="1"/>
    <xf numFmtId="0" fontId="41" fillId="17" borderId="50" xfId="0" applyFont="1" applyFill="1" applyBorder="1" applyAlignment="1" applyProtection="1">
      <alignment horizontal="centerContinuous"/>
    </xf>
    <xf numFmtId="0" fontId="41" fillId="17" borderId="61" xfId="0" applyFont="1" applyFill="1" applyBorder="1" applyAlignment="1" applyProtection="1">
      <alignment horizontal="center"/>
    </xf>
    <xf numFmtId="175" fontId="31" fillId="0" borderId="1" xfId="0" applyNumberFormat="1" applyFont="1" applyBorder="1" applyAlignment="1" applyProtection="1">
      <alignment horizontal="center" vertical="center"/>
    </xf>
    <xf numFmtId="175" fontId="31" fillId="0" borderId="22" xfId="0" applyNumberFormat="1" applyFont="1" applyBorder="1" applyAlignment="1" applyProtection="1">
      <alignment horizontal="center" vertical="center"/>
    </xf>
    <xf numFmtId="0" fontId="41" fillId="17" borderId="1" xfId="0" applyFont="1" applyFill="1" applyBorder="1" applyAlignment="1" applyProtection="1">
      <alignment horizontal="center"/>
    </xf>
    <xf numFmtId="0" fontId="41" fillId="17" borderId="22" xfId="0" applyFont="1" applyFill="1" applyBorder="1" applyAlignment="1" applyProtection="1">
      <alignment horizontal="center"/>
    </xf>
    <xf numFmtId="9" fontId="31" fillId="0" borderId="57" xfId="2" applyFont="1" applyBorder="1" applyAlignment="1" applyProtection="1">
      <alignment horizontal="center" vertical="center"/>
    </xf>
    <xf numFmtId="0" fontId="31" fillId="0" borderId="58" xfId="0" applyFont="1" applyBorder="1" applyAlignment="1" applyProtection="1">
      <alignment horizontal="center" vertical="center"/>
      <protection locked="0" hidden="1"/>
    </xf>
    <xf numFmtId="0" fontId="41" fillId="17" borderId="15" xfId="0" applyFont="1" applyFill="1" applyBorder="1" applyAlignment="1" applyProtection="1">
      <alignment horizontal="center"/>
    </xf>
    <xf numFmtId="0" fontId="41" fillId="17" borderId="45" xfId="0" applyFont="1" applyFill="1" applyBorder="1" applyAlignment="1" applyProtection="1">
      <alignment horizontal="center"/>
    </xf>
    <xf numFmtId="0" fontId="41" fillId="17" borderId="16" xfId="0" applyFont="1" applyFill="1" applyBorder="1" applyAlignment="1" applyProtection="1">
      <alignment horizontal="center"/>
    </xf>
    <xf numFmtId="0" fontId="44" fillId="0" borderId="49" xfId="0" applyFont="1" applyBorder="1" applyAlignment="1">
      <alignment vertical="center"/>
    </xf>
    <xf numFmtId="49" fontId="45" fillId="0" borderId="50" xfId="0" applyNumberFormat="1" applyFont="1" applyBorder="1" applyAlignment="1" applyProtection="1">
      <alignment horizontal="center"/>
      <protection locked="0"/>
    </xf>
    <xf numFmtId="167" fontId="44" fillId="0" borderId="50" xfId="5" applyFont="1" applyBorder="1" applyAlignment="1">
      <alignment vertical="center" wrapText="1"/>
    </xf>
    <xf numFmtId="3" fontId="44" fillId="0" borderId="50" xfId="0" applyNumberFormat="1" applyFont="1" applyBorder="1" applyAlignment="1">
      <alignment vertical="center" wrapText="1"/>
    </xf>
    <xf numFmtId="0" fontId="44" fillId="0" borderId="21" xfId="0" applyFont="1" applyBorder="1" applyAlignment="1">
      <alignment vertical="center"/>
    </xf>
    <xf numFmtId="49" fontId="45" fillId="0" borderId="1" xfId="0" applyNumberFormat="1" applyFont="1" applyBorder="1" applyAlignment="1" applyProtection="1">
      <alignment horizontal="center"/>
      <protection locked="0"/>
    </xf>
    <xf numFmtId="167" fontId="44" fillId="0" borderId="1" xfId="5" applyFont="1" applyBorder="1" applyAlignment="1">
      <alignment vertical="center" wrapText="1"/>
    </xf>
    <xf numFmtId="3" fontId="44" fillId="0" borderId="1" xfId="0" applyNumberFormat="1" applyFont="1" applyBorder="1" applyAlignment="1">
      <alignment vertical="center" wrapText="1"/>
    </xf>
    <xf numFmtId="0" fontId="44" fillId="0" borderId="9" xfId="0" applyFont="1" applyBorder="1" applyAlignment="1">
      <alignment vertical="center"/>
    </xf>
    <xf numFmtId="49" fontId="45" fillId="0" borderId="57" xfId="0" applyNumberFormat="1" applyFont="1" applyBorder="1" applyAlignment="1" applyProtection="1">
      <alignment horizontal="center"/>
      <protection locked="0"/>
    </xf>
    <xf numFmtId="167" fontId="44" fillId="0" borderId="57" xfId="5" applyFont="1" applyBorder="1" applyAlignment="1">
      <alignment vertical="center" wrapText="1"/>
    </xf>
    <xf numFmtId="3" fontId="44" fillId="0" borderId="57" xfId="0" applyNumberFormat="1" applyFont="1" applyBorder="1" applyAlignment="1">
      <alignment vertical="center" wrapText="1"/>
    </xf>
    <xf numFmtId="167" fontId="44" fillId="0" borderId="58" xfId="5" applyFont="1" applyBorder="1" applyAlignment="1">
      <alignment vertical="center" wrapText="1"/>
    </xf>
    <xf numFmtId="0" fontId="0" fillId="0" borderId="20" xfId="0" applyBorder="1" applyAlignment="1">
      <alignment horizontal="center"/>
    </xf>
    <xf numFmtId="49" fontId="46" fillId="0" borderId="4" xfId="0" applyNumberFormat="1" applyFont="1" applyFill="1" applyBorder="1" applyAlignment="1" applyProtection="1">
      <alignment horizontal="center"/>
      <protection locked="0"/>
    </xf>
    <xf numFmtId="1" fontId="46" fillId="0" borderId="4" xfId="0" applyNumberFormat="1" applyFont="1" applyFill="1" applyBorder="1" applyAlignment="1" applyProtection="1">
      <alignment horizontal="center"/>
      <protection locked="0"/>
    </xf>
    <xf numFmtId="176" fontId="47" fillId="0" borderId="55" xfId="0" applyNumberFormat="1" applyFont="1" applyBorder="1" applyAlignment="1">
      <alignment horizontal="right"/>
    </xf>
    <xf numFmtId="9" fontId="46" fillId="0" borderId="4" xfId="2" applyFont="1" applyFill="1" applyBorder="1" applyAlignment="1" applyProtection="1">
      <alignment horizontal="center"/>
      <protection locked="0"/>
    </xf>
    <xf numFmtId="176" fontId="46" fillId="0" borderId="4" xfId="2" applyNumberFormat="1" applyFont="1" applyFill="1" applyBorder="1" applyAlignment="1" applyProtection="1">
      <alignment horizontal="center"/>
      <protection locked="0"/>
    </xf>
    <xf numFmtId="0" fontId="0" fillId="0" borderId="21" xfId="0" applyBorder="1" applyAlignment="1">
      <alignment horizontal="center"/>
    </xf>
    <xf numFmtId="49" fontId="46" fillId="0" borderId="1" xfId="0" applyNumberFormat="1" applyFont="1" applyFill="1" applyBorder="1" applyAlignment="1" applyProtection="1">
      <alignment horizontal="center"/>
      <protection locked="0"/>
    </xf>
    <xf numFmtId="1" fontId="46" fillId="0" borderId="1" xfId="0" applyNumberFormat="1" applyFont="1" applyFill="1" applyBorder="1" applyAlignment="1" applyProtection="1">
      <alignment horizontal="center"/>
      <protection locked="0"/>
    </xf>
    <xf numFmtId="9" fontId="47" fillId="0" borderId="1" xfId="2" applyFont="1" applyFill="1" applyBorder="1" applyAlignment="1" applyProtection="1">
      <alignment horizontal="center"/>
      <protection locked="0"/>
    </xf>
    <xf numFmtId="176" fontId="47" fillId="0" borderId="19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57" xfId="0" applyFill="1" applyBorder="1"/>
    <xf numFmtId="1" fontId="46" fillId="0" borderId="57" xfId="0" applyNumberFormat="1" applyFont="1" applyFill="1" applyBorder="1" applyAlignment="1" applyProtection="1">
      <alignment horizontal="center"/>
      <protection locked="0"/>
    </xf>
    <xf numFmtId="176" fontId="46" fillId="0" borderId="58" xfId="0" applyNumberFormat="1" applyFont="1" applyBorder="1" applyAlignment="1">
      <alignment horizontal="right"/>
    </xf>
    <xf numFmtId="0" fontId="41" fillId="0" borderId="50" xfId="0" applyFont="1" applyBorder="1" applyAlignment="1" applyProtection="1">
      <alignment horizontal="center"/>
    </xf>
    <xf numFmtId="164" fontId="41" fillId="0" borderId="51" xfId="1" applyNumberFormat="1" applyFont="1" applyBorder="1" applyAlignment="1" applyProtection="1">
      <alignment horizontal="right"/>
    </xf>
    <xf numFmtId="9" fontId="41" fillId="0" borderId="57" xfId="2" applyFont="1" applyFill="1" applyBorder="1" applyAlignment="1" applyProtection="1">
      <alignment horizontal="left"/>
    </xf>
    <xf numFmtId="177" fontId="41" fillId="0" borderId="58" xfId="0" applyNumberFormat="1" applyFont="1" applyBorder="1" applyAlignment="1" applyProtection="1">
      <alignment horizontal="right"/>
    </xf>
    <xf numFmtId="167" fontId="0" fillId="0" borderId="0" xfId="0" applyNumberFormat="1"/>
    <xf numFmtId="0" fontId="48" fillId="0" borderId="0" xfId="0" applyFont="1" applyAlignment="1">
      <alignment horizontal="center" vertical="center" wrapText="1"/>
    </xf>
    <xf numFmtId="42" fontId="48" fillId="0" borderId="0" xfId="30" applyFont="1" applyAlignment="1">
      <alignment horizontal="center" vertical="center" wrapText="1"/>
    </xf>
    <xf numFmtId="0" fontId="49" fillId="0" borderId="59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9" fillId="0" borderId="92" xfId="0" applyFont="1" applyBorder="1" applyAlignment="1">
      <alignment horizontal="center" vertical="center" wrapText="1"/>
    </xf>
    <xf numFmtId="0" fontId="49" fillId="0" borderId="62" xfId="0" applyFont="1" applyBorder="1" applyAlignment="1">
      <alignment horizontal="center" vertical="center" wrapText="1"/>
    </xf>
    <xf numFmtId="42" fontId="49" fillId="0" borderId="5" xfId="30" applyFont="1" applyBorder="1" applyAlignment="1">
      <alignment horizontal="center" vertical="center" wrapText="1"/>
    </xf>
    <xf numFmtId="42" fontId="49" fillId="0" borderId="63" xfId="30" applyFont="1" applyBorder="1" applyAlignment="1">
      <alignment horizontal="center" vertical="center" wrapText="1"/>
    </xf>
    <xf numFmtId="0" fontId="48" fillId="0" borderId="59" xfId="0" applyFont="1" applyBorder="1" applyAlignment="1">
      <alignment horizontal="left" vertical="center" wrapText="1"/>
    </xf>
    <xf numFmtId="0" fontId="48" fillId="0" borderId="49" xfId="0" applyFont="1" applyBorder="1" applyAlignment="1">
      <alignment horizontal="center" vertical="center" wrapText="1"/>
    </xf>
    <xf numFmtId="42" fontId="48" fillId="0" borderId="50" xfId="30" applyFont="1" applyBorder="1" applyAlignment="1">
      <alignment horizontal="center" vertical="center" wrapText="1"/>
    </xf>
    <xf numFmtId="42" fontId="48" fillId="0" borderId="51" xfId="30" applyFont="1" applyBorder="1" applyAlignment="1">
      <alignment horizontal="center" vertical="center" wrapText="1"/>
    </xf>
    <xf numFmtId="42" fontId="48" fillId="0" borderId="1" xfId="30" applyFont="1" applyBorder="1" applyAlignment="1">
      <alignment horizontal="center" vertical="center" wrapText="1"/>
    </xf>
    <xf numFmtId="0" fontId="48" fillId="0" borderId="87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42" fontId="48" fillId="0" borderId="86" xfId="30" applyFont="1" applyBorder="1" applyAlignment="1">
      <alignment horizontal="center" vertical="center" wrapText="1"/>
    </xf>
    <xf numFmtId="0" fontId="48" fillId="0" borderId="52" xfId="0" applyFont="1" applyBorder="1" applyAlignment="1">
      <alignment horizontal="center" vertical="center" wrapText="1"/>
    </xf>
    <xf numFmtId="0" fontId="48" fillId="0" borderId="88" xfId="0" applyFont="1" applyBorder="1" applyAlignment="1">
      <alignment horizontal="left" vertical="center" wrapText="1"/>
    </xf>
    <xf numFmtId="0" fontId="48" fillId="0" borderId="21" xfId="0" applyFont="1" applyBorder="1" applyAlignment="1">
      <alignment horizontal="center" vertical="center" wrapText="1"/>
    </xf>
    <xf numFmtId="42" fontId="48" fillId="0" borderId="19" xfId="30" applyFont="1" applyBorder="1" applyAlignment="1">
      <alignment horizontal="center" vertical="center" wrapText="1"/>
    </xf>
    <xf numFmtId="0" fontId="48" fillId="0" borderId="84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42" fontId="48" fillId="0" borderId="2" xfId="30" applyFont="1" applyBorder="1" applyAlignment="1">
      <alignment horizontal="center" vertical="center" wrapText="1"/>
    </xf>
    <xf numFmtId="0" fontId="48" fillId="18" borderId="88" xfId="0" applyFont="1" applyFill="1" applyBorder="1" applyAlignment="1">
      <alignment horizontal="center" vertical="center" wrapText="1"/>
    </xf>
    <xf numFmtId="0" fontId="48" fillId="18" borderId="88" xfId="0" applyFont="1" applyFill="1" applyBorder="1" applyAlignment="1">
      <alignment horizontal="left" vertical="center" wrapText="1"/>
    </xf>
    <xf numFmtId="0" fontId="48" fillId="13" borderId="88" xfId="0" applyFont="1" applyFill="1" applyBorder="1" applyAlignment="1">
      <alignment horizontal="left" vertical="center" wrapText="1"/>
    </xf>
    <xf numFmtId="0" fontId="48" fillId="19" borderId="88" xfId="0" applyFont="1" applyFill="1" applyBorder="1" applyAlignment="1">
      <alignment horizontal="left" vertical="center" wrapText="1"/>
    </xf>
    <xf numFmtId="0" fontId="48" fillId="20" borderId="88" xfId="0" applyFont="1" applyFill="1" applyBorder="1" applyAlignment="1">
      <alignment horizontal="left" vertical="center" wrapText="1"/>
    </xf>
    <xf numFmtId="0" fontId="48" fillId="19" borderId="7" xfId="0" applyFont="1" applyFill="1" applyBorder="1" applyAlignment="1">
      <alignment horizontal="left" vertical="center" wrapText="1"/>
    </xf>
    <xf numFmtId="0" fontId="48" fillId="0" borderId="18" xfId="0" applyFont="1" applyBorder="1" applyAlignment="1">
      <alignment horizontal="center" vertical="center" wrapText="1"/>
    </xf>
    <xf numFmtId="42" fontId="48" fillId="0" borderId="94" xfId="30" applyFont="1" applyBorder="1" applyAlignment="1">
      <alignment horizontal="center" vertical="center" wrapText="1"/>
    </xf>
    <xf numFmtId="42" fontId="48" fillId="0" borderId="95" xfId="30" applyFont="1" applyBorder="1" applyAlignment="1">
      <alignment horizontal="center" vertical="center" wrapText="1"/>
    </xf>
    <xf numFmtId="0" fontId="48" fillId="0" borderId="96" xfId="0" applyFont="1" applyBorder="1" applyAlignment="1">
      <alignment horizontal="center" vertical="center" wrapText="1"/>
    </xf>
    <xf numFmtId="0" fontId="48" fillId="0" borderId="94" xfId="0" applyFont="1" applyBorder="1" applyAlignment="1">
      <alignment horizontal="center" vertical="center" wrapText="1"/>
    </xf>
    <xf numFmtId="42" fontId="48" fillId="0" borderId="13" xfId="30" applyFont="1" applyBorder="1" applyAlignment="1">
      <alignment horizontal="center" vertical="center" wrapText="1"/>
    </xf>
    <xf numFmtId="0" fontId="48" fillId="0" borderId="97" xfId="0" applyFont="1" applyBorder="1" applyAlignment="1">
      <alignment horizontal="center" vertical="center" wrapText="1"/>
    </xf>
    <xf numFmtId="0" fontId="48" fillId="19" borderId="92" xfId="0" applyFont="1" applyFill="1" applyBorder="1" applyAlignment="1">
      <alignment horizontal="left" vertical="center" wrapText="1"/>
    </xf>
    <xf numFmtId="0" fontId="48" fillId="0" borderId="62" xfId="0" applyFont="1" applyBorder="1" applyAlignment="1">
      <alignment horizontal="center" vertical="center" wrapText="1"/>
    </xf>
    <xf numFmtId="42" fontId="48" fillId="0" borderId="5" xfId="30" applyFont="1" applyBorder="1" applyAlignment="1">
      <alignment horizontal="center" vertical="center" wrapText="1"/>
    </xf>
    <xf numFmtId="42" fontId="48" fillId="0" borderId="63" xfId="30" applyFont="1" applyBorder="1" applyAlignment="1">
      <alignment horizontal="center" vertical="center" wrapText="1"/>
    </xf>
    <xf numFmtId="0" fontId="48" fillId="0" borderId="98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42" fontId="48" fillId="0" borderId="99" xfId="3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19" borderId="100" xfId="0" applyFont="1" applyFill="1" applyBorder="1" applyAlignment="1">
      <alignment horizontal="left" vertical="center" wrapText="1"/>
    </xf>
    <xf numFmtId="0" fontId="48" fillId="0" borderId="9" xfId="0" applyFont="1" applyBorder="1" applyAlignment="1">
      <alignment horizontal="center" vertical="center" wrapText="1"/>
    </xf>
    <xf numFmtId="42" fontId="48" fillId="0" borderId="57" xfId="30" applyFont="1" applyBorder="1" applyAlignment="1">
      <alignment horizontal="center" vertical="center" wrapText="1"/>
    </xf>
    <xf numFmtId="42" fontId="48" fillId="0" borderId="58" xfId="30" applyFont="1" applyBorder="1" applyAlignment="1">
      <alignment horizontal="center" vertical="center" wrapText="1"/>
    </xf>
    <xf numFmtId="0" fontId="48" fillId="0" borderId="90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 wrapText="1"/>
    </xf>
    <xf numFmtId="42" fontId="48" fillId="0" borderId="23" xfId="30" applyFont="1" applyBorder="1" applyAlignment="1">
      <alignment horizontal="center" vertical="center" wrapText="1"/>
    </xf>
    <xf numFmtId="0" fontId="48" fillId="0" borderId="53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42" fontId="48" fillId="16" borderId="19" xfId="30" applyFont="1" applyFill="1" applyBorder="1" applyAlignment="1">
      <alignment horizontal="center" vertical="center" wrapText="1"/>
    </xf>
    <xf numFmtId="44" fontId="0" fillId="0" borderId="0" xfId="0" applyNumberFormat="1"/>
    <xf numFmtId="44" fontId="35" fillId="0" borderId="0" xfId="0" applyNumberFormat="1" applyFont="1"/>
    <xf numFmtId="0" fontId="30" fillId="0" borderId="4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41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0" fontId="30" fillId="18" borderId="0" xfId="0" applyFont="1" applyFill="1" applyBorder="1" applyAlignment="1">
      <alignment vertical="center"/>
    </xf>
    <xf numFmtId="169" fontId="0" fillId="0" borderId="0" xfId="1" applyNumberFormat="1" applyFont="1"/>
    <xf numFmtId="0" fontId="2" fillId="0" borderId="0" xfId="0" applyFont="1"/>
    <xf numFmtId="0" fontId="0" fillId="0" borderId="1" xfId="0" applyFont="1" applyFill="1" applyBorder="1" applyAlignment="1">
      <alignment vertical="center" wrapText="1"/>
    </xf>
    <xf numFmtId="0" fontId="53" fillId="21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4" fillId="0" borderId="1" xfId="0" applyFont="1" applyBorder="1"/>
    <xf numFmtId="0" fontId="2" fillId="0" borderId="1" xfId="0" applyFont="1" applyFill="1" applyBorder="1" applyAlignment="1">
      <alignment vertical="center" wrapText="1"/>
    </xf>
    <xf numFmtId="0" fontId="0" fillId="0" borderId="0" xfId="0"/>
    <xf numFmtId="169" fontId="0" fillId="0" borderId="0" xfId="1" applyNumberFormat="1" applyFont="1"/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vertical="center"/>
    </xf>
    <xf numFmtId="0" fontId="0" fillId="4" borderId="31" xfId="0" applyFont="1" applyFill="1" applyBorder="1" applyAlignment="1">
      <alignment vertical="center"/>
    </xf>
    <xf numFmtId="0" fontId="2" fillId="4" borderId="31" xfId="0" applyFont="1" applyFill="1" applyBorder="1" applyAlignment="1">
      <alignment horizontal="center" vertical="center"/>
    </xf>
    <xf numFmtId="169" fontId="0" fillId="4" borderId="32" xfId="1" applyNumberFormat="1" applyFont="1" applyFill="1" applyBorder="1" applyAlignment="1">
      <alignment vertical="center"/>
    </xf>
    <xf numFmtId="0" fontId="55" fillId="2" borderId="39" xfId="0" applyNumberFormat="1" applyFont="1" applyFill="1" applyBorder="1" applyAlignment="1">
      <alignment horizontal="center" vertical="center"/>
    </xf>
    <xf numFmtId="0" fontId="55" fillId="2" borderId="30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169" fontId="0" fillId="2" borderId="40" xfId="1" applyNumberFormat="1" applyFont="1" applyFill="1" applyBorder="1" applyAlignment="1">
      <alignment vertical="center"/>
    </xf>
    <xf numFmtId="0" fontId="0" fillId="0" borderId="39" xfId="0" applyFont="1" applyBorder="1" applyAlignment="1">
      <alignment horizontal="center" vertical="center"/>
    </xf>
    <xf numFmtId="0" fontId="0" fillId="0" borderId="30" xfId="0" applyFont="1" applyFill="1" applyBorder="1" applyAlignment="1">
      <alignment vertical="center" wrapText="1"/>
    </xf>
    <xf numFmtId="9" fontId="0" fillId="2" borderId="30" xfId="2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67" fontId="0" fillId="12" borderId="30" xfId="5" applyFont="1" applyFill="1" applyBorder="1" applyAlignment="1">
      <alignment vertical="center"/>
    </xf>
    <xf numFmtId="169" fontId="0" fillId="12" borderId="40" xfId="1" applyNumberFormat="1" applyFont="1" applyFill="1" applyBorder="1" applyAlignment="1">
      <alignment vertical="center"/>
    </xf>
    <xf numFmtId="169" fontId="0" fillId="12" borderId="103" xfId="1" applyNumberFormat="1" applyFont="1" applyFill="1" applyBorder="1" applyAlignment="1">
      <alignment vertical="center"/>
    </xf>
    <xf numFmtId="167" fontId="2" fillId="12" borderId="104" xfId="5" applyFont="1" applyFill="1" applyBorder="1" applyAlignment="1">
      <alignment horizontal="center" vertical="center"/>
    </xf>
    <xf numFmtId="169" fontId="2" fillId="12" borderId="105" xfId="1" applyNumberFormat="1" applyFont="1" applyFill="1" applyBorder="1" applyAlignment="1">
      <alignment vertical="center"/>
    </xf>
    <xf numFmtId="0" fontId="2" fillId="2" borderId="30" xfId="0" applyFont="1" applyFill="1" applyBorder="1" applyAlignment="1">
      <alignment horizontal="center" vertical="center"/>
    </xf>
    <xf numFmtId="169" fontId="2" fillId="2" borderId="40" xfId="1" applyNumberFormat="1" applyFont="1" applyFill="1" applyBorder="1" applyAlignment="1">
      <alignment horizontal="center" vertical="center"/>
    </xf>
    <xf numFmtId="0" fontId="0" fillId="0" borderId="39" xfId="0" quotePrefix="1" applyFont="1" applyBorder="1" applyAlignment="1">
      <alignment horizontal="center" vertical="center"/>
    </xf>
    <xf numFmtId="9" fontId="0" fillId="0" borderId="30" xfId="2" applyFont="1" applyBorder="1" applyAlignment="1">
      <alignment horizontal="center" vertical="center"/>
    </xf>
    <xf numFmtId="0" fontId="0" fillId="3" borderId="39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 wrapText="1"/>
    </xf>
    <xf numFmtId="1" fontId="0" fillId="3" borderId="30" xfId="0" applyNumberFormat="1" applyFont="1" applyFill="1" applyBorder="1" applyAlignment="1">
      <alignment horizontal="center" vertical="center"/>
    </xf>
    <xf numFmtId="169" fontId="2" fillId="3" borderId="40" xfId="1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vertical="center"/>
    </xf>
    <xf numFmtId="169" fontId="2" fillId="2" borderId="40" xfId="1" applyNumberFormat="1" applyFont="1" applyFill="1" applyBorder="1" applyAlignment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69" fontId="0" fillId="0" borderId="40" xfId="1" applyNumberFormat="1" applyFont="1" applyFill="1" applyBorder="1" applyAlignment="1">
      <alignment vertical="center"/>
    </xf>
    <xf numFmtId="174" fontId="0" fillId="12" borderId="30" xfId="5" applyNumberFormat="1" applyFont="1" applyFill="1" applyBorder="1" applyAlignment="1">
      <alignment vertical="center"/>
    </xf>
    <xf numFmtId="44" fontId="0" fillId="12" borderId="40" xfId="1" applyNumberFormat="1" applyFont="1" applyFill="1" applyBorder="1" applyAlignment="1">
      <alignment vertical="center"/>
    </xf>
    <xf numFmtId="0" fontId="2" fillId="3" borderId="30" xfId="0" applyFont="1" applyFill="1" applyBorder="1" applyAlignment="1">
      <alignment horizontal="center" vertical="center"/>
    </xf>
    <xf numFmtId="9" fontId="2" fillId="2" borderId="30" xfId="2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55" fillId="2" borderId="39" xfId="0" applyFont="1" applyFill="1" applyBorder="1" applyAlignment="1">
      <alignment horizontal="center" vertical="center"/>
    </xf>
    <xf numFmtId="9" fontId="0" fillId="2" borderId="39" xfId="2" applyFont="1" applyFill="1" applyBorder="1" applyAlignment="1">
      <alignment horizontal="center" vertical="center"/>
    </xf>
    <xf numFmtId="0" fontId="0" fillId="0" borderId="30" xfId="0" applyFont="1" applyBorder="1"/>
    <xf numFmtId="1" fontId="0" fillId="2" borderId="30" xfId="2" applyNumberFormat="1" applyFont="1" applyFill="1" applyBorder="1" applyAlignment="1">
      <alignment horizontal="center" vertical="center"/>
    </xf>
    <xf numFmtId="167" fontId="0" fillId="0" borderId="30" xfId="5" applyFont="1" applyFill="1" applyBorder="1" applyAlignment="1">
      <alignment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vertical="center"/>
    </xf>
    <xf numFmtId="0" fontId="0" fillId="4" borderId="30" xfId="0" applyFont="1" applyFill="1" applyBorder="1" applyAlignment="1">
      <alignment vertical="center"/>
    </xf>
    <xf numFmtId="169" fontId="0" fillId="4" borderId="40" xfId="1" applyNumberFormat="1" applyFont="1" applyFill="1" applyBorder="1" applyAlignment="1">
      <alignment vertical="center"/>
    </xf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167" fontId="0" fillId="2" borderId="30" xfId="5" applyFont="1" applyFill="1" applyBorder="1" applyAlignment="1">
      <alignment vertical="center"/>
    </xf>
    <xf numFmtId="9" fontId="30" fillId="0" borderId="30" xfId="2" applyFont="1" applyBorder="1" applyAlignment="1">
      <alignment vertical="center" wrapText="1"/>
    </xf>
    <xf numFmtId="0" fontId="0" fillId="2" borderId="39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vertical="center"/>
    </xf>
    <xf numFmtId="0" fontId="56" fillId="2" borderId="39" xfId="0" applyFont="1" applyFill="1" applyBorder="1" applyAlignment="1">
      <alignment horizontal="center" vertical="center"/>
    </xf>
    <xf numFmtId="0" fontId="56" fillId="2" borderId="3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1" fontId="0" fillId="2" borderId="30" xfId="2" applyNumberFormat="1" applyFont="1" applyFill="1" applyBorder="1" applyAlignment="1">
      <alignment horizontal="center" vertical="center" wrapText="1"/>
    </xf>
    <xf numFmtId="169" fontId="0" fillId="2" borderId="40" xfId="1" applyNumberFormat="1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center" vertical="center"/>
    </xf>
    <xf numFmtId="0" fontId="2" fillId="2" borderId="102" xfId="0" applyFont="1" applyFill="1" applyBorder="1" applyAlignment="1">
      <alignment vertical="center"/>
    </xf>
    <xf numFmtId="0" fontId="0" fillId="2" borderId="102" xfId="0" applyFont="1" applyFill="1" applyBorder="1" applyAlignment="1">
      <alignment vertical="center"/>
    </xf>
    <xf numFmtId="169" fontId="2" fillId="2" borderId="103" xfId="1" applyNumberFormat="1" applyFont="1" applyFill="1" applyBorder="1" applyAlignment="1">
      <alignment vertical="center"/>
    </xf>
    <xf numFmtId="0" fontId="2" fillId="5" borderId="47" xfId="0" applyFont="1" applyFill="1" applyBorder="1" applyAlignment="1">
      <alignment vertical="center"/>
    </xf>
    <xf numFmtId="0" fontId="0" fillId="5" borderId="68" xfId="0" applyFont="1" applyFill="1" applyBorder="1" applyAlignment="1">
      <alignment vertical="center"/>
    </xf>
    <xf numFmtId="0" fontId="0" fillId="5" borderId="68" xfId="0" applyFont="1" applyFill="1" applyBorder="1"/>
    <xf numFmtId="0" fontId="5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57" fillId="2" borderId="6" xfId="0" applyFont="1" applyFill="1" applyBorder="1" applyAlignment="1">
      <alignment horizontal="center" vertical="center"/>
    </xf>
    <xf numFmtId="0" fontId="0" fillId="0" borderId="10" xfId="0" applyFont="1" applyBorder="1"/>
    <xf numFmtId="0" fontId="57" fillId="2" borderId="11" xfId="0" applyFont="1" applyFill="1" applyBorder="1" applyAlignment="1">
      <alignment horizontal="center" vertical="center"/>
    </xf>
    <xf numFmtId="0" fontId="0" fillId="0" borderId="11" xfId="0" applyFont="1" applyBorder="1"/>
    <xf numFmtId="0" fontId="55" fillId="0" borderId="30" xfId="0" applyFont="1" applyFill="1" applyBorder="1" applyAlignment="1">
      <alignment vertical="center"/>
    </xf>
    <xf numFmtId="0" fontId="56" fillId="0" borderId="30" xfId="0" applyFont="1" applyFill="1" applyBorder="1" applyAlignment="1">
      <alignment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 wrapText="1"/>
    </xf>
    <xf numFmtId="0" fontId="56" fillId="3" borderId="30" xfId="0" applyFont="1" applyFill="1" applyBorder="1" applyAlignment="1">
      <alignment vertical="center"/>
    </xf>
    <xf numFmtId="0" fontId="56" fillId="4" borderId="31" xfId="0" applyFont="1" applyFill="1" applyBorder="1" applyAlignment="1">
      <alignment vertical="center"/>
    </xf>
    <xf numFmtId="0" fontId="30" fillId="0" borderId="30" xfId="0" applyFont="1" applyFill="1" applyBorder="1"/>
    <xf numFmtId="0" fontId="56" fillId="4" borderId="30" xfId="0" applyFont="1" applyFill="1" applyBorder="1" applyAlignment="1">
      <alignment vertical="center"/>
    </xf>
    <xf numFmtId="0" fontId="30" fillId="0" borderId="0" xfId="0" applyFont="1" applyFill="1" applyBorder="1"/>
    <xf numFmtId="0" fontId="55" fillId="2" borderId="30" xfId="0" applyFont="1" applyFill="1" applyBorder="1" applyAlignment="1">
      <alignment vertical="center" wrapText="1"/>
    </xf>
    <xf numFmtId="0" fontId="34" fillId="0" borderId="0" xfId="0" applyFont="1" applyFill="1"/>
    <xf numFmtId="2" fontId="0" fillId="0" borderId="30" xfId="0" applyNumberFormat="1" applyFont="1" applyBorder="1" applyAlignment="1">
      <alignment horizontal="center" vertical="center"/>
    </xf>
    <xf numFmtId="169" fontId="0" fillId="0" borderId="1" xfId="1" applyNumberFormat="1" applyFont="1" applyBorder="1"/>
    <xf numFmtId="0" fontId="0" fillId="0" borderId="1" xfId="0" applyBorder="1" applyAlignment="1">
      <alignment horizontal="left"/>
    </xf>
    <xf numFmtId="169" fontId="0" fillId="0" borderId="1" xfId="1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69" fontId="0" fillId="0" borderId="1" xfId="1" applyNumberFormat="1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vertical="center"/>
    </xf>
    <xf numFmtId="169" fontId="2" fillId="22" borderId="1" xfId="1" applyNumberFormat="1" applyFont="1" applyFill="1" applyBorder="1" applyAlignment="1">
      <alignment horizontal="center"/>
    </xf>
    <xf numFmtId="0" fontId="0" fillId="22" borderId="1" xfId="0" applyFont="1" applyFill="1" applyBorder="1"/>
    <xf numFmtId="0" fontId="0" fillId="22" borderId="1" xfId="0" applyFill="1" applyBorder="1"/>
    <xf numFmtId="169" fontId="0" fillId="22" borderId="84" xfId="1" applyNumberFormat="1" applyFont="1" applyFill="1" applyBorder="1"/>
    <xf numFmtId="169" fontId="0" fillId="0" borderId="84" xfId="1" applyNumberFormat="1" applyFont="1" applyBorder="1"/>
    <xf numFmtId="0" fontId="0" fillId="22" borderId="0" xfId="0" applyFill="1"/>
    <xf numFmtId="0" fontId="0" fillId="22" borderId="0" xfId="0" applyFill="1" applyAlignment="1">
      <alignment horizontal="center" vertical="center"/>
    </xf>
    <xf numFmtId="169" fontId="0" fillId="22" borderId="0" xfId="1" applyNumberFormat="1" applyFont="1" applyFill="1"/>
    <xf numFmtId="0" fontId="0" fillId="0" borderId="0" xfId="0" applyFill="1" applyAlignment="1">
      <alignment horizontal="center" vertical="center"/>
    </xf>
    <xf numFmtId="0" fontId="53" fillId="0" borderId="106" xfId="0" applyNumberFormat="1" applyFont="1" applyFill="1" applyBorder="1" applyAlignment="1" applyProtection="1">
      <alignment horizontal="center" vertical="center"/>
      <protection locked="0"/>
    </xf>
    <xf numFmtId="0" fontId="5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06" xfId="0" applyFont="1" applyFill="1" applyBorder="1" applyAlignment="1">
      <alignment horizontal="center" vertical="center"/>
    </xf>
    <xf numFmtId="0" fontId="0" fillId="0" borderId="106" xfId="0" applyFill="1" applyBorder="1" applyAlignment="1">
      <alignment horizontal="center" vertical="center"/>
    </xf>
    <xf numFmtId="44" fontId="2" fillId="12" borderId="40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69" fontId="2" fillId="0" borderId="1" xfId="1" applyNumberFormat="1" applyFont="1" applyFill="1" applyBorder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169" fontId="0" fillId="0" borderId="0" xfId="1" applyNumberFormat="1" applyFont="1" applyBorder="1" applyAlignment="1">
      <alignment horizontal="left"/>
    </xf>
    <xf numFmtId="169" fontId="0" fillId="0" borderId="0" xfId="1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3" fillId="21" borderId="1" xfId="0" applyFont="1" applyFill="1" applyBorder="1" applyAlignment="1" applyProtection="1">
      <alignment horizontal="left" vertical="center"/>
      <protection locked="0"/>
    </xf>
    <xf numFmtId="0" fontId="30" fillId="0" borderId="41" xfId="0" applyFont="1" applyFill="1" applyBorder="1" applyAlignment="1">
      <alignment vertical="center" wrapText="1"/>
    </xf>
    <xf numFmtId="0" fontId="34" fillId="0" borderId="0" xfId="0" applyFont="1" applyFill="1" applyAlignment="1">
      <alignment wrapText="1"/>
    </xf>
    <xf numFmtId="0" fontId="2" fillId="5" borderId="38" xfId="0" applyFont="1" applyFill="1" applyBorder="1" applyAlignment="1">
      <alignment horizontal="center" vertical="center" wrapText="1"/>
    </xf>
    <xf numFmtId="174" fontId="2" fillId="12" borderId="40" xfId="1" applyNumberFormat="1" applyFont="1" applyFill="1" applyBorder="1" applyAlignment="1">
      <alignment vertical="center"/>
    </xf>
    <xf numFmtId="167" fontId="0" fillId="12" borderId="109" xfId="5" applyFont="1" applyFill="1" applyBorder="1" applyAlignment="1">
      <alignment vertical="center"/>
    </xf>
    <xf numFmtId="0" fontId="0" fillId="0" borderId="108" xfId="0" applyFont="1" applyBorder="1" applyAlignment="1">
      <alignment horizontal="center" vertical="center"/>
    </xf>
    <xf numFmtId="169" fontId="0" fillId="12" borderId="110" xfId="1" applyNumberFormat="1" applyFont="1" applyFill="1" applyBorder="1" applyAlignment="1">
      <alignment vertical="center"/>
    </xf>
    <xf numFmtId="169" fontId="0" fillId="2" borderId="110" xfId="1" applyNumberFormat="1" applyFont="1" applyFill="1" applyBorder="1" applyAlignment="1">
      <alignment vertical="center"/>
    </xf>
    <xf numFmtId="169" fontId="0" fillId="0" borderId="110" xfId="1" applyNumberFormat="1" applyFont="1" applyFill="1" applyBorder="1" applyAlignment="1">
      <alignment vertical="center"/>
    </xf>
    <xf numFmtId="178" fontId="44" fillId="5" borderId="67" xfId="1" applyNumberFormat="1" applyFont="1" applyFill="1" applyBorder="1" applyAlignment="1">
      <alignment vertical="center"/>
    </xf>
    <xf numFmtId="179" fontId="44" fillId="5" borderId="42" xfId="1" applyNumberFormat="1" applyFont="1" applyFill="1" applyBorder="1" applyAlignment="1">
      <alignment vertical="center"/>
    </xf>
    <xf numFmtId="169" fontId="0" fillId="0" borderId="0" xfId="0" applyNumberFormat="1"/>
    <xf numFmtId="0" fontId="2" fillId="2" borderId="4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" fontId="0" fillId="0" borderId="0" xfId="0" applyNumberFormat="1"/>
    <xf numFmtId="169" fontId="2" fillId="0" borderId="0" xfId="1" applyNumberFormat="1" applyFont="1"/>
    <xf numFmtId="169" fontId="2" fillId="3" borderId="103" xfId="1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/>
    </xf>
    <xf numFmtId="0" fontId="58" fillId="2" borderId="0" xfId="0" applyFont="1" applyFill="1" applyBorder="1" applyAlignment="1">
      <alignment horizontal="center" vertical="center"/>
    </xf>
    <xf numFmtId="0" fontId="2" fillId="0" borderId="107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57" fillId="2" borderId="24" xfId="0" applyFont="1" applyFill="1" applyBorder="1" applyAlignment="1">
      <alignment horizontal="center" vertical="center"/>
    </xf>
    <xf numFmtId="0" fontId="57" fillId="2" borderId="25" xfId="0" applyFont="1" applyFill="1" applyBorder="1" applyAlignment="1">
      <alignment horizontal="center" vertical="center"/>
    </xf>
    <xf numFmtId="169" fontId="44" fillId="5" borderId="68" xfId="0" applyNumberFormat="1" applyFont="1" applyFill="1" applyBorder="1" applyAlignment="1">
      <alignment horizontal="center" vertical="center"/>
    </xf>
    <xf numFmtId="169" fontId="44" fillId="5" borderId="67" xfId="0" applyNumberFormat="1" applyFont="1" applyFill="1" applyBorder="1" applyAlignment="1">
      <alignment horizontal="center" vertical="center"/>
    </xf>
    <xf numFmtId="0" fontId="2" fillId="0" borderId="10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14" fontId="2" fillId="2" borderId="42" xfId="0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  <xf numFmtId="0" fontId="38" fillId="0" borderId="0" xfId="28" applyFont="1" applyAlignment="1">
      <alignment horizontal="left" vertical="center" wrapText="1"/>
    </xf>
    <xf numFmtId="0" fontId="38" fillId="0" borderId="0" xfId="28" applyFont="1" applyAlignment="1">
      <alignment horizontal="center" vertical="center" wrapText="1"/>
    </xf>
    <xf numFmtId="0" fontId="47" fillId="0" borderId="14" xfId="0" applyFont="1" applyFill="1" applyBorder="1" applyAlignment="1" applyProtection="1">
      <alignment horizontal="center"/>
    </xf>
    <xf numFmtId="0" fontId="47" fillId="0" borderId="91" xfId="0" applyFont="1" applyFill="1" applyBorder="1" applyAlignment="1" applyProtection="1">
      <alignment horizontal="center"/>
    </xf>
    <xf numFmtId="176" fontId="46" fillId="0" borderId="4" xfId="2" applyNumberFormat="1" applyFont="1" applyFill="1" applyBorder="1" applyAlignment="1" applyProtection="1">
      <alignment horizontal="center"/>
      <protection locked="0"/>
    </xf>
    <xf numFmtId="0" fontId="46" fillId="0" borderId="57" xfId="0" applyFont="1" applyFill="1" applyBorder="1" applyAlignment="1" applyProtection="1">
      <alignment horizontal="left"/>
    </xf>
    <xf numFmtId="176" fontId="46" fillId="0" borderId="57" xfId="2" applyNumberFormat="1" applyFont="1" applyFill="1" applyBorder="1" applyAlignment="1" applyProtection="1">
      <alignment horizontal="center"/>
      <protection locked="0"/>
    </xf>
    <xf numFmtId="0" fontId="41" fillId="0" borderId="49" xfId="0" applyFont="1" applyBorder="1" applyAlignment="1">
      <alignment horizontal="left" vertical="top" wrapText="1"/>
    </xf>
    <xf numFmtId="0" fontId="31" fillId="0" borderId="50" xfId="0" applyFont="1" applyBorder="1"/>
    <xf numFmtId="0" fontId="31" fillId="0" borderId="9" xfId="0" applyFont="1" applyBorder="1"/>
    <xf numFmtId="0" fontId="31" fillId="0" borderId="57" xfId="0" applyFont="1" applyBorder="1"/>
    <xf numFmtId="0" fontId="47" fillId="0" borderId="2" xfId="0" applyFont="1" applyFill="1" applyBorder="1" applyAlignment="1" applyProtection="1">
      <alignment horizontal="center"/>
    </xf>
    <xf numFmtId="0" fontId="47" fillId="0" borderId="84" xfId="0" applyFont="1" applyFill="1" applyBorder="1" applyAlignment="1" applyProtection="1">
      <alignment horizontal="center"/>
    </xf>
    <xf numFmtId="176" fontId="47" fillId="0" borderId="1" xfId="2" applyNumberFormat="1" applyFont="1" applyFill="1" applyBorder="1" applyAlignment="1" applyProtection="1">
      <alignment horizontal="center"/>
      <protection locked="0"/>
    </xf>
    <xf numFmtId="0" fontId="44" fillId="0" borderId="50" xfId="0" applyFont="1" applyBorder="1" applyAlignment="1">
      <alignment horizontal="center" vertical="center" wrapText="1"/>
    </xf>
    <xf numFmtId="167" fontId="44" fillId="0" borderId="50" xfId="5" applyFont="1" applyBorder="1" applyAlignment="1">
      <alignment horizontal="center" vertical="center" wrapText="1"/>
    </xf>
    <xf numFmtId="167" fontId="44" fillId="0" borderId="51" xfId="5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167" fontId="44" fillId="0" borderId="1" xfId="5" applyFont="1" applyBorder="1" applyAlignment="1">
      <alignment horizontal="center" vertical="center" wrapText="1"/>
    </xf>
    <xf numFmtId="167" fontId="44" fillId="0" borderId="19" xfId="5" applyFont="1" applyBorder="1" applyAlignment="1">
      <alignment horizontal="center" vertical="center" wrapText="1"/>
    </xf>
    <xf numFmtId="0" fontId="44" fillId="0" borderId="57" xfId="0" applyFont="1" applyBorder="1" applyAlignment="1">
      <alignment horizontal="center" vertical="center" wrapText="1"/>
    </xf>
    <xf numFmtId="0" fontId="31" fillId="0" borderId="10" xfId="0" applyFont="1" applyBorder="1" applyAlignment="1" applyProtection="1">
      <alignment horizontal="center" vertical="center"/>
    </xf>
    <xf numFmtId="0" fontId="31" fillId="0" borderId="89" xfId="0" applyFont="1" applyBorder="1" applyAlignment="1" applyProtection="1">
      <alignment horizontal="center" vertical="center"/>
    </xf>
    <xf numFmtId="0" fontId="31" fillId="0" borderId="23" xfId="0" applyFont="1" applyBorder="1" applyAlignment="1" applyProtection="1">
      <alignment horizontal="center" vertical="center"/>
    </xf>
    <xf numFmtId="0" fontId="31" fillId="0" borderId="90" xfId="0" applyFont="1" applyBorder="1" applyAlignment="1" applyProtection="1">
      <alignment horizontal="center" vertical="center"/>
    </xf>
    <xf numFmtId="0" fontId="43" fillId="0" borderId="23" xfId="29" applyBorder="1" applyAlignment="1" applyProtection="1">
      <alignment horizontal="center" vertical="center"/>
    </xf>
    <xf numFmtId="0" fontId="31" fillId="0" borderId="24" xfId="0" applyFont="1" applyBorder="1" applyAlignment="1" applyProtection="1">
      <alignment horizontal="center" vertical="center"/>
    </xf>
    <xf numFmtId="0" fontId="41" fillId="0" borderId="47" xfId="0" applyFont="1" applyBorder="1" applyAlignment="1">
      <alignment horizontal="center"/>
    </xf>
    <xf numFmtId="0" fontId="41" fillId="0" borderId="68" xfId="0" applyFont="1" applyBorder="1" applyAlignment="1">
      <alignment horizontal="center"/>
    </xf>
    <xf numFmtId="0" fontId="41" fillId="0" borderId="67" xfId="0" applyFont="1" applyBorder="1" applyAlignment="1">
      <alignment horizontal="center"/>
    </xf>
    <xf numFmtId="0" fontId="41" fillId="17" borderId="16" xfId="0" applyFont="1" applyFill="1" applyBorder="1" applyAlignment="1" applyProtection="1">
      <alignment horizontal="center" vertical="center" wrapText="1"/>
    </xf>
    <xf numFmtId="0" fontId="41" fillId="17" borderId="85" xfId="0" applyFont="1" applyFill="1" applyBorder="1" applyAlignment="1" applyProtection="1">
      <alignment horizontal="center" vertical="center" wrapText="1"/>
    </xf>
    <xf numFmtId="0" fontId="41" fillId="17" borderId="16" xfId="0" applyFont="1" applyFill="1" applyBorder="1" applyAlignment="1" applyProtection="1">
      <alignment horizontal="center"/>
    </xf>
    <xf numFmtId="0" fontId="41" fillId="17" borderId="17" xfId="0" applyFont="1" applyFill="1" applyBorder="1" applyAlignment="1" applyProtection="1">
      <alignment horizontal="center"/>
    </xf>
    <xf numFmtId="0" fontId="41" fillId="17" borderId="35" xfId="0" applyFont="1" applyFill="1" applyBorder="1" applyAlignment="1" applyProtection="1">
      <alignment horizontal="center"/>
    </xf>
    <xf numFmtId="0" fontId="31" fillId="0" borderId="88" xfId="0" applyFont="1" applyBorder="1" applyAlignment="1" applyProtection="1">
      <alignment horizontal="center" vertical="center"/>
    </xf>
    <xf numFmtId="0" fontId="31" fillId="0" borderId="84" xfId="0" applyFont="1" applyBorder="1" applyAlignment="1" applyProtection="1">
      <alignment horizontal="center" vertical="center"/>
    </xf>
    <xf numFmtId="0" fontId="31" fillId="0" borderId="2" xfId="0" applyFont="1" applyBorder="1" applyAlignment="1" applyProtection="1">
      <alignment horizontal="center" vertical="center"/>
    </xf>
    <xf numFmtId="0" fontId="31" fillId="0" borderId="3" xfId="0" applyFont="1" applyBorder="1" applyAlignment="1" applyProtection="1">
      <alignment horizontal="center" vertical="center"/>
    </xf>
    <xf numFmtId="0" fontId="41" fillId="17" borderId="88" xfId="0" applyFont="1" applyFill="1" applyBorder="1" applyAlignment="1" applyProtection="1">
      <alignment horizontal="center"/>
    </xf>
    <xf numFmtId="0" fontId="41" fillId="17" borderId="84" xfId="0" applyFont="1" applyFill="1" applyBorder="1" applyAlignment="1" applyProtection="1">
      <alignment horizontal="center"/>
    </xf>
    <xf numFmtId="0" fontId="41" fillId="17" borderId="3" xfId="0" applyFont="1" applyFill="1" applyBorder="1" applyAlignment="1" applyProtection="1">
      <alignment horizontal="center"/>
    </xf>
    <xf numFmtId="0" fontId="41" fillId="17" borderId="2" xfId="0" applyFont="1" applyFill="1" applyBorder="1" applyAlignment="1" applyProtection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41" fillId="17" borderId="34" xfId="0" applyFont="1" applyFill="1" applyBorder="1" applyAlignment="1" applyProtection="1">
      <alignment horizontal="center"/>
    </xf>
    <xf numFmtId="0" fontId="41" fillId="17" borderId="85" xfId="0" applyFont="1" applyFill="1" applyBorder="1" applyAlignment="1" applyProtection="1">
      <alignment horizontal="center"/>
    </xf>
    <xf numFmtId="0" fontId="41" fillId="17" borderId="60" xfId="0" applyFont="1" applyFill="1" applyBorder="1" applyAlignment="1" applyProtection="1">
      <alignment horizontal="center"/>
    </xf>
    <xf numFmtId="0" fontId="41" fillId="17" borderId="86" xfId="0" applyFont="1" applyFill="1" applyBorder="1" applyAlignment="1" applyProtection="1">
      <alignment horizontal="center"/>
    </xf>
    <xf numFmtId="0" fontId="41" fillId="17" borderId="87" xfId="0" applyFont="1" applyFill="1" applyBorder="1" applyAlignment="1" applyProtection="1">
      <alignment horizontal="center"/>
    </xf>
    <xf numFmtId="0" fontId="2" fillId="0" borderId="4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49" fillId="0" borderId="44" xfId="0" applyFont="1" applyBorder="1" applyAlignment="1">
      <alignment horizontal="center" vertical="center" wrapText="1"/>
    </xf>
    <xf numFmtId="0" fontId="49" fillId="0" borderId="52" xfId="0" applyFont="1" applyBorder="1" applyAlignment="1">
      <alignment horizontal="center" vertical="center" wrapText="1"/>
    </xf>
    <xf numFmtId="0" fontId="49" fillId="0" borderId="49" xfId="0" applyFont="1" applyBorder="1" applyAlignment="1">
      <alignment horizontal="center" vertical="center" wrapText="1"/>
    </xf>
    <xf numFmtId="0" fontId="49" fillId="0" borderId="50" xfId="0" applyFont="1" applyBorder="1" applyAlignment="1">
      <alignment horizontal="center" vertical="center" wrapText="1"/>
    </xf>
    <xf numFmtId="0" fontId="49" fillId="0" borderId="51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49" fillId="0" borderId="93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42" fontId="49" fillId="0" borderId="16" xfId="30" applyFont="1" applyBorder="1" applyAlignment="1">
      <alignment horizontal="center" vertical="center" wrapText="1"/>
    </xf>
    <xf numFmtId="42" fontId="49" fillId="0" borderId="13" xfId="30" applyFont="1" applyBorder="1" applyAlignment="1">
      <alignment horizontal="center" vertical="center" wrapText="1"/>
    </xf>
    <xf numFmtId="0" fontId="23" fillId="14" borderId="64" xfId="0" applyFont="1" applyFill="1" applyBorder="1" applyAlignment="1">
      <alignment horizontal="center" vertical="center"/>
    </xf>
    <xf numFmtId="0" fontId="23" fillId="14" borderId="65" xfId="0" applyFont="1" applyFill="1" applyBorder="1" applyAlignment="1">
      <alignment horizontal="center" vertical="center"/>
    </xf>
    <xf numFmtId="0" fontId="23" fillId="14" borderId="66" xfId="0" applyFont="1" applyFill="1" applyBorder="1" applyAlignment="1">
      <alignment horizontal="center" vertical="center"/>
    </xf>
    <xf numFmtId="0" fontId="17" fillId="14" borderId="44" xfId="0" applyFont="1" applyFill="1" applyBorder="1" applyAlignment="1">
      <alignment horizontal="center" vertical="center" wrapText="1"/>
    </xf>
    <xf numFmtId="0" fontId="17" fillId="14" borderId="48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0" fontId="17" fillId="14" borderId="45" xfId="0" applyFont="1" applyFill="1" applyBorder="1" applyAlignment="1">
      <alignment horizontal="center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8" fillId="14" borderId="59" xfId="0" applyFont="1" applyFill="1" applyBorder="1" applyAlignment="1">
      <alignment horizontal="center" vertical="center" wrapText="1"/>
    </xf>
    <xf numFmtId="0" fontId="18" fillId="14" borderId="6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left" vertical="center" wrapText="1"/>
    </xf>
  </cellXfs>
  <cellStyles count="43">
    <cellStyle name="% Completado" xfId="16" xr:uid="{00000000-0005-0000-0000-000000000000}"/>
    <cellStyle name="Actividad" xfId="6" xr:uid="{00000000-0005-0000-0000-000001000000}"/>
    <cellStyle name="Control del periodo resaltado" xfId="7" xr:uid="{00000000-0005-0000-0000-000002000000}"/>
    <cellStyle name="Encabezado 4 2" xfId="14" xr:uid="{00000000-0005-0000-0000-000003000000}"/>
    <cellStyle name="Encabezados de los periodos" xfId="15" xr:uid="{00000000-0005-0000-0000-000004000000}"/>
    <cellStyle name="Encabezados del proyecto" xfId="17" xr:uid="{00000000-0005-0000-0000-000005000000}"/>
    <cellStyle name="Etiqueta" xfId="18" xr:uid="{00000000-0005-0000-0000-000006000000}"/>
    <cellStyle name="Hipervínculo" xfId="29" builtinId="8"/>
    <cellStyle name="Hipervínculo 2" xfId="34" xr:uid="{00000000-0005-0000-0000-000008000000}"/>
    <cellStyle name="Leyenda de la duración real" xfId="19" xr:uid="{00000000-0005-0000-0000-000009000000}"/>
    <cellStyle name="Leyenda de la duración real (fuera del plan)" xfId="20" xr:uid="{00000000-0005-0000-0000-00000A000000}"/>
    <cellStyle name="Leyenda del % completado (fuera del plan)" xfId="21" xr:uid="{00000000-0005-0000-0000-00000B000000}"/>
    <cellStyle name="Leyenda del plan" xfId="22" xr:uid="{00000000-0005-0000-0000-00000C000000}"/>
    <cellStyle name="Millares 2" xfId="4" xr:uid="{00000000-0005-0000-0000-00000D000000}"/>
    <cellStyle name="Millares 2 2" xfId="37" xr:uid="{00000000-0005-0000-0000-00000E000000}"/>
    <cellStyle name="Millares 3" xfId="26" xr:uid="{00000000-0005-0000-0000-00000F000000}"/>
    <cellStyle name="Millares 3 2" xfId="38" xr:uid="{00000000-0005-0000-0000-000010000000}"/>
    <cellStyle name="Millares 4" xfId="41" xr:uid="{00000000-0005-0000-0000-000011000000}"/>
    <cellStyle name="Moneda" xfId="1" builtinId="4"/>
    <cellStyle name="Moneda [0]" xfId="5" builtinId="7"/>
    <cellStyle name="Moneda [0] 2" xfId="30" xr:uid="{00000000-0005-0000-0000-000014000000}"/>
    <cellStyle name="Moneda [0] 2 2" xfId="39" xr:uid="{00000000-0005-0000-0000-000015000000}"/>
    <cellStyle name="Moneda 2" xfId="42" xr:uid="{00000000-0005-0000-0000-000016000000}"/>
    <cellStyle name="Normal" xfId="0" builtinId="0"/>
    <cellStyle name="Normal 2" xfId="3" xr:uid="{00000000-0005-0000-0000-000018000000}"/>
    <cellStyle name="Normal 3" xfId="11" xr:uid="{00000000-0005-0000-0000-000019000000}"/>
    <cellStyle name="Normal 3 2" xfId="31" xr:uid="{00000000-0005-0000-0000-00001A000000}"/>
    <cellStyle name="Normal 4" xfId="27" xr:uid="{00000000-0005-0000-0000-00001B000000}"/>
    <cellStyle name="Normal 4 2" xfId="28" xr:uid="{00000000-0005-0000-0000-00001C000000}"/>
    <cellStyle name="Normal 5" xfId="32" xr:uid="{00000000-0005-0000-0000-00001D000000}"/>
    <cellStyle name="Normal 5 2" xfId="33" xr:uid="{00000000-0005-0000-0000-00001E000000}"/>
    <cellStyle name="Normal 6" xfId="35" xr:uid="{00000000-0005-0000-0000-00001F000000}"/>
    <cellStyle name="Normal 6 2" xfId="40" xr:uid="{00000000-0005-0000-0000-000020000000}"/>
    <cellStyle name="Normal 7" xfId="36" xr:uid="{00000000-0005-0000-0000-000021000000}"/>
    <cellStyle name="Porcentaje" xfId="2" builtinId="5"/>
    <cellStyle name="Porcentaje completado" xfId="8" xr:uid="{00000000-0005-0000-0000-000023000000}"/>
    <cellStyle name="Título 1 2" xfId="10" xr:uid="{00000000-0005-0000-0000-000024000000}"/>
    <cellStyle name="Título 2 2" xfId="12" xr:uid="{00000000-0005-0000-0000-000025000000}"/>
    <cellStyle name="Título 3 2" xfId="13" xr:uid="{00000000-0005-0000-0000-000026000000}"/>
    <cellStyle name="Título 4" xfId="9" xr:uid="{00000000-0005-0000-0000-000027000000}"/>
    <cellStyle name="Valor del periodo" xfId="23" xr:uid="{00000000-0005-0000-0000-000028000000}"/>
    <cellStyle name="常规_FOB" xfId="25" xr:uid="{00000000-0005-0000-0000-000029000000}"/>
    <cellStyle name="常规_Sheet1 (2)" xfId="24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A1D7"/>
      <color rgb="FFBD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317499</xdr:colOff>
      <xdr:row>0</xdr:row>
      <xdr:rowOff>359833</xdr:rowOff>
    </xdr:from>
    <xdr:to>
      <xdr:col>7</xdr:col>
      <xdr:colOff>1079201</xdr:colOff>
      <xdr:row>2</xdr:row>
      <xdr:rowOff>129023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134D0-D3E4-4E80-B861-3167FFF0F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8166" y="359833"/>
          <a:ext cx="2380952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47626</xdr:rowOff>
    </xdr:from>
    <xdr:to>
      <xdr:col>10</xdr:col>
      <xdr:colOff>619125</xdr:colOff>
      <xdr:row>16</xdr:row>
      <xdr:rowOff>131020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38151"/>
          <a:ext cx="7400925" cy="2750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133350</xdr:rowOff>
    </xdr:from>
    <xdr:to>
      <xdr:col>10</xdr:col>
      <xdr:colOff>390524</xdr:colOff>
      <xdr:row>7</xdr:row>
      <xdr:rowOff>19050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28574" y="133350"/>
          <a:ext cx="663892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PROCESO EJECUCIÓN DEL PROYECTO MODERNIZACIÓN LED MUNICIPIO CALAMAR - BOLÍVAR</a:t>
          </a:r>
          <a:endParaRPr lang="en-US"/>
        </a:p>
      </xdr:txBody>
    </xdr:sp>
    <xdr:clientData/>
  </xdr:twoCellAnchor>
  <xdr:twoCellAnchor>
    <xdr:from>
      <xdr:col>2</xdr:col>
      <xdr:colOff>428624</xdr:colOff>
      <xdr:row>8</xdr:row>
      <xdr:rowOff>28575</xdr:rowOff>
    </xdr:from>
    <xdr:to>
      <xdr:col>6</xdr:col>
      <xdr:colOff>457199</xdr:colOff>
      <xdr:row>12</xdr:row>
      <xdr:rowOff>38101</xdr:rowOff>
    </xdr:to>
    <xdr:sp macro="" textlink="">
      <xdr:nvSpPr>
        <xdr:cNvPr id="3" name="Terminad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828799" y="1352550"/>
          <a:ext cx="2466975" cy="657226"/>
        </a:xfrm>
        <a:prstGeom prst="flowChartTerminator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S" sz="1100">
              <a:solidFill>
                <a:sysClr val="windowText" lastClr="000000"/>
              </a:solidFill>
            </a:rPr>
            <a:t>Inicio</a:t>
          </a:r>
          <a:r>
            <a:rPr lang="es-US" sz="1100" baseline="0">
              <a:solidFill>
                <a:sysClr val="windowText" lastClr="000000"/>
              </a:solidFill>
            </a:rPr>
            <a:t> del Proyecto Modernización de luminarias a tecnología LED</a:t>
          </a:r>
          <a:endParaRPr lang="es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504825</xdr:colOff>
      <xdr:row>12</xdr:row>
      <xdr:rowOff>85725</xdr:rowOff>
    </xdr:from>
    <xdr:to>
      <xdr:col>4</xdr:col>
      <xdr:colOff>509588</xdr:colOff>
      <xdr:row>14</xdr:row>
      <xdr:rowOff>19050</xdr:rowOff>
    </xdr:to>
    <xdr:cxnSp macro="">
      <xdr:nvCxn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>
          <a:cxnSpLocks noChangeShapeType="1"/>
        </xdr:cNvCxnSpPr>
      </xdr:nvCxnSpPr>
      <xdr:spPr bwMode="auto">
        <a:xfrm>
          <a:off x="3124200" y="2057400"/>
          <a:ext cx="4763" cy="257175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561975</xdr:colOff>
      <xdr:row>14</xdr:row>
      <xdr:rowOff>66675</xdr:rowOff>
    </xdr:from>
    <xdr:to>
      <xdr:col>5</xdr:col>
      <xdr:colOff>552450</xdr:colOff>
      <xdr:row>19</xdr:row>
      <xdr:rowOff>57150</xdr:rowOff>
    </xdr:to>
    <xdr:sp macro="" textlink="">
      <xdr:nvSpPr>
        <xdr:cNvPr id="5" name="Proces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571750" y="2362200"/>
          <a:ext cx="1209675" cy="800100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Planeación diaria de ODT</a:t>
          </a:r>
        </a:p>
      </xdr:txBody>
    </xdr:sp>
    <xdr:clientData/>
  </xdr:twoCellAnchor>
  <xdr:twoCellAnchor>
    <xdr:from>
      <xdr:col>4</xdr:col>
      <xdr:colOff>542925</xdr:colOff>
      <xdr:row>19</xdr:row>
      <xdr:rowOff>85725</xdr:rowOff>
    </xdr:from>
    <xdr:to>
      <xdr:col>4</xdr:col>
      <xdr:colOff>547688</xdr:colOff>
      <xdr:row>21</xdr:row>
      <xdr:rowOff>19050</xdr:rowOff>
    </xdr:to>
    <xdr:cxnSp macro="">
      <xdr:nvCxnSpPr>
        <xdr:cNvPr id="6" name="AutoShape 10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cxnSpLocks noChangeShapeType="1"/>
        </xdr:cNvCxnSpPr>
      </xdr:nvCxnSpPr>
      <xdr:spPr bwMode="auto">
        <a:xfrm>
          <a:off x="3162300" y="3190875"/>
          <a:ext cx="4763" cy="257175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247650</xdr:colOff>
      <xdr:row>21</xdr:row>
      <xdr:rowOff>85724</xdr:rowOff>
    </xdr:from>
    <xdr:to>
      <xdr:col>6</xdr:col>
      <xdr:colOff>304800</xdr:colOff>
      <xdr:row>28</xdr:row>
      <xdr:rowOff>85724</xdr:rowOff>
    </xdr:to>
    <xdr:sp macro="" textlink="">
      <xdr:nvSpPr>
        <xdr:cNvPr id="7" name="Documen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257425" y="3514724"/>
          <a:ext cx="1885950" cy="1133475"/>
        </a:xfrm>
        <a:prstGeom prst="flowChartDocumen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 genera una planilla y plano de los sectores a instalar, y se sincroniza la ODT en los dispositivos electronicos.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57150</xdr:colOff>
      <xdr:row>30</xdr:row>
      <xdr:rowOff>104775</xdr:rowOff>
    </xdr:from>
    <xdr:to>
      <xdr:col>6</xdr:col>
      <xdr:colOff>95249</xdr:colOff>
      <xdr:row>36</xdr:row>
      <xdr:rowOff>133350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676525" y="4991100"/>
          <a:ext cx="1257299" cy="100012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Plano y planilla es entregada al Ing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Residente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28575</xdr:colOff>
      <xdr:row>28</xdr:row>
      <xdr:rowOff>38100</xdr:rowOff>
    </xdr:from>
    <xdr:to>
      <xdr:col>5</xdr:col>
      <xdr:colOff>38100</xdr:colOff>
      <xdr:row>30</xdr:row>
      <xdr:rowOff>38100</xdr:rowOff>
    </xdr:to>
    <xdr:cxnSp macro="">
      <xdr:nvCxnSpPr>
        <xdr:cNvPr id="9" name="AutoShape 10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>
          <a:cxnSpLocks noChangeShapeType="1"/>
        </xdr:cNvCxnSpPr>
      </xdr:nvCxnSpPr>
      <xdr:spPr bwMode="auto">
        <a:xfrm>
          <a:off x="3257550" y="4600575"/>
          <a:ext cx="9525" cy="32385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142875</xdr:colOff>
      <xdr:row>34</xdr:row>
      <xdr:rowOff>47625</xdr:rowOff>
    </xdr:from>
    <xdr:to>
      <xdr:col>7</xdr:col>
      <xdr:colOff>47625</xdr:colOff>
      <xdr:row>34</xdr:row>
      <xdr:rowOff>47625</xdr:rowOff>
    </xdr:to>
    <xdr:cxnSp macro="">
      <xdr:nvCxnSpPr>
        <xdr:cNvPr id="10" name="AutoShape 27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>
          <a:cxnSpLocks noChangeShapeType="1"/>
        </xdr:cNvCxnSpPr>
      </xdr:nvCxnSpPr>
      <xdr:spPr bwMode="auto">
        <a:xfrm>
          <a:off x="3981450" y="5581650"/>
          <a:ext cx="5143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142875</xdr:colOff>
      <xdr:row>30</xdr:row>
      <xdr:rowOff>142875</xdr:rowOff>
    </xdr:from>
    <xdr:to>
      <xdr:col>11</xdr:col>
      <xdr:colOff>19050</xdr:colOff>
      <xdr:row>37</xdr:row>
      <xdr:rowOff>76200</xdr:rowOff>
    </xdr:to>
    <xdr:sp macro="" textlink="">
      <xdr:nvSpPr>
        <xdr:cNvPr id="11" name="Proceso predefini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591050" y="5029200"/>
          <a:ext cx="2314575" cy="1066800"/>
        </a:xfrm>
        <a:prstGeom prst="flowChartPredefined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coordinador de proyecto (Ing de apoyo logistico) va a acompañar y verificar la planeación y sus cambios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57150</xdr:colOff>
      <xdr:row>37</xdr:row>
      <xdr:rowOff>66675</xdr:rowOff>
    </xdr:from>
    <xdr:to>
      <xdr:col>5</xdr:col>
      <xdr:colOff>66675</xdr:colOff>
      <xdr:row>39</xdr:row>
      <xdr:rowOff>66675</xdr:rowOff>
    </xdr:to>
    <xdr:cxnSp macro="">
      <xdr:nvCxnSpPr>
        <xdr:cNvPr id="12" name="AutoShape 10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>
          <a:cxnSpLocks noChangeShapeType="1"/>
        </xdr:cNvCxnSpPr>
      </xdr:nvCxnSpPr>
      <xdr:spPr bwMode="auto">
        <a:xfrm>
          <a:off x="3286125" y="6086475"/>
          <a:ext cx="9525" cy="32385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295275</xdr:colOff>
      <xdr:row>40</xdr:row>
      <xdr:rowOff>47625</xdr:rowOff>
    </xdr:from>
    <xdr:to>
      <xdr:col>6</xdr:col>
      <xdr:colOff>447676</xdr:colOff>
      <xdr:row>50</xdr:row>
      <xdr:rowOff>38099</xdr:rowOff>
    </xdr:to>
    <xdr:sp macro="" textlink="">
      <xdr:nvSpPr>
        <xdr:cNvPr id="13" name="Decisió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305050" y="6553200"/>
          <a:ext cx="1981201" cy="1609724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Ing Residente</a:t>
          </a:r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verifica si esta correcta la información</a:t>
          </a:r>
        </a:p>
      </xdr:txBody>
    </xdr:sp>
    <xdr:clientData/>
  </xdr:twoCellAnchor>
  <xdr:twoCellAnchor>
    <xdr:from>
      <xdr:col>2</xdr:col>
      <xdr:colOff>314326</xdr:colOff>
      <xdr:row>45</xdr:row>
      <xdr:rowOff>38100</xdr:rowOff>
    </xdr:from>
    <xdr:to>
      <xdr:col>3</xdr:col>
      <xdr:colOff>209550</xdr:colOff>
      <xdr:row>45</xdr:row>
      <xdr:rowOff>38100</xdr:rowOff>
    </xdr:to>
    <xdr:cxnSp macro="">
      <xdr:nvCxnSpPr>
        <xdr:cNvPr id="14" name="AutoShape 27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>
          <a:cxnSpLocks noChangeShapeType="1"/>
        </xdr:cNvCxnSpPr>
      </xdr:nvCxnSpPr>
      <xdr:spPr bwMode="auto">
        <a:xfrm flipH="1">
          <a:off x="1714501" y="7353300"/>
          <a:ext cx="504824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314325</xdr:colOff>
      <xdr:row>24</xdr:row>
      <xdr:rowOff>66675</xdr:rowOff>
    </xdr:from>
    <xdr:to>
      <xdr:col>2</xdr:col>
      <xdr:colOff>333375</xdr:colOff>
      <xdr:row>45</xdr:row>
      <xdr:rowOff>19049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714500" y="3981450"/>
          <a:ext cx="19050" cy="33527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24</xdr:row>
      <xdr:rowOff>66675</xdr:rowOff>
    </xdr:from>
    <xdr:to>
      <xdr:col>3</xdr:col>
      <xdr:colOff>123825</xdr:colOff>
      <xdr:row>24</xdr:row>
      <xdr:rowOff>66675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1781175" y="3981450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123825</xdr:rowOff>
    </xdr:from>
    <xdr:to>
      <xdr:col>3</xdr:col>
      <xdr:colOff>152400</xdr:colOff>
      <xdr:row>45</xdr:row>
      <xdr:rowOff>9525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>
          <a:spLocks noChangeArrowheads="1"/>
        </xdr:cNvSpPr>
      </xdr:nvSpPr>
      <xdr:spPr bwMode="auto">
        <a:xfrm>
          <a:off x="1914525" y="7115175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endParaRPr lang="en-US"/>
        </a:p>
      </xdr:txBody>
    </xdr:sp>
    <xdr:clientData/>
  </xdr:twoCellAnchor>
  <xdr:twoCellAnchor>
    <xdr:from>
      <xdr:col>5</xdr:col>
      <xdr:colOff>76200</xdr:colOff>
      <xdr:row>50</xdr:row>
      <xdr:rowOff>104775</xdr:rowOff>
    </xdr:from>
    <xdr:to>
      <xdr:col>5</xdr:col>
      <xdr:colOff>76200</xdr:colOff>
      <xdr:row>56</xdr:row>
      <xdr:rowOff>104775</xdr:rowOff>
    </xdr:to>
    <xdr:cxnSp macro="">
      <xdr:nvCxnSpPr>
        <xdr:cNvPr id="18" name="AutoShape 32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cxnSpLocks noChangeShapeType="1"/>
        </xdr:cNvCxnSpPr>
      </xdr:nvCxnSpPr>
      <xdr:spPr bwMode="auto">
        <a:xfrm>
          <a:off x="3305175" y="8229600"/>
          <a:ext cx="0" cy="9715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352425</xdr:colOff>
      <xdr:row>50</xdr:row>
      <xdr:rowOff>104775</xdr:rowOff>
    </xdr:from>
    <xdr:to>
      <xdr:col>5</xdr:col>
      <xdr:colOff>57150</xdr:colOff>
      <xdr:row>51</xdr:row>
      <xdr:rowOff>123825</xdr:rowOff>
    </xdr:to>
    <xdr:sp macro="" textlink="">
      <xdr:nvSpPr>
        <xdr:cNvPr id="19" name="Text Box 26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>
          <a:spLocks noChangeArrowheads="1"/>
        </xdr:cNvSpPr>
      </xdr:nvSpPr>
      <xdr:spPr bwMode="auto">
        <a:xfrm>
          <a:off x="2971800" y="8229600"/>
          <a:ext cx="3143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Sí</a:t>
          </a:r>
          <a:endParaRPr lang="en-US"/>
        </a:p>
      </xdr:txBody>
    </xdr:sp>
    <xdr:clientData/>
  </xdr:twoCellAnchor>
  <xdr:twoCellAnchor>
    <xdr:from>
      <xdr:col>2</xdr:col>
      <xdr:colOff>476250</xdr:colOff>
      <xdr:row>61</xdr:row>
      <xdr:rowOff>19050</xdr:rowOff>
    </xdr:from>
    <xdr:to>
      <xdr:col>7</xdr:col>
      <xdr:colOff>314326</xdr:colOff>
      <xdr:row>67</xdr:row>
      <xdr:rowOff>38100</xdr:rowOff>
    </xdr:to>
    <xdr:sp macro="" textlink="">
      <xdr:nvSpPr>
        <xdr:cNvPr id="20" name="Proceso predefinid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1876425" y="9925050"/>
          <a:ext cx="2886076" cy="990600"/>
        </a:xfrm>
        <a:prstGeom prst="flowChartPredefined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Las cuadrillas empiezan a instalar,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el supervisor de terreno verifica corrcta instalación y diligencia planilla, plano y actuaciones en eficen desde el Celular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447675</xdr:colOff>
      <xdr:row>69</xdr:row>
      <xdr:rowOff>114300</xdr:rowOff>
    </xdr:from>
    <xdr:to>
      <xdr:col>6</xdr:col>
      <xdr:colOff>466725</xdr:colOff>
      <xdr:row>74</xdr:row>
      <xdr:rowOff>38100</xdr:rowOff>
    </xdr:to>
    <xdr:sp macro="" textlink="">
      <xdr:nvSpPr>
        <xdr:cNvPr id="21" name="Documen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457450" y="11315700"/>
          <a:ext cx="1847850" cy="733425"/>
        </a:xfrm>
        <a:prstGeom prst="flowChartDocumen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Planillas,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planos y ODT Actuada en Eficen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77</xdr:row>
      <xdr:rowOff>95249</xdr:rowOff>
    </xdr:from>
    <xdr:to>
      <xdr:col>8</xdr:col>
      <xdr:colOff>95250</xdr:colOff>
      <xdr:row>84</xdr:row>
      <xdr:rowOff>114299</xdr:rowOff>
    </xdr:to>
    <xdr:sp macro="" textlink="">
      <xdr:nvSpPr>
        <xdr:cNvPr id="22" name="AutoShape 6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3914775" y="12592049"/>
          <a:ext cx="1238250" cy="115252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 rtl="0">
            <a:defRPr sz="1000"/>
          </a:pP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 material que no se instalo es devuelto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al Ing Residente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161925</xdr:colOff>
      <xdr:row>67</xdr:row>
      <xdr:rowOff>47625</xdr:rowOff>
    </xdr:from>
    <xdr:to>
      <xdr:col>5</xdr:col>
      <xdr:colOff>161925</xdr:colOff>
      <xdr:row>69</xdr:row>
      <xdr:rowOff>95250</xdr:rowOff>
    </xdr:to>
    <xdr:cxnSp macro="">
      <xdr:nvCxn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>
          <a:cxnSpLocks noChangeShapeType="1"/>
        </xdr:cNvCxnSpPr>
      </xdr:nvCxnSpPr>
      <xdr:spPr bwMode="auto">
        <a:xfrm>
          <a:off x="3390900" y="10925175"/>
          <a:ext cx="0" cy="3714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266699</xdr:colOff>
      <xdr:row>85</xdr:row>
      <xdr:rowOff>95248</xdr:rowOff>
    </xdr:from>
    <xdr:to>
      <xdr:col>7</xdr:col>
      <xdr:colOff>285750</xdr:colOff>
      <xdr:row>97</xdr:row>
      <xdr:rowOff>76200</xdr:rowOff>
    </xdr:to>
    <xdr:sp macro="" textlink="">
      <xdr:nvSpPr>
        <xdr:cNvPr id="24" name="Decisió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276474" y="13887448"/>
          <a:ext cx="2457451" cy="1924052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 la instalación cierra con el material devuelto, y el material desmontado</a:t>
          </a:r>
        </a:p>
      </xdr:txBody>
    </xdr:sp>
    <xdr:clientData/>
  </xdr:twoCellAnchor>
  <xdr:twoCellAnchor>
    <xdr:from>
      <xdr:col>5</xdr:col>
      <xdr:colOff>228600</xdr:colOff>
      <xdr:row>74</xdr:row>
      <xdr:rowOff>0</xdr:rowOff>
    </xdr:from>
    <xdr:to>
      <xdr:col>5</xdr:col>
      <xdr:colOff>228600</xdr:colOff>
      <xdr:row>81</xdr:row>
      <xdr:rowOff>57150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/>
      </xdr:nvCxnSpPr>
      <xdr:spPr>
        <a:xfrm>
          <a:off x="3457575" y="12011025"/>
          <a:ext cx="0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91</xdr:row>
      <xdr:rowOff>104775</xdr:rowOff>
    </xdr:from>
    <xdr:to>
      <xdr:col>9</xdr:col>
      <xdr:colOff>361950</xdr:colOff>
      <xdr:row>91</xdr:row>
      <xdr:rowOff>104775</xdr:rowOff>
    </xdr:to>
    <xdr:cxnSp macro="">
      <xdr:nvCxnSpPr>
        <xdr:cNvPr id="26" name="AutoShape 27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>
          <a:cxnSpLocks noChangeShapeType="1"/>
        </xdr:cNvCxnSpPr>
      </xdr:nvCxnSpPr>
      <xdr:spPr bwMode="auto">
        <a:xfrm>
          <a:off x="4733925" y="14868525"/>
          <a:ext cx="12954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257175</xdr:colOff>
      <xdr:row>65</xdr:row>
      <xdr:rowOff>123825</xdr:rowOff>
    </xdr:from>
    <xdr:to>
      <xdr:col>9</xdr:col>
      <xdr:colOff>342901</xdr:colOff>
      <xdr:row>91</xdr:row>
      <xdr:rowOff>28579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/>
      </xdr:nvCxnSpPr>
      <xdr:spPr>
        <a:xfrm flipH="1" flipV="1">
          <a:off x="5924550" y="10677525"/>
          <a:ext cx="85726" cy="4114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90</xdr:row>
      <xdr:rowOff>66675</xdr:rowOff>
    </xdr:from>
    <xdr:to>
      <xdr:col>8</xdr:col>
      <xdr:colOff>476250</xdr:colOff>
      <xdr:row>91</xdr:row>
      <xdr:rowOff>57150</xdr:rowOff>
    </xdr:to>
    <xdr:sp macro="" textlink="">
      <xdr:nvSpPr>
        <xdr:cNvPr id="28" name="Text Box 25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>
          <a:spLocks noChangeArrowheads="1"/>
        </xdr:cNvSpPr>
      </xdr:nvSpPr>
      <xdr:spPr bwMode="auto">
        <a:xfrm>
          <a:off x="5295900" y="14668500"/>
          <a:ext cx="2381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endParaRPr lang="en-US"/>
        </a:p>
      </xdr:txBody>
    </xdr:sp>
    <xdr:clientData/>
  </xdr:twoCellAnchor>
  <xdr:twoCellAnchor>
    <xdr:from>
      <xdr:col>4</xdr:col>
      <xdr:colOff>600075</xdr:colOff>
      <xdr:row>97</xdr:row>
      <xdr:rowOff>47625</xdr:rowOff>
    </xdr:from>
    <xdr:to>
      <xdr:col>5</xdr:col>
      <xdr:colOff>133350</xdr:colOff>
      <xdr:row>98</xdr:row>
      <xdr:rowOff>66675</xdr:rowOff>
    </xdr:to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3219450" y="15782925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  <a:endParaRPr lang="en-US"/>
        </a:p>
      </xdr:txBody>
    </xdr:sp>
    <xdr:clientData/>
  </xdr:twoCellAnchor>
  <xdr:twoCellAnchor>
    <xdr:from>
      <xdr:col>0</xdr:col>
      <xdr:colOff>66675</xdr:colOff>
      <xdr:row>100</xdr:row>
      <xdr:rowOff>0</xdr:rowOff>
    </xdr:from>
    <xdr:to>
      <xdr:col>0</xdr:col>
      <xdr:colOff>66675</xdr:colOff>
      <xdr:row>103</xdr:row>
      <xdr:rowOff>9525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>
          <a:off x="66675" y="1622107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271463</xdr:colOff>
      <xdr:row>97</xdr:row>
      <xdr:rowOff>76200</xdr:rowOff>
    </xdr:from>
    <xdr:to>
      <xdr:col>5</xdr:col>
      <xdr:colOff>276225</xdr:colOff>
      <xdr:row>99</xdr:row>
      <xdr:rowOff>133350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4" idx="2"/>
          <a:endCxn id="34" idx="0"/>
        </xdr:cNvCxnSpPr>
      </xdr:nvCxnSpPr>
      <xdr:spPr>
        <a:xfrm flipH="1">
          <a:off x="3500438" y="15811500"/>
          <a:ext cx="4762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285749</xdr:colOff>
      <xdr:row>107</xdr:row>
      <xdr:rowOff>76199</xdr:rowOff>
    </xdr:from>
    <xdr:to>
      <xdr:col>13</xdr:col>
      <xdr:colOff>85724</xdr:colOff>
      <xdr:row>113</xdr:row>
      <xdr:rowOff>161924</xdr:rowOff>
    </xdr:to>
    <xdr:sp macro="" textlink="">
      <xdr:nvSpPr>
        <xdr:cNvPr id="32" name="Proceso predefinido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4733924" y="17430749"/>
          <a:ext cx="3457575" cy="1057275"/>
        </a:xfrm>
        <a:prstGeom prst="flowChartPredefined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 Ing de apoyo realiza Calidad al informe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entregado por el Ing Residente y el reporte de Eficen, al igual que el inventario y coordina que todo este con calidad (Foto, instalación, y planeación)</a:t>
          </a:r>
        </a:p>
        <a:p>
          <a:pPr marL="0" indent="0" algn="ctr"/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108</xdr:row>
      <xdr:rowOff>0</xdr:rowOff>
    </xdr:from>
    <xdr:to>
      <xdr:col>6</xdr:col>
      <xdr:colOff>504825</xdr:colOff>
      <xdr:row>113</xdr:row>
      <xdr:rowOff>85725</xdr:rowOff>
    </xdr:to>
    <xdr:sp macro="" textlink="">
      <xdr:nvSpPr>
        <xdr:cNvPr id="33" name="Documento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638425" y="17516475"/>
          <a:ext cx="1704975" cy="895350"/>
        </a:xfrm>
        <a:prstGeom prst="flowChartDocumen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Informe diario de instalación e inventairo de materiales</a:t>
          </a:r>
        </a:p>
      </xdr:txBody>
    </xdr:sp>
    <xdr:clientData/>
  </xdr:twoCellAnchor>
  <xdr:twoCellAnchor>
    <xdr:from>
      <xdr:col>4</xdr:col>
      <xdr:colOff>123825</xdr:colOff>
      <xdr:row>99</xdr:row>
      <xdr:rowOff>133350</xdr:rowOff>
    </xdr:from>
    <xdr:to>
      <xdr:col>6</xdr:col>
      <xdr:colOff>419100</xdr:colOff>
      <xdr:row>105</xdr:row>
      <xdr:rowOff>28575</xdr:rowOff>
    </xdr:to>
    <xdr:sp macro="" textlink="">
      <xdr:nvSpPr>
        <xdr:cNvPr id="34" name="Proceso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743200" y="16192500"/>
          <a:ext cx="1514475" cy="86677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 rtl="0">
            <a:defRPr sz="1000"/>
          </a:pPr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Ing residente realiza el control diario de instalación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247650</xdr:colOff>
      <xdr:row>105</xdr:row>
      <xdr:rowOff>76200</xdr:rowOff>
    </xdr:from>
    <xdr:to>
      <xdr:col>5</xdr:col>
      <xdr:colOff>252412</xdr:colOff>
      <xdr:row>107</xdr:row>
      <xdr:rowOff>131694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476625" y="17106900"/>
          <a:ext cx="4762" cy="3793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119</xdr:row>
      <xdr:rowOff>28575</xdr:rowOff>
    </xdr:from>
    <xdr:to>
      <xdr:col>9</xdr:col>
      <xdr:colOff>38101</xdr:colOff>
      <xdr:row>128</xdr:row>
      <xdr:rowOff>152400</xdr:rowOff>
    </xdr:to>
    <xdr:sp macro="" textlink="">
      <xdr:nvSpPr>
        <xdr:cNvPr id="36" name="Decisión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3448050" y="19326225"/>
          <a:ext cx="2257426" cy="1581150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Inf de Apoyo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verifica toda la información y da visto bueno 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66675</xdr:colOff>
      <xdr:row>111</xdr:row>
      <xdr:rowOff>0</xdr:rowOff>
    </xdr:from>
    <xdr:to>
      <xdr:col>7</xdr:col>
      <xdr:colOff>76200</xdr:colOff>
      <xdr:row>118</xdr:row>
      <xdr:rowOff>104775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/>
      </xdr:nvCxnSpPr>
      <xdr:spPr>
        <a:xfrm>
          <a:off x="4514850" y="18002250"/>
          <a:ext cx="9525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124</xdr:row>
      <xdr:rowOff>9525</xdr:rowOff>
    </xdr:from>
    <xdr:to>
      <xdr:col>5</xdr:col>
      <xdr:colOff>219075</xdr:colOff>
      <xdr:row>124</xdr:row>
      <xdr:rowOff>19050</xdr:rowOff>
    </xdr:to>
    <xdr:cxnSp macro="">
      <xdr:nvCxnSpPr>
        <xdr:cNvPr id="38" name="AutoShape 2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cxnSpLocks noChangeShapeType="1"/>
          <a:stCxn id="36" idx="1"/>
        </xdr:cNvCxnSpPr>
      </xdr:nvCxnSpPr>
      <xdr:spPr bwMode="auto">
        <a:xfrm flipH="1">
          <a:off x="2981325" y="20116800"/>
          <a:ext cx="46672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504825</xdr:colOff>
      <xdr:row>110</xdr:row>
      <xdr:rowOff>119062</xdr:rowOff>
    </xdr:from>
    <xdr:to>
      <xdr:col>7</xdr:col>
      <xdr:colOff>285749</xdr:colOff>
      <xdr:row>110</xdr:row>
      <xdr:rowOff>123825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>
          <a:stCxn id="33" idx="3"/>
          <a:endCxn id="32" idx="1"/>
        </xdr:cNvCxnSpPr>
      </xdr:nvCxnSpPr>
      <xdr:spPr>
        <a:xfrm flipV="1">
          <a:off x="4343400" y="17959387"/>
          <a:ext cx="390524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122</xdr:row>
      <xdr:rowOff>95250</xdr:rowOff>
    </xdr:from>
    <xdr:to>
      <xdr:col>5</xdr:col>
      <xdr:colOff>104775</xdr:colOff>
      <xdr:row>123</xdr:row>
      <xdr:rowOff>95250</xdr:rowOff>
    </xdr:to>
    <xdr:sp macro="" textlink="">
      <xdr:nvSpPr>
        <xdr:cNvPr id="40" name="Text Box 25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>
          <a:spLocks noChangeArrowheads="1"/>
        </xdr:cNvSpPr>
      </xdr:nvSpPr>
      <xdr:spPr bwMode="auto">
        <a:xfrm>
          <a:off x="3038475" y="19878675"/>
          <a:ext cx="295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endParaRPr lang="en-US"/>
        </a:p>
      </xdr:txBody>
    </xdr:sp>
    <xdr:clientData/>
  </xdr:twoCellAnchor>
  <xdr:twoCellAnchor>
    <xdr:from>
      <xdr:col>7</xdr:col>
      <xdr:colOff>114300</xdr:colOff>
      <xdr:row>129</xdr:row>
      <xdr:rowOff>38100</xdr:rowOff>
    </xdr:from>
    <xdr:to>
      <xdr:col>7</xdr:col>
      <xdr:colOff>114300</xdr:colOff>
      <xdr:row>130</xdr:row>
      <xdr:rowOff>152400</xdr:rowOff>
    </xdr:to>
    <xdr:cxnSp macro="">
      <xdr:nvCxnSpPr>
        <xdr:cNvPr id="41" name="AutoShape 32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>
          <a:cxnSpLocks noChangeShapeType="1"/>
        </xdr:cNvCxnSpPr>
      </xdr:nvCxnSpPr>
      <xdr:spPr bwMode="auto">
        <a:xfrm>
          <a:off x="4562475" y="20955000"/>
          <a:ext cx="0" cy="2762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381000</xdr:colOff>
      <xdr:row>114</xdr:row>
      <xdr:rowOff>19050</xdr:rowOff>
    </xdr:from>
    <xdr:to>
      <xdr:col>4</xdr:col>
      <xdr:colOff>400050</xdr:colOff>
      <xdr:row>124</xdr:row>
      <xdr:rowOff>19050</xdr:rowOff>
    </xdr:to>
    <xdr:cxnSp macro="">
      <xdr:nvCxnSpPr>
        <xdr:cNvPr id="42" name="AutoShape 32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>
          <a:cxnSpLocks noChangeShapeType="1"/>
        </xdr:cNvCxnSpPr>
      </xdr:nvCxnSpPr>
      <xdr:spPr bwMode="auto">
        <a:xfrm flipV="1">
          <a:off x="3000375" y="18507075"/>
          <a:ext cx="19050" cy="16192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561975</xdr:colOff>
      <xdr:row>131</xdr:row>
      <xdr:rowOff>9525</xdr:rowOff>
    </xdr:from>
    <xdr:to>
      <xdr:col>8</xdr:col>
      <xdr:colOff>295275</xdr:colOff>
      <xdr:row>135</xdr:row>
      <xdr:rowOff>28575</xdr:rowOff>
    </xdr:to>
    <xdr:sp macro="" textlink="">
      <xdr:nvSpPr>
        <xdr:cNvPr id="43" name="Terminador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3790950" y="21250275"/>
          <a:ext cx="1562100" cy="666750"/>
        </a:xfrm>
        <a:prstGeom prst="flowChartTerminator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S" sz="1100">
              <a:solidFill>
                <a:sysClr val="windowText" lastClr="000000"/>
              </a:solidFill>
            </a:rPr>
            <a:t>Informe semanal al director de proyecto</a:t>
          </a:r>
        </a:p>
      </xdr:txBody>
    </xdr:sp>
    <xdr:clientData/>
  </xdr:twoCellAnchor>
  <xdr:twoCellAnchor>
    <xdr:from>
      <xdr:col>5</xdr:col>
      <xdr:colOff>542925</xdr:colOff>
      <xdr:row>52</xdr:row>
      <xdr:rowOff>123825</xdr:rowOff>
    </xdr:from>
    <xdr:to>
      <xdr:col>8</xdr:col>
      <xdr:colOff>466725</xdr:colOff>
      <xdr:row>58</xdr:row>
      <xdr:rowOff>152400</xdr:rowOff>
    </xdr:to>
    <xdr:sp macro="" textlink="">
      <xdr:nvSpPr>
        <xdr:cNvPr id="44" name="Proces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>
        <a:xfrm>
          <a:off x="3771900" y="8572500"/>
          <a:ext cx="1752600" cy="100012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 Ing Residente entrega material y equipos a los supervisores de terreno, y material de apoyo a los contratistas</a:t>
          </a:r>
        </a:p>
      </xdr:txBody>
    </xdr:sp>
    <xdr:clientData/>
  </xdr:twoCellAnchor>
  <xdr:twoCellAnchor>
    <xdr:from>
      <xdr:col>1</xdr:col>
      <xdr:colOff>295275</xdr:colOff>
      <xdr:row>52</xdr:row>
      <xdr:rowOff>104775</xdr:rowOff>
    </xdr:from>
    <xdr:to>
      <xdr:col>4</xdr:col>
      <xdr:colOff>219075</xdr:colOff>
      <xdr:row>58</xdr:row>
      <xdr:rowOff>133350</xdr:rowOff>
    </xdr:to>
    <xdr:sp macro="" textlink="">
      <xdr:nvSpPr>
        <xdr:cNvPr id="45" name="Proces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85850" y="8553450"/>
          <a:ext cx="1752600" cy="100012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 Ing Residente entrega al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Contratista</a:t>
          </a:r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materiales de instalación, luminrias segun la ODT del día </a:t>
          </a:r>
        </a:p>
      </xdr:txBody>
    </xdr:sp>
    <xdr:clientData/>
  </xdr:twoCellAnchor>
  <xdr:twoCellAnchor>
    <xdr:from>
      <xdr:col>4</xdr:col>
      <xdr:colOff>295275</xdr:colOff>
      <xdr:row>56</xdr:row>
      <xdr:rowOff>152400</xdr:rowOff>
    </xdr:from>
    <xdr:to>
      <xdr:col>5</xdr:col>
      <xdr:colOff>495300</xdr:colOff>
      <xdr:row>60</xdr:row>
      <xdr:rowOff>66675</xdr:rowOff>
    </xdr:to>
    <xdr:sp macro="" textlink="">
      <xdr:nvSpPr>
        <xdr:cNvPr id="46" name="Flecha izquierda, derecha y arriba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 flipV="1">
          <a:off x="2914650" y="9248775"/>
          <a:ext cx="809625" cy="561975"/>
        </a:xfrm>
        <a:prstGeom prst="leftRightUpArrow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266700</xdr:colOff>
      <xdr:row>77</xdr:row>
      <xdr:rowOff>133349</xdr:rowOff>
    </xdr:from>
    <xdr:to>
      <xdr:col>4</xdr:col>
      <xdr:colOff>285750</xdr:colOff>
      <xdr:row>84</xdr:row>
      <xdr:rowOff>152399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rrowheads="1"/>
        </xdr:cNvSpPr>
      </xdr:nvSpPr>
      <xdr:spPr bwMode="auto">
        <a:xfrm>
          <a:off x="1666875" y="12630149"/>
          <a:ext cx="1238250" cy="1152525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 rtl="0">
            <a:defRPr sz="1000"/>
          </a:pP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La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información es recibida y verificada por el Ing Residente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476250</xdr:colOff>
      <xdr:row>81</xdr:row>
      <xdr:rowOff>114300</xdr:rowOff>
    </xdr:from>
    <xdr:to>
      <xdr:col>6</xdr:col>
      <xdr:colOff>66675</xdr:colOff>
      <xdr:row>85</xdr:row>
      <xdr:rowOff>28575</xdr:rowOff>
    </xdr:to>
    <xdr:sp macro="" textlink="">
      <xdr:nvSpPr>
        <xdr:cNvPr id="48" name="Flecha izquierda, derecha y arriba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>
        <a:xfrm flipV="1">
          <a:off x="3095625" y="13258800"/>
          <a:ext cx="809625" cy="561975"/>
        </a:xfrm>
        <a:prstGeom prst="leftRightUpArrow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514350</xdr:colOff>
      <xdr:row>129</xdr:row>
      <xdr:rowOff>0</xdr:rowOff>
    </xdr:from>
    <xdr:to>
      <xdr:col>7</xdr:col>
      <xdr:colOff>47625</xdr:colOff>
      <xdr:row>130</xdr:row>
      <xdr:rowOff>19050</xdr:rowOff>
    </xdr:to>
    <xdr:sp macro="" textlink="">
      <xdr:nvSpPr>
        <xdr:cNvPr id="49" name="Text Box 25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>
          <a:spLocks noChangeArrowheads="1"/>
        </xdr:cNvSpPr>
      </xdr:nvSpPr>
      <xdr:spPr bwMode="auto">
        <a:xfrm>
          <a:off x="4352925" y="2091690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  <a:endParaRPr lang="en-US"/>
        </a:p>
      </xdr:txBody>
    </xdr:sp>
    <xdr:clientData/>
  </xdr:twoCellAnchor>
  <xdr:twoCellAnchor>
    <xdr:from>
      <xdr:col>9</xdr:col>
      <xdr:colOff>228600</xdr:colOff>
      <xdr:row>130</xdr:row>
      <xdr:rowOff>28575</xdr:rowOff>
    </xdr:from>
    <xdr:to>
      <xdr:col>15</xdr:col>
      <xdr:colOff>28575</xdr:colOff>
      <xdr:row>136</xdr:row>
      <xdr:rowOff>114300</xdr:rowOff>
    </xdr:to>
    <xdr:sp macro="" textlink="">
      <xdr:nvSpPr>
        <xdr:cNvPr id="50" name="Proceso predefinido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5895975" y="21107400"/>
          <a:ext cx="3457575" cy="1057275"/>
        </a:xfrm>
        <a:prstGeom prst="flowChartPredefinedProcess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El Ing Residente coordina con el área de manteminiento la disposición final de cada elemento desmontado y coordina el envío</a:t>
          </a:r>
          <a:r>
            <a:rPr lang="es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donde se requiera.</a:t>
          </a:r>
          <a:endParaRPr lang="es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133</xdr:row>
      <xdr:rowOff>19050</xdr:rowOff>
    </xdr:from>
    <xdr:to>
      <xdr:col>9</xdr:col>
      <xdr:colOff>123824</xdr:colOff>
      <xdr:row>133</xdr:row>
      <xdr:rowOff>23813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CxnSpPr/>
      </xdr:nvCxnSpPr>
      <xdr:spPr>
        <a:xfrm flipV="1">
          <a:off x="5400675" y="21583650"/>
          <a:ext cx="390524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8</xdr:row>
      <xdr:rowOff>57980</xdr:rowOff>
    </xdr:from>
    <xdr:to>
      <xdr:col>9</xdr:col>
      <xdr:colOff>795130</xdr:colOff>
      <xdr:row>23</xdr:row>
      <xdr:rowOff>33131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8038"/>
        <a:stretch/>
      </xdr:blipFill>
      <xdr:spPr>
        <a:xfrm>
          <a:off x="9922567" y="2327415"/>
          <a:ext cx="4654825" cy="2981738"/>
        </a:xfrm>
        <a:prstGeom prst="rect">
          <a:avLst/>
        </a:prstGeom>
      </xdr:spPr>
    </xdr:pic>
    <xdr:clientData/>
  </xdr:twoCellAnchor>
  <xdr:twoCellAnchor editAs="oneCell">
    <xdr:from>
      <xdr:col>6</xdr:col>
      <xdr:colOff>149086</xdr:colOff>
      <xdr:row>34</xdr:row>
      <xdr:rowOff>41412</xdr:rowOff>
    </xdr:from>
    <xdr:to>
      <xdr:col>9</xdr:col>
      <xdr:colOff>844826</xdr:colOff>
      <xdr:row>38</xdr:row>
      <xdr:rowOff>155602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74" r="4172"/>
        <a:stretch/>
      </xdr:blipFill>
      <xdr:spPr>
        <a:xfrm>
          <a:off x="10088216" y="7081629"/>
          <a:ext cx="4646545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91109</xdr:colOff>
      <xdr:row>7</xdr:row>
      <xdr:rowOff>67919</xdr:rowOff>
    </xdr:from>
    <xdr:to>
      <xdr:col>4</xdr:col>
      <xdr:colOff>902805</xdr:colOff>
      <xdr:row>28</xdr:row>
      <xdr:rowOff>281609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109" y="1956354"/>
          <a:ext cx="3760305" cy="4371560"/>
        </a:xfrm>
        <a:prstGeom prst="rect">
          <a:avLst/>
        </a:prstGeom>
      </xdr:spPr>
    </xdr:pic>
    <xdr:clientData/>
  </xdr:twoCellAnchor>
  <xdr:twoCellAnchor editAs="oneCell">
    <xdr:from>
      <xdr:col>6</xdr:col>
      <xdr:colOff>91108</xdr:colOff>
      <xdr:row>24</xdr:row>
      <xdr:rowOff>16565</xdr:rowOff>
    </xdr:from>
    <xdr:to>
      <xdr:col>9</xdr:col>
      <xdr:colOff>912617</xdr:colOff>
      <xdr:row>28</xdr:row>
      <xdr:rowOff>215347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0238" y="5143500"/>
          <a:ext cx="4772314" cy="969065"/>
        </a:xfrm>
        <a:prstGeom prst="rect">
          <a:avLst/>
        </a:prstGeom>
      </xdr:spPr>
    </xdr:pic>
    <xdr:clientData/>
  </xdr:twoCellAnchor>
  <xdr:twoCellAnchor editAs="oneCell">
    <xdr:from>
      <xdr:col>6</xdr:col>
      <xdr:colOff>107674</xdr:colOff>
      <xdr:row>30</xdr:row>
      <xdr:rowOff>8282</xdr:rowOff>
    </xdr:from>
    <xdr:to>
      <xdr:col>9</xdr:col>
      <xdr:colOff>924018</xdr:colOff>
      <xdr:row>33</xdr:row>
      <xdr:rowOff>107673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6804" y="6278217"/>
          <a:ext cx="4767149" cy="679173"/>
        </a:xfrm>
        <a:prstGeom prst="rect">
          <a:avLst/>
        </a:prstGeom>
      </xdr:spPr>
    </xdr:pic>
    <xdr:clientData/>
  </xdr:twoCellAnchor>
  <xdr:twoCellAnchor editAs="oneCell">
    <xdr:from>
      <xdr:col>11</xdr:col>
      <xdr:colOff>200439</xdr:colOff>
      <xdr:row>7</xdr:row>
      <xdr:rowOff>57979</xdr:rowOff>
    </xdr:from>
    <xdr:to>
      <xdr:col>11</xdr:col>
      <xdr:colOff>1739348</xdr:colOff>
      <xdr:row>11</xdr:row>
      <xdr:rowOff>182130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77330" y="1954696"/>
          <a:ext cx="1538909" cy="993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123825</xdr:rowOff>
    </xdr:from>
    <xdr:to>
      <xdr:col>8</xdr:col>
      <xdr:colOff>599355</xdr:colOff>
      <xdr:row>27</xdr:row>
      <xdr:rowOff>75587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23850"/>
          <a:ext cx="5761905" cy="49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1</xdr:row>
      <xdr:rowOff>152400</xdr:rowOff>
    </xdr:from>
    <xdr:to>
      <xdr:col>16</xdr:col>
      <xdr:colOff>447675</xdr:colOff>
      <xdr:row>27</xdr:row>
      <xdr:rowOff>14909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3275" y="352425"/>
          <a:ext cx="5486400" cy="48155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CONSOLIDADO%20IMPORTACIONES%20LUMINAR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PL"/>
    </sheetNames>
    <sheetDataSet>
      <sheetData sheetId="0" refreshError="1">
        <row r="37">
          <cell r="O37">
            <v>6181</v>
          </cell>
        </row>
        <row r="38">
          <cell r="O38">
            <v>1118</v>
          </cell>
        </row>
        <row r="40">
          <cell r="O40">
            <v>152</v>
          </cell>
        </row>
        <row r="41">
          <cell r="O41">
            <v>234</v>
          </cell>
        </row>
        <row r="42">
          <cell r="O42">
            <v>758</v>
          </cell>
        </row>
        <row r="43">
          <cell r="O43">
            <v>1271</v>
          </cell>
        </row>
        <row r="44">
          <cell r="O44">
            <v>312</v>
          </cell>
        </row>
        <row r="45">
          <cell r="O45">
            <v>1323</v>
          </cell>
        </row>
        <row r="46">
          <cell r="O46">
            <v>53</v>
          </cell>
        </row>
        <row r="47">
          <cell r="O47">
            <v>200</v>
          </cell>
        </row>
        <row r="48">
          <cell r="O48">
            <v>206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0"/>
  <sheetViews>
    <sheetView tabSelected="1" view="pageBreakPreview" topLeftCell="A109" zoomScale="90" zoomScaleNormal="55" zoomScaleSheetLayoutView="90" workbookViewId="0">
      <selection activeCell="A2" sqref="A2:E2"/>
    </sheetView>
  </sheetViews>
  <sheetFormatPr baseColWidth="10" defaultRowHeight="0" customHeight="1" zeroHeight="1"/>
  <cols>
    <col min="1" max="1" width="15.140625" customWidth="1"/>
    <col min="2" max="2" width="70.140625" customWidth="1"/>
    <col min="3" max="3" width="10.42578125" customWidth="1"/>
    <col min="4" max="4" width="10" customWidth="1"/>
    <col min="5" max="5" width="6" customWidth="1"/>
    <col min="6" max="6" width="10" customWidth="1"/>
    <col min="7" max="7" width="14.28515625" customWidth="1"/>
    <col min="8" max="8" width="19.85546875" customWidth="1"/>
    <col min="9" max="9" width="12.28515625" customWidth="1"/>
    <col min="10" max="10" width="18.7109375" customWidth="1"/>
    <col min="11" max="11" width="17.140625" bestFit="1" customWidth="1"/>
    <col min="15" max="15" width="16.5703125" bestFit="1" customWidth="1"/>
  </cols>
  <sheetData>
    <row r="1" spans="1:10" ht="38.25" customHeight="1">
      <c r="A1" s="463" t="s">
        <v>745</v>
      </c>
      <c r="B1" s="464"/>
      <c r="C1" s="464"/>
      <c r="D1" s="464"/>
      <c r="E1" s="464"/>
      <c r="F1" s="453"/>
      <c r="G1" s="453"/>
      <c r="H1" s="453"/>
      <c r="I1" s="453"/>
      <c r="J1" s="457"/>
    </row>
    <row r="2" spans="1:10" ht="38.25" customHeight="1">
      <c r="A2" s="465" t="s">
        <v>746</v>
      </c>
      <c r="B2" s="466"/>
      <c r="C2" s="466"/>
      <c r="D2" s="466"/>
      <c r="E2" s="466"/>
      <c r="F2" s="454"/>
      <c r="G2" s="454"/>
      <c r="H2" s="454"/>
      <c r="I2" s="454"/>
      <c r="J2" s="458"/>
    </row>
    <row r="3" spans="1:10" ht="14.25" customHeight="1" thickBot="1">
      <c r="A3" s="455"/>
      <c r="B3" s="456"/>
      <c r="C3" s="456"/>
      <c r="D3" s="456"/>
      <c r="E3" s="456"/>
      <c r="F3" s="456"/>
      <c r="G3" s="456"/>
      <c r="H3" s="456"/>
      <c r="I3" s="456"/>
      <c r="J3" s="459"/>
    </row>
    <row r="4" spans="1:10" ht="15.75" thickBot="1">
      <c r="A4" s="452" t="s">
        <v>4</v>
      </c>
      <c r="B4" s="475" t="s">
        <v>595</v>
      </c>
      <c r="C4" s="475"/>
      <c r="D4" s="475"/>
      <c r="E4" s="475"/>
      <c r="F4" s="475"/>
      <c r="G4" s="475"/>
      <c r="H4" s="475"/>
      <c r="I4" s="475"/>
      <c r="J4" s="475"/>
    </row>
    <row r="5" spans="1:10" ht="15.75" thickBot="1">
      <c r="A5" s="452" t="s">
        <v>10</v>
      </c>
      <c r="B5" s="452" t="s">
        <v>697</v>
      </c>
      <c r="C5" s="452"/>
      <c r="D5" s="452" t="s">
        <v>11</v>
      </c>
      <c r="E5" s="476"/>
      <c r="F5" s="476"/>
      <c r="G5" s="476"/>
      <c r="H5" s="476"/>
      <c r="I5" s="476"/>
      <c r="J5" s="476"/>
    </row>
    <row r="6" spans="1:10" ht="15.75" thickBot="1">
      <c r="A6" s="452" t="s">
        <v>19</v>
      </c>
      <c r="B6" s="475" t="s">
        <v>740</v>
      </c>
      <c r="C6" s="475"/>
      <c r="D6" s="475"/>
      <c r="E6" s="475"/>
      <c r="F6" s="475"/>
      <c r="G6" s="475"/>
      <c r="H6" s="475"/>
      <c r="I6" s="475"/>
      <c r="J6" s="475"/>
    </row>
    <row r="7" spans="1:10" ht="15.75" thickBot="1">
      <c r="A7" s="452" t="s">
        <v>14</v>
      </c>
      <c r="B7" s="477" t="s">
        <v>698</v>
      </c>
      <c r="C7" s="477"/>
      <c r="D7" s="477"/>
      <c r="E7" s="477"/>
      <c r="F7" s="477"/>
      <c r="G7" s="477"/>
      <c r="H7" s="477"/>
      <c r="I7" s="477"/>
      <c r="J7" s="477"/>
    </row>
    <row r="8" spans="1:10" ht="32.25" customHeight="1">
      <c r="A8" s="317" t="s">
        <v>0</v>
      </c>
      <c r="B8" s="318" t="s">
        <v>1</v>
      </c>
      <c r="C8" s="318" t="s">
        <v>344</v>
      </c>
      <c r="D8" s="318" t="s">
        <v>2</v>
      </c>
      <c r="E8" s="319" t="s">
        <v>49</v>
      </c>
      <c r="F8" s="319" t="s">
        <v>81</v>
      </c>
      <c r="G8" s="319" t="s">
        <v>3</v>
      </c>
      <c r="H8" s="320" t="s">
        <v>7</v>
      </c>
      <c r="I8" s="442" t="s">
        <v>725</v>
      </c>
      <c r="J8" s="320" t="s">
        <v>726</v>
      </c>
    </row>
    <row r="9" spans="1:10" ht="15">
      <c r="A9" s="321">
        <v>1</v>
      </c>
      <c r="B9" s="322" t="s">
        <v>48</v>
      </c>
      <c r="C9" s="322"/>
      <c r="D9" s="323"/>
      <c r="E9" s="323"/>
      <c r="F9" s="324"/>
      <c r="G9" s="323"/>
      <c r="H9" s="325"/>
    </row>
    <row r="10" spans="1:10" ht="15">
      <c r="A10" s="326">
        <v>1.1000000000000001</v>
      </c>
      <c r="B10" s="327" t="s">
        <v>784</v>
      </c>
      <c r="C10" s="397"/>
      <c r="D10" s="328"/>
      <c r="E10" s="328"/>
      <c r="F10" s="328"/>
      <c r="G10" s="328"/>
      <c r="H10" s="329"/>
    </row>
    <row r="11" spans="1:10" ht="45">
      <c r="A11" s="330" t="s">
        <v>40</v>
      </c>
      <c r="B11" s="331" t="s">
        <v>614</v>
      </c>
      <c r="C11" s="399">
        <f>VLOOKUP(B11,'MAno de obra'!C:F,2,0)</f>
        <v>7157</v>
      </c>
      <c r="D11" s="332" t="str">
        <f>VLOOKUP(C11,'MAno de obra'!D:F,2,0)</f>
        <v>Und</v>
      </c>
      <c r="E11" s="333"/>
      <c r="F11" s="334">
        <v>580</v>
      </c>
      <c r="G11" s="335">
        <v>39550</v>
      </c>
      <c r="H11" s="336">
        <f>G11*F11</f>
        <v>22939000</v>
      </c>
      <c r="I11" s="334">
        <v>580</v>
      </c>
      <c r="J11" s="336">
        <f>I11*G11</f>
        <v>22939000</v>
      </c>
    </row>
    <row r="12" spans="1:10" s="315" customFormat="1" ht="30">
      <c r="A12" s="330" t="s">
        <v>41</v>
      </c>
      <c r="B12" s="331" t="s">
        <v>699</v>
      </c>
      <c r="C12" s="399">
        <f>VLOOKUP(B12,'MAno de obra'!C:F,2,0)</f>
        <v>10713</v>
      </c>
      <c r="D12" s="332" t="str">
        <f>VLOOKUP(C12,'MAno de obra'!D:F,2,0)</f>
        <v>ml</v>
      </c>
      <c r="E12" s="333"/>
      <c r="F12" s="334">
        <v>4892</v>
      </c>
      <c r="G12" s="335">
        <v>4500</v>
      </c>
      <c r="H12" s="337">
        <f>G12*F12</f>
        <v>22014000</v>
      </c>
      <c r="I12" s="334">
        <v>4892</v>
      </c>
      <c r="J12" s="336">
        <f>I12*G12</f>
        <v>22014000</v>
      </c>
    </row>
    <row r="13" spans="1:10" s="315" customFormat="1" ht="30">
      <c r="A13" s="330" t="s">
        <v>41</v>
      </c>
      <c r="B13" s="331" t="s">
        <v>728</v>
      </c>
      <c r="C13" s="399">
        <f>VLOOKUP(B13,'MAno de obra'!C:F,2,0)</f>
        <v>10713</v>
      </c>
      <c r="D13" s="332" t="str">
        <f>VLOOKUP(C13,'MAno de obra'!D:F,2,0)</f>
        <v>ml</v>
      </c>
      <c r="E13" s="333"/>
      <c r="F13" s="334">
        <v>7450</v>
      </c>
      <c r="G13" s="335">
        <v>4500</v>
      </c>
      <c r="H13" s="337">
        <f>G13*F13</f>
        <v>33525000</v>
      </c>
      <c r="I13" s="334">
        <v>7450</v>
      </c>
      <c r="J13" s="336">
        <f>I13*G13</f>
        <v>33525000</v>
      </c>
    </row>
    <row r="14" spans="1:10" s="315" customFormat="1" ht="30">
      <c r="A14" s="330" t="s">
        <v>41</v>
      </c>
      <c r="B14" s="331" t="s">
        <v>729</v>
      </c>
      <c r="C14" s="399">
        <f>VLOOKUP(B14,'MAno de obra'!C:F,2,0)</f>
        <v>10713</v>
      </c>
      <c r="D14" s="332" t="str">
        <f>VLOOKUP(C14,'MAno de obra'!D:F,2,0)</f>
        <v>ml</v>
      </c>
      <c r="E14" s="333"/>
      <c r="F14" s="334">
        <v>483</v>
      </c>
      <c r="G14" s="335">
        <v>4500</v>
      </c>
      <c r="H14" s="337">
        <f>G14*F14</f>
        <v>2173500</v>
      </c>
      <c r="I14" s="334">
        <v>483</v>
      </c>
      <c r="J14" s="336">
        <f>I14*G14</f>
        <v>2173500</v>
      </c>
    </row>
    <row r="15" spans="1:10" s="315" customFormat="1" ht="30">
      <c r="A15" s="330" t="s">
        <v>41</v>
      </c>
      <c r="B15" s="331" t="s">
        <v>730</v>
      </c>
      <c r="C15" s="399">
        <f>VLOOKUP(B15,'MAno de obra'!C:F,2,0)</f>
        <v>10713</v>
      </c>
      <c r="D15" s="332" t="str">
        <f>VLOOKUP(C15,'MAno de obra'!D:F,2,0)</f>
        <v>ml</v>
      </c>
      <c r="E15" s="333"/>
      <c r="F15" s="334">
        <v>428</v>
      </c>
      <c r="G15" s="335">
        <v>4500</v>
      </c>
      <c r="H15" s="337">
        <f t="shared" ref="H15:H42" si="0">G15*F15</f>
        <v>1926000</v>
      </c>
      <c r="I15" s="334">
        <v>428</v>
      </c>
      <c r="J15" s="336">
        <f t="shared" ref="J15:J42" si="1">I15*G15</f>
        <v>1926000</v>
      </c>
    </row>
    <row r="16" spans="1:10" s="315" customFormat="1" ht="30">
      <c r="A16" s="330" t="s">
        <v>674</v>
      </c>
      <c r="B16" s="331" t="s">
        <v>623</v>
      </c>
      <c r="C16" s="399">
        <f>VLOOKUP(B16,'MAno de obra'!C:F,2,0)</f>
        <v>8702</v>
      </c>
      <c r="D16" s="332" t="str">
        <f>VLOOKUP(C16,'MAno de obra'!D:F,2,0)</f>
        <v>Und</v>
      </c>
      <c r="E16" s="333"/>
      <c r="F16" s="334">
        <v>120</v>
      </c>
      <c r="G16" s="335">
        <v>112500</v>
      </c>
      <c r="H16" s="337">
        <f t="shared" si="0"/>
        <v>13500000</v>
      </c>
      <c r="I16" s="334">
        <v>120</v>
      </c>
      <c r="J16" s="336">
        <f t="shared" si="1"/>
        <v>13500000</v>
      </c>
    </row>
    <row r="17" spans="1:10" s="315" customFormat="1" ht="45">
      <c r="A17" s="330" t="s">
        <v>675</v>
      </c>
      <c r="B17" s="331" t="s">
        <v>621</v>
      </c>
      <c r="C17" s="399">
        <f>VLOOKUP(B17,'MAno de obra'!C:F,2,0)</f>
        <v>9485</v>
      </c>
      <c r="D17" s="332" t="str">
        <f>VLOOKUP(C17,'MAno de obra'!D:F,2,0)</f>
        <v>Und</v>
      </c>
      <c r="E17" s="333"/>
      <c r="F17" s="334">
        <v>464</v>
      </c>
      <c r="G17" s="335">
        <v>120000</v>
      </c>
      <c r="H17" s="337">
        <f t="shared" si="0"/>
        <v>55680000</v>
      </c>
      <c r="I17" s="334">
        <f>418+46</f>
        <v>464</v>
      </c>
      <c r="J17" s="336">
        <f t="shared" si="1"/>
        <v>55680000</v>
      </c>
    </row>
    <row r="18" spans="1:10" s="315" customFormat="1" ht="30">
      <c r="A18" s="330" t="s">
        <v>676</v>
      </c>
      <c r="B18" s="331" t="s">
        <v>622</v>
      </c>
      <c r="C18" s="399">
        <f>VLOOKUP(B18,'MAno de obra'!C:F,2,0)</f>
        <v>5127</v>
      </c>
      <c r="D18" s="332" t="str">
        <f>VLOOKUP(C18,'MAno de obra'!D:F,2,0)</f>
        <v>Und</v>
      </c>
      <c r="E18" s="333"/>
      <c r="F18" s="334">
        <v>1</v>
      </c>
      <c r="G18" s="335">
        <v>235000</v>
      </c>
      <c r="H18" s="337">
        <f t="shared" si="0"/>
        <v>235000</v>
      </c>
      <c r="I18" s="334">
        <v>1</v>
      </c>
      <c r="J18" s="336">
        <f t="shared" si="1"/>
        <v>235000</v>
      </c>
    </row>
    <row r="19" spans="1:10" s="315" customFormat="1" ht="15">
      <c r="A19" s="330" t="s">
        <v>679</v>
      </c>
      <c r="B19" s="331" t="s">
        <v>702</v>
      </c>
      <c r="C19" s="399">
        <f>VLOOKUP(B19,'MAno de obra'!C:F,2,0)</f>
        <v>10712</v>
      </c>
      <c r="D19" s="332" t="str">
        <f>VLOOKUP(C19,'MAno de obra'!D:F,2,0)</f>
        <v>Ml</v>
      </c>
      <c r="E19" s="333"/>
      <c r="F19" s="334">
        <v>84</v>
      </c>
      <c r="G19" s="335">
        <f>VLOOKUP(B19,'MAno de obra'!C:F,4,0)</f>
        <v>10000</v>
      </c>
      <c r="H19" s="337">
        <f t="shared" ref="H19:H24" si="2">G19*F19</f>
        <v>840000</v>
      </c>
      <c r="I19" s="334"/>
      <c r="J19" s="336"/>
    </row>
    <row r="20" spans="1:10" s="315" customFormat="1" ht="15">
      <c r="A20" s="330" t="s">
        <v>680</v>
      </c>
      <c r="B20" s="331" t="s">
        <v>405</v>
      </c>
      <c r="C20" s="399">
        <f>VLOOKUP(B20,'MAno de obra'!C:F,2,0)</f>
        <v>10715</v>
      </c>
      <c r="D20" s="332" t="str">
        <f>VLOOKUP(C20,'MAno de obra'!D:F,2,0)</f>
        <v>Und</v>
      </c>
      <c r="E20" s="333"/>
      <c r="F20" s="334">
        <v>14</v>
      </c>
      <c r="G20" s="335">
        <v>150000</v>
      </c>
      <c r="H20" s="337">
        <f t="shared" si="2"/>
        <v>2100000</v>
      </c>
      <c r="I20" s="334"/>
      <c r="J20" s="336"/>
    </row>
    <row r="21" spans="1:10" s="315" customFormat="1" ht="30">
      <c r="A21" s="330" t="s">
        <v>681</v>
      </c>
      <c r="B21" s="331" t="s">
        <v>356</v>
      </c>
      <c r="C21" s="399">
        <f>VLOOKUP(B21,'MAno de obra'!C:F,2,0)</f>
        <v>10713</v>
      </c>
      <c r="D21" s="332" t="str">
        <f>VLOOKUP(C21,'MAno de obra'!D:F,2,0)</f>
        <v>ml</v>
      </c>
      <c r="E21" s="333"/>
      <c r="F21" s="334">
        <v>7320</v>
      </c>
      <c r="G21" s="335">
        <f>VLOOKUP(B21,'MAno de obra'!C:F,4,0)</f>
        <v>3500</v>
      </c>
      <c r="H21" s="337">
        <f t="shared" si="2"/>
        <v>25620000</v>
      </c>
      <c r="I21" s="334"/>
      <c r="J21" s="336"/>
    </row>
    <row r="22" spans="1:10" s="315" customFormat="1" ht="30">
      <c r="A22" s="330" t="s">
        <v>682</v>
      </c>
      <c r="B22" s="331" t="s">
        <v>401</v>
      </c>
      <c r="C22" s="399">
        <f>VLOOKUP(B22,'MAno de obra'!C:F,2,0)</f>
        <v>8694</v>
      </c>
      <c r="D22" s="332" t="str">
        <f>VLOOKUP(C22,'MAno de obra'!D:F,2,0)</f>
        <v>Und</v>
      </c>
      <c r="E22" s="333"/>
      <c r="F22" s="334">
        <v>14</v>
      </c>
      <c r="G22" s="335">
        <f>VLOOKUP(B22,'MAno de obra'!C:F,4,0)</f>
        <v>350000</v>
      </c>
      <c r="H22" s="337">
        <f t="shared" si="2"/>
        <v>4900000</v>
      </c>
      <c r="I22" s="334"/>
      <c r="J22" s="336"/>
    </row>
    <row r="23" spans="1:10" s="315" customFormat="1" ht="15">
      <c r="A23" s="330" t="s">
        <v>685</v>
      </c>
      <c r="B23" s="331" t="s">
        <v>684</v>
      </c>
      <c r="C23" s="399">
        <f>VLOOKUP(B23,'MAno de obra'!C:F,2,0)</f>
        <v>10716</v>
      </c>
      <c r="D23" s="332" t="str">
        <f>VLOOKUP(C23,'MAno de obra'!D:F,2,0)</f>
        <v>Und</v>
      </c>
      <c r="E23" s="333"/>
      <c r="F23" s="334">
        <v>14</v>
      </c>
      <c r="G23" s="335">
        <f>VLOOKUP(B23,'MAno de obra'!C:F,4,0)</f>
        <v>600000</v>
      </c>
      <c r="H23" s="337">
        <f t="shared" si="2"/>
        <v>8400000</v>
      </c>
      <c r="I23" s="334"/>
      <c r="J23" s="336"/>
    </row>
    <row r="24" spans="1:10" s="315" customFormat="1" ht="15">
      <c r="A24" s="330" t="s">
        <v>686</v>
      </c>
      <c r="B24" s="331" t="s">
        <v>400</v>
      </c>
      <c r="C24" s="399">
        <f>VLOOKUP(B24,'MAno de obra'!C:F,2,0)</f>
        <v>9482</v>
      </c>
      <c r="D24" s="332" t="str">
        <f>VLOOKUP(C24,'MAno de obra'!D:F,2,0)</f>
        <v>Und</v>
      </c>
      <c r="E24" s="333"/>
      <c r="F24" s="334">
        <v>56</v>
      </c>
      <c r="G24" s="335">
        <v>90000</v>
      </c>
      <c r="H24" s="337">
        <f t="shared" si="2"/>
        <v>5040000</v>
      </c>
      <c r="I24" s="334"/>
      <c r="J24" s="336"/>
    </row>
    <row r="25" spans="1:10" s="315" customFormat="1" ht="15">
      <c r="A25" s="330" t="s">
        <v>716</v>
      </c>
      <c r="B25" s="331" t="s">
        <v>703</v>
      </c>
      <c r="C25" s="399">
        <f>VLOOKUP(B25,'MAno de obra'!C:F,2,0)</f>
        <v>9993</v>
      </c>
      <c r="D25" s="332" t="str">
        <f>VLOOKUP(C25,'MAno de obra'!D:F,2,0)</f>
        <v>Und</v>
      </c>
      <c r="E25" s="333"/>
      <c r="F25" s="334">
        <v>465</v>
      </c>
      <c r="G25" s="335">
        <v>90000</v>
      </c>
      <c r="H25" s="337">
        <f>G25*F25</f>
        <v>41850000</v>
      </c>
      <c r="I25" s="334"/>
      <c r="J25" s="336"/>
    </row>
    <row r="26" spans="1:10" s="315" customFormat="1" ht="15">
      <c r="A26" s="330" t="s">
        <v>717</v>
      </c>
      <c r="B26" s="331" t="s">
        <v>715</v>
      </c>
      <c r="C26" s="399">
        <f>VLOOKUP(B26,'MAno de obra'!C:F,2,0)</f>
        <v>5122</v>
      </c>
      <c r="D26" s="332" t="str">
        <f>VLOOKUP(B26,'MAno de obra'!C:F,3,0)</f>
        <v>Und</v>
      </c>
      <c r="E26" s="333"/>
      <c r="F26" s="334">
        <v>455</v>
      </c>
      <c r="G26" s="335">
        <f>VLOOKUP(B26,'MAno de obra'!C:F,4,0)</f>
        <v>60141</v>
      </c>
      <c r="H26" s="337">
        <f>G26*F26</f>
        <v>27364155</v>
      </c>
      <c r="I26" s="334"/>
      <c r="J26" s="336"/>
    </row>
    <row r="27" spans="1:10" s="315" customFormat="1" ht="15">
      <c r="A27" s="330" t="s">
        <v>718</v>
      </c>
      <c r="B27" s="331" t="s">
        <v>713</v>
      </c>
      <c r="C27" s="399">
        <f>VLOOKUP(B27,'MAno de obra'!C:F,2,0)</f>
        <v>5122</v>
      </c>
      <c r="D27" s="332" t="s">
        <v>789</v>
      </c>
      <c r="E27" s="333"/>
      <c r="F27" s="334">
        <v>241.5</v>
      </c>
      <c r="G27" s="335">
        <v>4000</v>
      </c>
      <c r="H27" s="337">
        <f>G27*F27</f>
        <v>966000</v>
      </c>
      <c r="I27" s="334"/>
      <c r="J27" s="336"/>
    </row>
    <row r="28" spans="1:10" s="315" customFormat="1" ht="15">
      <c r="A28" s="330" t="s">
        <v>718</v>
      </c>
      <c r="B28" s="331" t="s">
        <v>683</v>
      </c>
      <c r="C28" s="399">
        <f>VLOOKUP(B28,'MAno de obra'!C:F,2,0)</f>
        <v>10307</v>
      </c>
      <c r="D28" s="332" t="str">
        <f>VLOOKUP(B28,'MAno de obra'!C:F,3,0)</f>
        <v>Und</v>
      </c>
      <c r="E28" s="333"/>
      <c r="F28" s="334">
        <v>22</v>
      </c>
      <c r="G28" s="335">
        <f>VLOOKUP(B28,'MAno de obra'!C:F,4,0)</f>
        <v>80000</v>
      </c>
      <c r="H28" s="337">
        <f>G28*F28</f>
        <v>1760000</v>
      </c>
      <c r="I28" s="334"/>
      <c r="J28" s="336"/>
    </row>
    <row r="29" spans="1:10" s="315" customFormat="1" ht="15">
      <c r="A29" s="330" t="s">
        <v>718</v>
      </c>
      <c r="B29" s="331" t="s">
        <v>731</v>
      </c>
      <c r="C29" s="399">
        <f>VLOOKUP(B29,'MAno de obra'!C:F,2,0)</f>
        <v>10713</v>
      </c>
      <c r="D29" s="332" t="str">
        <f>VLOOKUP(B29,'MAno de obra'!C:F,3,0)</f>
        <v>ml</v>
      </c>
      <c r="E29" s="333"/>
      <c r="F29" s="334">
        <v>28</v>
      </c>
      <c r="G29" s="335">
        <v>12000</v>
      </c>
      <c r="H29" s="337">
        <f t="shared" ref="H29" si="3">G29*F29</f>
        <v>336000</v>
      </c>
      <c r="I29" s="334"/>
      <c r="J29" s="336"/>
    </row>
    <row r="30" spans="1:10" s="315" customFormat="1" ht="15">
      <c r="A30" s="330"/>
      <c r="B30" s="467" t="s">
        <v>321</v>
      </c>
      <c r="C30" s="468"/>
      <c r="D30" s="468"/>
      <c r="E30" s="468"/>
      <c r="F30" s="468"/>
      <c r="G30" s="338"/>
      <c r="H30" s="339">
        <f>SUM(H11:H29)</f>
        <v>271168655</v>
      </c>
      <c r="I30" s="334"/>
      <c r="J30" s="336"/>
    </row>
    <row r="31" spans="1:10" s="315" customFormat="1" ht="15">
      <c r="A31" s="326">
        <v>1.2</v>
      </c>
      <c r="B31" s="327" t="s">
        <v>304</v>
      </c>
      <c r="C31" s="398"/>
      <c r="D31" s="328"/>
      <c r="E31" s="328"/>
      <c r="F31" s="328"/>
      <c r="G31" s="340" t="s">
        <v>312</v>
      </c>
      <c r="H31" s="341">
        <f>+H30</f>
        <v>271168655</v>
      </c>
      <c r="I31" s="334"/>
      <c r="J31" s="336"/>
    </row>
    <row r="32" spans="1:10" s="315" customFormat="1" ht="15">
      <c r="A32" s="342" t="s">
        <v>305</v>
      </c>
      <c r="B32" s="331" t="s">
        <v>309</v>
      </c>
      <c r="C32" s="400"/>
      <c r="D32" s="332" t="s">
        <v>120</v>
      </c>
      <c r="E32" s="333"/>
      <c r="F32" s="343">
        <v>0.08</v>
      </c>
      <c r="G32" s="335"/>
      <c r="H32" s="336">
        <f>+H31*F32</f>
        <v>21693492.400000002</v>
      </c>
      <c r="I32" s="334"/>
      <c r="J32" s="336"/>
    </row>
    <row r="33" spans="1:10" s="315" customFormat="1" ht="15">
      <c r="A33" s="342" t="s">
        <v>306</v>
      </c>
      <c r="B33" s="331" t="s">
        <v>310</v>
      </c>
      <c r="C33" s="400"/>
      <c r="D33" s="332" t="s">
        <v>120</v>
      </c>
      <c r="E33" s="333"/>
      <c r="F33" s="343">
        <v>0.04</v>
      </c>
      <c r="G33" s="335"/>
      <c r="H33" s="336">
        <f>+H31*F33</f>
        <v>10846746.200000001</v>
      </c>
      <c r="I33" s="334"/>
      <c r="J33" s="336"/>
    </row>
    <row r="34" spans="1:10" s="315" customFormat="1" ht="15">
      <c r="A34" s="342" t="s">
        <v>307</v>
      </c>
      <c r="B34" s="331" t="s">
        <v>311</v>
      </c>
      <c r="C34" s="400"/>
      <c r="D34" s="332" t="s">
        <v>120</v>
      </c>
      <c r="E34" s="333"/>
      <c r="F34" s="343">
        <v>0.04</v>
      </c>
      <c r="G34" s="335"/>
      <c r="H34" s="336">
        <f>+H31*F34</f>
        <v>10846746.200000001</v>
      </c>
      <c r="I34" s="334"/>
      <c r="J34" s="336"/>
    </row>
    <row r="35" spans="1:10" s="315" customFormat="1" ht="15">
      <c r="A35" s="342" t="s">
        <v>308</v>
      </c>
      <c r="B35" s="331" t="s">
        <v>92</v>
      </c>
      <c r="C35" s="400"/>
      <c r="D35" s="332" t="s">
        <v>120</v>
      </c>
      <c r="E35" s="333"/>
      <c r="F35" s="343">
        <v>0.19</v>
      </c>
      <c r="G35" s="335"/>
      <c r="H35" s="336">
        <f>+H34*F35</f>
        <v>2060881.7780000002</v>
      </c>
      <c r="I35" s="334"/>
      <c r="J35" s="336"/>
    </row>
    <row r="36" spans="1:10" s="315" customFormat="1" ht="15">
      <c r="A36" s="344"/>
      <c r="B36" s="345" t="s">
        <v>783</v>
      </c>
      <c r="C36" s="401"/>
      <c r="D36" s="346"/>
      <c r="E36" s="347">
        <v>0</v>
      </c>
      <c r="F36" s="348"/>
      <c r="G36" s="346"/>
      <c r="H36" s="349">
        <f>+H31+H32+H33+H34+H35</f>
        <v>316616521.57799995</v>
      </c>
      <c r="I36" s="334"/>
      <c r="J36" s="336"/>
    </row>
    <row r="37" spans="1:10" s="315" customFormat="1" ht="15">
      <c r="A37" s="344"/>
      <c r="B37" s="345"/>
      <c r="C37" s="401"/>
      <c r="D37" s="346"/>
      <c r="E37" s="347"/>
      <c r="F37" s="348"/>
      <c r="G37" s="346"/>
      <c r="H37" s="462"/>
      <c r="I37" s="334"/>
      <c r="J37" s="336"/>
    </row>
    <row r="38" spans="1:10" s="315" customFormat="1" ht="15">
      <c r="A38" s="326">
        <v>1.1000000000000001</v>
      </c>
      <c r="B38" s="327" t="s">
        <v>785</v>
      </c>
      <c r="C38" s="401"/>
      <c r="D38" s="346"/>
      <c r="E38" s="347"/>
      <c r="F38" s="348"/>
      <c r="G38" s="346"/>
      <c r="H38" s="462"/>
      <c r="I38" s="334"/>
      <c r="J38" s="336"/>
    </row>
    <row r="39" spans="1:10" s="315" customFormat="1" ht="45">
      <c r="A39" s="330" t="s">
        <v>677</v>
      </c>
      <c r="B39" s="331" t="s">
        <v>700</v>
      </c>
      <c r="C39" s="399">
        <f>VLOOKUP(B39,'MAno de obra'!C:F,2,0)</f>
        <v>8698</v>
      </c>
      <c r="D39" s="332" t="str">
        <f>VLOOKUP(C39,'MAno de obra'!D:F,2,0)</f>
        <v>Und</v>
      </c>
      <c r="E39" s="333"/>
      <c r="F39" s="334">
        <v>455</v>
      </c>
      <c r="G39" s="335">
        <v>120000</v>
      </c>
      <c r="H39" s="337">
        <f t="shared" si="0"/>
        <v>54600000</v>
      </c>
      <c r="I39" s="334">
        <v>455</v>
      </c>
      <c r="J39" s="336">
        <f t="shared" si="1"/>
        <v>54600000</v>
      </c>
    </row>
    <row r="40" spans="1:10" s="315" customFormat="1" ht="15">
      <c r="A40" s="330" t="s">
        <v>678</v>
      </c>
      <c r="B40" s="331" t="s">
        <v>701</v>
      </c>
      <c r="C40" s="399">
        <f>VLOOKUP(B40,'MAno de obra'!C:F,2,0)</f>
        <v>10807</v>
      </c>
      <c r="D40" s="332" t="str">
        <f>VLOOKUP(B40,'MAno de obra'!C:F,3,0)</f>
        <v>Ml</v>
      </c>
      <c r="E40" s="333"/>
      <c r="F40" s="334">
        <v>341</v>
      </c>
      <c r="G40" s="335">
        <v>87000</v>
      </c>
      <c r="H40" s="337">
        <f t="shared" si="0"/>
        <v>29667000</v>
      </c>
      <c r="I40" s="334">
        <v>341</v>
      </c>
      <c r="J40" s="336">
        <f t="shared" si="1"/>
        <v>29667000</v>
      </c>
    </row>
    <row r="41" spans="1:10" s="315" customFormat="1" ht="15">
      <c r="A41" s="330" t="s">
        <v>674</v>
      </c>
      <c r="B41" s="331" t="s">
        <v>727</v>
      </c>
      <c r="C41" s="399">
        <f>VLOOKUP(B41,'MAno de obra'!C:F,2,0)</f>
        <v>8699</v>
      </c>
      <c r="D41" s="332" t="str">
        <f>VLOOKUP(C41,'MAno de obra'!D:F,2,0)</f>
        <v>Ml</v>
      </c>
      <c r="E41" s="333"/>
      <c r="F41" s="334">
        <v>13253</v>
      </c>
      <c r="G41" s="335">
        <v>10000</v>
      </c>
      <c r="H41" s="337">
        <f>G41*F41</f>
        <v>132530000</v>
      </c>
      <c r="I41" s="334">
        <v>13253</v>
      </c>
      <c r="J41" s="336">
        <f>I41*G41</f>
        <v>132530000</v>
      </c>
    </row>
    <row r="42" spans="1:10" s="315" customFormat="1" ht="15">
      <c r="A42" s="330" t="s">
        <v>680</v>
      </c>
      <c r="B42" s="331" t="s">
        <v>786</v>
      </c>
      <c r="C42" s="399">
        <f>VLOOKUP(B42,'MAno de obra'!C:F,2,0)</f>
        <v>10712</v>
      </c>
      <c r="D42" s="332" t="str">
        <f>VLOOKUP(C42,'MAno de obra'!D:F,2,0)</f>
        <v>Ml</v>
      </c>
      <c r="E42" s="333"/>
      <c r="F42" s="334">
        <v>13253</v>
      </c>
      <c r="G42" s="335">
        <v>3000</v>
      </c>
      <c r="H42" s="337">
        <f t="shared" si="0"/>
        <v>39759000</v>
      </c>
      <c r="I42" s="334">
        <v>14</v>
      </c>
      <c r="J42" s="336">
        <f t="shared" si="1"/>
        <v>42000</v>
      </c>
    </row>
    <row r="43" spans="1:10" ht="15">
      <c r="A43" s="330"/>
      <c r="B43" s="467" t="s">
        <v>321</v>
      </c>
      <c r="C43" s="468"/>
      <c r="D43" s="468"/>
      <c r="E43" s="468"/>
      <c r="F43" s="468"/>
      <c r="G43" s="338"/>
      <c r="H43" s="339">
        <f>SUM(H39:H42)</f>
        <v>256556000</v>
      </c>
      <c r="I43" s="339"/>
      <c r="J43" s="339">
        <f>SUM(J11:J42)</f>
        <v>368831500</v>
      </c>
    </row>
    <row r="44" spans="1:10" ht="15">
      <c r="A44" s="326">
        <v>1.2</v>
      </c>
      <c r="B44" s="327" t="s">
        <v>304</v>
      </c>
      <c r="C44" s="398"/>
      <c r="D44" s="328"/>
      <c r="E44" s="328"/>
      <c r="F44" s="328"/>
      <c r="G44" s="340" t="s">
        <v>312</v>
      </c>
      <c r="H44" s="341">
        <f>+H43</f>
        <v>256556000</v>
      </c>
      <c r="I44" s="341"/>
      <c r="J44" s="341">
        <f>+J43</f>
        <v>368831500</v>
      </c>
    </row>
    <row r="45" spans="1:10" ht="15">
      <c r="A45" s="342" t="s">
        <v>305</v>
      </c>
      <c r="B45" s="331" t="s">
        <v>309</v>
      </c>
      <c r="C45" s="400"/>
      <c r="D45" s="332" t="s">
        <v>120</v>
      </c>
      <c r="E45" s="333"/>
      <c r="F45" s="343">
        <v>0.09</v>
      </c>
      <c r="G45" s="335"/>
      <c r="H45" s="336">
        <f>+H44*F45</f>
        <v>23090040</v>
      </c>
      <c r="I45" s="336"/>
      <c r="J45" s="336">
        <f>+J44*F45</f>
        <v>33194835</v>
      </c>
    </row>
    <row r="46" spans="1:10" ht="15">
      <c r="A46" s="342" t="s">
        <v>306</v>
      </c>
      <c r="B46" s="331" t="s">
        <v>310</v>
      </c>
      <c r="C46" s="400"/>
      <c r="D46" s="332" t="s">
        <v>120</v>
      </c>
      <c r="E46" s="333"/>
      <c r="F46" s="343">
        <v>0.03</v>
      </c>
      <c r="G46" s="335"/>
      <c r="H46" s="336">
        <f>+H44*F46</f>
        <v>7696680</v>
      </c>
      <c r="I46" s="336"/>
      <c r="J46" s="336">
        <f>+J44*F46</f>
        <v>11064945</v>
      </c>
    </row>
    <row r="47" spans="1:10" ht="15">
      <c r="A47" s="342" t="s">
        <v>307</v>
      </c>
      <c r="B47" s="331" t="s">
        <v>311</v>
      </c>
      <c r="C47" s="400"/>
      <c r="D47" s="332" t="s">
        <v>120</v>
      </c>
      <c r="E47" s="333"/>
      <c r="F47" s="343">
        <v>0.05</v>
      </c>
      <c r="G47" s="335"/>
      <c r="H47" s="336">
        <f>+H44*F47</f>
        <v>12827800</v>
      </c>
      <c r="I47" s="336"/>
      <c r="J47" s="336">
        <f>+J44*F47</f>
        <v>18441575</v>
      </c>
    </row>
    <row r="48" spans="1:10" ht="15">
      <c r="A48" s="342" t="s">
        <v>308</v>
      </c>
      <c r="B48" s="331" t="s">
        <v>92</v>
      </c>
      <c r="C48" s="400"/>
      <c r="D48" s="332" t="s">
        <v>120</v>
      </c>
      <c r="E48" s="333"/>
      <c r="F48" s="343">
        <v>0.19</v>
      </c>
      <c r="G48" s="335"/>
      <c r="H48" s="336">
        <f>+H47*F48</f>
        <v>2437282</v>
      </c>
      <c r="I48" s="336"/>
      <c r="J48" s="336">
        <f>+J47*F48</f>
        <v>3503899.25</v>
      </c>
    </row>
    <row r="49" spans="1:11" ht="18.75" customHeight="1">
      <c r="A49" s="344"/>
      <c r="B49" s="345" t="s">
        <v>787</v>
      </c>
      <c r="C49" s="401"/>
      <c r="D49" s="346"/>
      <c r="E49" s="347"/>
      <c r="F49" s="348"/>
      <c r="G49" s="346"/>
      <c r="H49" s="349">
        <f>+H44+H45+H46+H47+H48</f>
        <v>302607802</v>
      </c>
      <c r="I49" s="349"/>
      <c r="J49" s="349">
        <f>+J44+J45+J46+J47+J48</f>
        <v>435036754.25</v>
      </c>
      <c r="K49" s="451"/>
    </row>
    <row r="50" spans="1:11" ht="31.15" customHeight="1">
      <c r="A50" s="350"/>
      <c r="B50" s="351" t="s">
        <v>787</v>
      </c>
      <c r="C50" s="398"/>
      <c r="D50" s="328"/>
      <c r="E50" s="328"/>
      <c r="F50" s="328"/>
      <c r="G50" s="328"/>
      <c r="H50" s="352">
        <f>+H49</f>
        <v>302607802</v>
      </c>
      <c r="I50" s="352"/>
      <c r="J50" s="352">
        <f>+J49</f>
        <v>435036754.25</v>
      </c>
    </row>
    <row r="51" spans="1:11" s="315" customFormat="1" ht="15">
      <c r="A51" s="350"/>
      <c r="B51" s="351"/>
      <c r="C51" s="398"/>
      <c r="D51" s="328"/>
      <c r="E51" s="328"/>
      <c r="F51" s="328"/>
      <c r="G51" s="328"/>
      <c r="H51" s="352"/>
      <c r="I51" s="352"/>
      <c r="J51" s="352"/>
    </row>
    <row r="52" spans="1:11" s="315" customFormat="1" ht="15">
      <c r="A52" s="350"/>
      <c r="B52" s="351" t="s">
        <v>788</v>
      </c>
      <c r="C52" s="398"/>
      <c r="D52" s="328"/>
      <c r="E52" s="328"/>
      <c r="F52" s="328"/>
      <c r="G52" s="328"/>
      <c r="H52" s="352">
        <f>H50+H36</f>
        <v>619224323.57799995</v>
      </c>
      <c r="I52" s="352"/>
      <c r="J52" s="352"/>
    </row>
    <row r="53" spans="1:11" s="2" customFormat="1" ht="17.25" customHeight="1">
      <c r="A53" s="353"/>
      <c r="B53" s="354"/>
      <c r="C53" s="398"/>
      <c r="D53" s="355"/>
      <c r="E53" s="355"/>
      <c r="F53" s="355"/>
      <c r="G53" s="355"/>
      <c r="H53" s="356"/>
      <c r="I53" s="356"/>
      <c r="J53" s="356"/>
    </row>
    <row r="54" spans="1:11" ht="15">
      <c r="A54" s="321">
        <v>2</v>
      </c>
      <c r="B54" s="322" t="s">
        <v>50</v>
      </c>
      <c r="C54" s="402"/>
      <c r="D54" s="323"/>
      <c r="E54" s="323"/>
      <c r="F54" s="323"/>
      <c r="G54" s="323"/>
      <c r="H54" s="325"/>
      <c r="I54" s="325"/>
      <c r="J54" s="325"/>
    </row>
    <row r="55" spans="1:11" ht="30">
      <c r="A55" s="326">
        <v>2.1</v>
      </c>
      <c r="B55" s="406" t="s">
        <v>644</v>
      </c>
      <c r="C55" s="398"/>
      <c r="D55" s="328"/>
      <c r="E55" s="328"/>
      <c r="F55" s="328"/>
      <c r="G55" s="328"/>
      <c r="H55" s="329"/>
      <c r="I55" s="329"/>
      <c r="J55" s="329"/>
    </row>
    <row r="56" spans="1:11" ht="15">
      <c r="A56" s="330" t="s">
        <v>35</v>
      </c>
      <c r="B56" s="407" t="s">
        <v>498</v>
      </c>
      <c r="C56" s="399">
        <f>VLOOKUP(Electrico!B56,Material!C:F,2,0)</f>
        <v>9509</v>
      </c>
      <c r="D56" s="332" t="str">
        <f>VLOOKUP(C56,Material!D:F,2,0)</f>
        <v>Und</v>
      </c>
      <c r="E56" s="333"/>
      <c r="F56" s="333">
        <v>580</v>
      </c>
      <c r="G56" s="357">
        <f>VLOOKUP(C56,Material!D:F,3,0)</f>
        <v>1219654.8</v>
      </c>
      <c r="H56" s="358">
        <f t="shared" ref="H56:H61" si="4">G56*F56</f>
        <v>707399784</v>
      </c>
      <c r="I56" s="333">
        <f>I11</f>
        <v>580</v>
      </c>
      <c r="J56" s="358">
        <f t="shared" ref="J56:J61" si="5">I56*G56</f>
        <v>707399784</v>
      </c>
    </row>
    <row r="57" spans="1:11" ht="15">
      <c r="A57" s="330" t="s">
        <v>43</v>
      </c>
      <c r="B57" s="407" t="s">
        <v>346</v>
      </c>
      <c r="C57" s="399">
        <f>VLOOKUP(Electrico!B57,Material!C:F,2,0)</f>
        <v>1700</v>
      </c>
      <c r="D57" s="332" t="str">
        <f>VLOOKUP(C57,Material!D:F,2,0)</f>
        <v>Und</v>
      </c>
      <c r="E57" s="333"/>
      <c r="F57" s="333">
        <v>580</v>
      </c>
      <c r="G57" s="357">
        <f>VLOOKUP(C57,Material!D:F,3,0)</f>
        <v>8800</v>
      </c>
      <c r="H57" s="358">
        <f t="shared" si="4"/>
        <v>5104000</v>
      </c>
      <c r="I57" s="333">
        <f>I56</f>
        <v>580</v>
      </c>
      <c r="J57" s="358">
        <f t="shared" si="5"/>
        <v>5104000</v>
      </c>
    </row>
    <row r="58" spans="1:11" ht="26.25">
      <c r="A58" s="330" t="s">
        <v>44</v>
      </c>
      <c r="B58" s="441" t="s">
        <v>704</v>
      </c>
      <c r="C58" s="399">
        <f>VLOOKUP(Electrico!B58,Material!C:F,2,0)</f>
        <v>11381</v>
      </c>
      <c r="D58" s="332" t="str">
        <f>VLOOKUP(C58,Material!D:F,2,0)</f>
        <v>Und</v>
      </c>
      <c r="E58" s="333"/>
      <c r="F58" s="333">
        <v>580</v>
      </c>
      <c r="G58" s="357">
        <f>VLOOKUP(C58,Material!D:F,3,0)</f>
        <v>294346.5</v>
      </c>
      <c r="H58" s="358">
        <f t="shared" si="4"/>
        <v>170720970</v>
      </c>
      <c r="I58" s="333">
        <f>I56</f>
        <v>580</v>
      </c>
      <c r="J58" s="358">
        <f t="shared" si="5"/>
        <v>170720970</v>
      </c>
    </row>
    <row r="59" spans="1:11" s="315" customFormat="1" ht="15">
      <c r="A59" s="330" t="s">
        <v>45</v>
      </c>
      <c r="B59" s="407" t="s">
        <v>430</v>
      </c>
      <c r="C59" s="399">
        <f>VLOOKUP(Electrico!B59,Material!C:F,2,0)</f>
        <v>6735</v>
      </c>
      <c r="D59" s="332" t="str">
        <f>VLOOKUP(C59,Material!D:F,2,0)</f>
        <v>Und</v>
      </c>
      <c r="E59" s="333"/>
      <c r="F59" s="333">
        <v>1740</v>
      </c>
      <c r="G59" s="357">
        <f>VLOOKUP(C59,Material!D:F,3,0)</f>
        <v>22697</v>
      </c>
      <c r="H59" s="358">
        <f t="shared" si="4"/>
        <v>39492780</v>
      </c>
      <c r="I59" s="333">
        <f>I56*3</f>
        <v>1740</v>
      </c>
      <c r="J59" s="358">
        <f t="shared" si="5"/>
        <v>39492780</v>
      </c>
    </row>
    <row r="60" spans="1:11" s="315" customFormat="1" ht="15">
      <c r="A60" s="330" t="s">
        <v>46</v>
      </c>
      <c r="B60" s="407" t="s">
        <v>358</v>
      </c>
      <c r="C60" s="399">
        <f>VLOOKUP(Electrico!B60,Material!C:F,2,0)</f>
        <v>701</v>
      </c>
      <c r="D60" s="332" t="str">
        <f>VLOOKUP(C60,Material!D:F,2,0)</f>
        <v>Ml</v>
      </c>
      <c r="E60" s="333"/>
      <c r="F60" s="333">
        <v>8700</v>
      </c>
      <c r="G60" s="357">
        <f>VLOOKUP(C60,Material!D:F,3,0)</f>
        <v>5462</v>
      </c>
      <c r="H60" s="358">
        <f t="shared" si="4"/>
        <v>47519400</v>
      </c>
      <c r="I60" s="333">
        <f>I56*15</f>
        <v>8700</v>
      </c>
      <c r="J60" s="358">
        <f t="shared" si="5"/>
        <v>47519400</v>
      </c>
    </row>
    <row r="61" spans="1:11" ht="15">
      <c r="A61" s="330" t="s">
        <v>325</v>
      </c>
      <c r="B61" s="407" t="s">
        <v>420</v>
      </c>
      <c r="C61" s="399">
        <f>VLOOKUP(Electrico!B61,Material!C:F,2,0)</f>
        <v>971</v>
      </c>
      <c r="D61" s="332" t="str">
        <f>VLOOKUP(C61,Material!D:F,2,0)</f>
        <v>Rollo</v>
      </c>
      <c r="E61" s="333"/>
      <c r="F61" s="333">
        <v>50</v>
      </c>
      <c r="G61" s="357">
        <f>VLOOKUP(C61,Material!D:F,3,0)</f>
        <v>32100</v>
      </c>
      <c r="H61" s="358">
        <f t="shared" si="4"/>
        <v>1605000</v>
      </c>
      <c r="I61" s="333">
        <v>50</v>
      </c>
      <c r="J61" s="358">
        <f t="shared" si="5"/>
        <v>1605000</v>
      </c>
    </row>
    <row r="62" spans="1:11" ht="15">
      <c r="A62" s="344"/>
      <c r="B62" s="345" t="s">
        <v>52</v>
      </c>
      <c r="C62" s="401"/>
      <c r="D62" s="346"/>
      <c r="E62" s="346"/>
      <c r="F62" s="359"/>
      <c r="G62" s="346"/>
      <c r="H62" s="349">
        <f>SUM(H56:H61)</f>
        <v>971841934</v>
      </c>
      <c r="I62" s="349"/>
      <c r="J62" s="349">
        <f>SUM(J56:J61)</f>
        <v>971841934</v>
      </c>
    </row>
    <row r="63" spans="1:11" ht="15">
      <c r="A63" s="350"/>
      <c r="B63" s="351" t="s">
        <v>52</v>
      </c>
      <c r="C63" s="398"/>
      <c r="D63" s="328"/>
      <c r="E63" s="328"/>
      <c r="F63" s="328"/>
      <c r="G63" s="328"/>
      <c r="H63" s="352">
        <f>+H62</f>
        <v>971841934</v>
      </c>
      <c r="I63" s="352"/>
      <c r="J63" s="352">
        <f>+J62</f>
        <v>971841934</v>
      </c>
    </row>
    <row r="64" spans="1:11" s="2" customFormat="1" ht="7.5" customHeight="1">
      <c r="A64" s="353"/>
      <c r="B64" s="354"/>
      <c r="C64" s="398"/>
      <c r="D64" s="355"/>
      <c r="E64" s="355"/>
      <c r="F64" s="355"/>
      <c r="G64" s="355"/>
      <c r="H64" s="356"/>
      <c r="I64" s="356"/>
      <c r="J64" s="356"/>
    </row>
    <row r="65" spans="1:10" ht="15">
      <c r="A65" s="326">
        <v>2.2000000000000002</v>
      </c>
      <c r="B65" s="327" t="s">
        <v>707</v>
      </c>
      <c r="C65" s="398"/>
      <c r="D65" s="328"/>
      <c r="E65" s="328"/>
      <c r="F65" s="360"/>
      <c r="G65" s="328"/>
      <c r="H65" s="329"/>
      <c r="I65" s="329"/>
      <c r="J65" s="329"/>
    </row>
    <row r="66" spans="1:10" ht="15">
      <c r="A66" s="361" t="s">
        <v>315</v>
      </c>
      <c r="B66" s="407" t="s">
        <v>705</v>
      </c>
      <c r="C66" s="399" t="str">
        <f>VLOOKUP(Electrico!B66,Material!C:F,2,0)</f>
        <v>p3</v>
      </c>
      <c r="D66" s="332" t="str">
        <f>VLOOKUP(B66,Material!C:F,3,0)</f>
        <v>Ml</v>
      </c>
      <c r="E66" s="333"/>
      <c r="F66" s="333">
        <v>34468</v>
      </c>
      <c r="G66" s="357">
        <f>VLOOKUP(B66,Material!C:F,4,0)</f>
        <v>5900</v>
      </c>
      <c r="H66" s="358">
        <f t="shared" ref="H66:H79" si="6">G66*F66</f>
        <v>203361200</v>
      </c>
      <c r="I66" s="333">
        <f>(I12*4)+(I13*2)</f>
        <v>34468</v>
      </c>
      <c r="J66" s="358">
        <f>I66*G66</f>
        <v>203361200</v>
      </c>
    </row>
    <row r="67" spans="1:10" s="315" customFormat="1" ht="15">
      <c r="A67" s="361" t="s">
        <v>316</v>
      </c>
      <c r="B67" s="407" t="s">
        <v>408</v>
      </c>
      <c r="C67" s="399">
        <f>VLOOKUP(Electrico!B67,Material!C:F,2,0)</f>
        <v>9032</v>
      </c>
      <c r="D67" s="332" t="str">
        <f>VLOOKUP(C67,Material!D:F,2,0)</f>
        <v>Ml</v>
      </c>
      <c r="E67" s="333"/>
      <c r="F67" s="334">
        <v>4892</v>
      </c>
      <c r="G67" s="357">
        <f>VLOOKUP(C67,Material!D:F,3,0)</f>
        <v>2243.4</v>
      </c>
      <c r="H67" s="358">
        <f>G67*F67</f>
        <v>10974712.800000001</v>
      </c>
      <c r="I67" s="334">
        <f>I12</f>
        <v>4892</v>
      </c>
      <c r="J67" s="358">
        <f>I67*G67</f>
        <v>10974712.800000001</v>
      </c>
    </row>
    <row r="68" spans="1:10" s="315" customFormat="1" ht="15">
      <c r="A68" s="361" t="s">
        <v>316</v>
      </c>
      <c r="B68" s="407" t="s">
        <v>409</v>
      </c>
      <c r="C68" s="399">
        <f>VLOOKUP(Electrico!B68,Material!C:F,2,0)</f>
        <v>10264</v>
      </c>
      <c r="D68" s="332" t="str">
        <f>VLOOKUP(C68,Material!D:F,2,0)</f>
        <v>Ml</v>
      </c>
      <c r="E68" s="333"/>
      <c r="F68" s="334">
        <v>8361</v>
      </c>
      <c r="G68" s="357">
        <f>VLOOKUP(C68,Material!D:F,3,0)</f>
        <v>1800</v>
      </c>
      <c r="H68" s="358">
        <f t="shared" si="6"/>
        <v>15049800</v>
      </c>
      <c r="I68" s="334">
        <f>(I13+I14+I15)</f>
        <v>8361</v>
      </c>
      <c r="J68" s="358">
        <f>I68*G68</f>
        <v>15049800</v>
      </c>
    </row>
    <row r="69" spans="1:10" s="315" customFormat="1" ht="15">
      <c r="A69" s="361" t="s">
        <v>316</v>
      </c>
      <c r="B69" s="407" t="s">
        <v>732</v>
      </c>
      <c r="C69" s="399" t="str">
        <f>VLOOKUP(Electrico!B69,Material!C:F,2,0)</f>
        <v>p2</v>
      </c>
      <c r="D69" s="332" t="str">
        <f>VLOOKUP(C69,Material!D:F,2,0)</f>
        <v>Ml</v>
      </c>
      <c r="E69" s="333"/>
      <c r="F69" s="334">
        <v>1449</v>
      </c>
      <c r="G69" s="357">
        <f>VLOOKUP(C69,Material!D:F,3,0)</f>
        <v>7600</v>
      </c>
      <c r="H69" s="358">
        <f>G69*F69</f>
        <v>11012400</v>
      </c>
      <c r="I69" s="334">
        <f>I14*3</f>
        <v>1449</v>
      </c>
      <c r="J69" s="358">
        <f>I69*G69</f>
        <v>11012400</v>
      </c>
    </row>
    <row r="70" spans="1:10" ht="15">
      <c r="A70" s="361" t="s">
        <v>316</v>
      </c>
      <c r="B70" s="407" t="s">
        <v>733</v>
      </c>
      <c r="C70" s="399" t="str">
        <f>VLOOKUP(Electrico!B70,Material!C:F,2,0)</f>
        <v>p1</v>
      </c>
      <c r="D70" s="332" t="str">
        <f>VLOOKUP(C70,Material!D:F,2,0)</f>
        <v>Ml</v>
      </c>
      <c r="E70" s="333"/>
      <c r="F70" s="334">
        <v>1284</v>
      </c>
      <c r="G70" s="357">
        <f>VLOOKUP(C70,Material!D:F,3,0)</f>
        <v>9400</v>
      </c>
      <c r="H70" s="358">
        <f t="shared" si="6"/>
        <v>12069600</v>
      </c>
      <c r="I70" s="334">
        <f>I15*3</f>
        <v>1284</v>
      </c>
      <c r="J70" s="358">
        <f t="shared" ref="J70:J79" si="7">I70*G70</f>
        <v>12069600</v>
      </c>
    </row>
    <row r="71" spans="1:10" s="315" customFormat="1" ht="15">
      <c r="A71" s="361" t="s">
        <v>317</v>
      </c>
      <c r="B71" s="407" t="s">
        <v>529</v>
      </c>
      <c r="C71" s="399">
        <f>VLOOKUP(Electrico!B71,Material!C:F,2,0)</f>
        <v>3965</v>
      </c>
      <c r="D71" s="332" t="str">
        <f>VLOOKUP(C71,Material!D:F,2,0)</f>
        <v>Und</v>
      </c>
      <c r="E71" s="333"/>
      <c r="F71" s="334">
        <v>4275</v>
      </c>
      <c r="G71" s="357">
        <f>VLOOKUP(C71,Material!D:F,3,0)</f>
        <v>20000</v>
      </c>
      <c r="H71" s="358">
        <f>G71*F71</f>
        <v>85500000</v>
      </c>
      <c r="I71" s="334">
        <f>(I12+I13+I14)/3</f>
        <v>4275</v>
      </c>
      <c r="J71" s="358">
        <f>I71*G71</f>
        <v>85500000</v>
      </c>
    </row>
    <row r="72" spans="1:10" s="315" customFormat="1" ht="15">
      <c r="A72" s="361" t="s">
        <v>317</v>
      </c>
      <c r="B72" s="407" t="s">
        <v>738</v>
      </c>
      <c r="C72" s="399" t="str">
        <f>VLOOKUP(Electrico!B72,Material!C:F,2,0)</f>
        <v>P5</v>
      </c>
      <c r="D72" s="332" t="str">
        <f>VLOOKUP(C72,Material!D:F,2,0)</f>
        <v>Und</v>
      </c>
      <c r="E72" s="333"/>
      <c r="F72" s="334">
        <v>142.66666666666666</v>
      </c>
      <c r="G72" s="357">
        <f>VLOOKUP(C72,Material!D:F,3,0)</f>
        <v>52200</v>
      </c>
      <c r="H72" s="358">
        <f t="shared" si="6"/>
        <v>7447199.9999999991</v>
      </c>
      <c r="I72" s="334">
        <f>((I15)/3)</f>
        <v>142.66666666666666</v>
      </c>
      <c r="J72" s="358">
        <f t="shared" si="7"/>
        <v>7447199.9999999991</v>
      </c>
    </row>
    <row r="73" spans="1:10" s="315" customFormat="1" ht="15">
      <c r="A73" s="361" t="s">
        <v>317</v>
      </c>
      <c r="B73" s="407" t="s">
        <v>550</v>
      </c>
      <c r="C73" s="399">
        <f>VLOOKUP(Electrico!B73,Material!C:F,2,0)</f>
        <v>3360</v>
      </c>
      <c r="D73" s="332" t="str">
        <f>VLOOKUP(C73,Material!D:F,2,0)</f>
        <v>Und</v>
      </c>
      <c r="E73" s="333"/>
      <c r="F73" s="334">
        <v>242</v>
      </c>
      <c r="G73" s="357">
        <f>VLOOKUP(C73,Material!D:F,3,0)</f>
        <v>14000</v>
      </c>
      <c r="H73" s="358">
        <f t="shared" si="6"/>
        <v>3388000</v>
      </c>
      <c r="I73" s="334">
        <f>F73</f>
        <v>242</v>
      </c>
      <c r="J73" s="358">
        <f t="shared" si="7"/>
        <v>3388000</v>
      </c>
    </row>
    <row r="74" spans="1:10" s="315" customFormat="1" ht="15">
      <c r="A74" s="361" t="s">
        <v>317</v>
      </c>
      <c r="B74" s="407" t="s">
        <v>523</v>
      </c>
      <c r="C74" s="399">
        <f>VLOOKUP(Electrico!B74,Material!C:F,2,0)</f>
        <v>3907</v>
      </c>
      <c r="D74" s="332" t="str">
        <f>VLOOKUP(C74,Material!D:F,2,0)</f>
        <v>Und</v>
      </c>
      <c r="E74" s="333"/>
      <c r="F74" s="334">
        <v>28</v>
      </c>
      <c r="G74" s="357">
        <f>VLOOKUP(C74,Material!D:F,3,0)</f>
        <v>165000</v>
      </c>
      <c r="H74" s="358">
        <f t="shared" si="6"/>
        <v>4620000</v>
      </c>
      <c r="I74" s="334">
        <f>14*2</f>
        <v>28</v>
      </c>
      <c r="J74" s="358">
        <f t="shared" si="7"/>
        <v>4620000</v>
      </c>
    </row>
    <row r="75" spans="1:10" s="315" customFormat="1" ht="15">
      <c r="A75" s="361" t="s">
        <v>317</v>
      </c>
      <c r="B75" s="407" t="s">
        <v>376</v>
      </c>
      <c r="C75" s="399">
        <f>VLOOKUP(Electrico!B75,Material!C:F,2,0)</f>
        <v>972</v>
      </c>
      <c r="D75" s="332" t="str">
        <f>VLOOKUP(C75,Material!D:F,2,0)</f>
        <v>Ml</v>
      </c>
      <c r="E75" s="333"/>
      <c r="F75" s="334">
        <v>100</v>
      </c>
      <c r="G75" s="357">
        <f>VLOOKUP(C75,Material!D:F,3,0)</f>
        <v>2614</v>
      </c>
      <c r="H75" s="358">
        <f t="shared" ref="H75" si="8">G75*F75</f>
        <v>261400</v>
      </c>
      <c r="I75" s="334">
        <v>100</v>
      </c>
      <c r="J75" s="358">
        <f t="shared" ref="J75" si="9">I75*G75</f>
        <v>261400</v>
      </c>
    </row>
    <row r="76" spans="1:10" s="315" customFormat="1" ht="15">
      <c r="A76" s="361" t="s">
        <v>317</v>
      </c>
      <c r="B76" s="407" t="s">
        <v>527</v>
      </c>
      <c r="C76" s="399">
        <f>VLOOKUP(Electrico!B76,Material!C:F,2,0)</f>
        <v>3963</v>
      </c>
      <c r="D76" s="332" t="str">
        <f>VLOOKUP(C76,Material!D:F,2,0)</f>
        <v>Und</v>
      </c>
      <c r="E76" s="333"/>
      <c r="F76" s="334">
        <v>232</v>
      </c>
      <c r="G76" s="357">
        <f>VLOOKUP(C76,Material!D:F,3,0)</f>
        <v>6200</v>
      </c>
      <c r="H76" s="358">
        <f t="shared" si="6"/>
        <v>1438400</v>
      </c>
      <c r="I76" s="334">
        <f>((I83+I84)*1.5)/3</f>
        <v>232</v>
      </c>
      <c r="J76" s="358">
        <f t="shared" si="7"/>
        <v>1438400</v>
      </c>
    </row>
    <row r="77" spans="1:10" s="315" customFormat="1" ht="15">
      <c r="A77" s="361" t="s">
        <v>317</v>
      </c>
      <c r="B77" s="407" t="s">
        <v>377</v>
      </c>
      <c r="C77" s="399">
        <f>VLOOKUP(Electrico!B77,Material!C:F,2,0)</f>
        <v>1851</v>
      </c>
      <c r="D77" s="332" t="str">
        <f>VLOOKUP(C77,Material!D:F,2,0)</f>
        <v>Und</v>
      </c>
      <c r="E77" s="333"/>
      <c r="F77" s="334">
        <v>100</v>
      </c>
      <c r="G77" s="357">
        <f>VLOOKUP(C77,Material!D:F,3,0)</f>
        <v>480</v>
      </c>
      <c r="H77" s="358">
        <f t="shared" si="6"/>
        <v>48000</v>
      </c>
      <c r="I77" s="334">
        <v>100</v>
      </c>
      <c r="J77" s="358">
        <f t="shared" si="7"/>
        <v>48000</v>
      </c>
    </row>
    <row r="78" spans="1:10" s="315" customFormat="1" ht="15">
      <c r="A78" s="361" t="s">
        <v>317</v>
      </c>
      <c r="B78" s="407" t="s">
        <v>706</v>
      </c>
      <c r="C78" s="399">
        <f>VLOOKUP(Electrico!B78,Material!C:F,2,0)</f>
        <v>11489</v>
      </c>
      <c r="D78" s="332" t="str">
        <f>VLOOKUP(C78,Material!D:F,2,0)</f>
        <v>Und</v>
      </c>
      <c r="E78" s="333"/>
      <c r="F78" s="334">
        <v>79.518000000000001</v>
      </c>
      <c r="G78" s="357">
        <f>VLOOKUP(C78,Material!D:F,3,0)</f>
        <v>42000</v>
      </c>
      <c r="H78" s="358">
        <f t="shared" si="6"/>
        <v>3339756</v>
      </c>
      <c r="I78" s="334">
        <f>((I12+I13+I14+I15)/500)*3</f>
        <v>79.518000000000001</v>
      </c>
      <c r="J78" s="358">
        <f t="shared" si="7"/>
        <v>3339756</v>
      </c>
    </row>
    <row r="79" spans="1:10" ht="15">
      <c r="A79" s="361" t="s">
        <v>317</v>
      </c>
      <c r="B79" s="407" t="s">
        <v>739</v>
      </c>
      <c r="C79" s="399">
        <f>VLOOKUP(Electrico!B79,Material!C:F,2,0)</f>
        <v>998</v>
      </c>
      <c r="D79" s="332" t="str">
        <f>VLOOKUP(C79,Material!D:F,2,0)</f>
        <v>Rollo</v>
      </c>
      <c r="E79" s="333"/>
      <c r="F79" s="334">
        <v>45.17</v>
      </c>
      <c r="G79" s="357">
        <f>VLOOKUP(C79,Material!D:F,3,0)</f>
        <v>17000</v>
      </c>
      <c r="H79" s="358">
        <f t="shared" si="6"/>
        <v>767890</v>
      </c>
      <c r="I79" s="334">
        <f>(I71+I73)/100</f>
        <v>45.17</v>
      </c>
      <c r="J79" s="358">
        <f t="shared" si="7"/>
        <v>767890</v>
      </c>
    </row>
    <row r="80" spans="1:10" ht="15">
      <c r="A80" s="344"/>
      <c r="B80" s="345" t="s">
        <v>782</v>
      </c>
      <c r="C80" s="401"/>
      <c r="D80" s="346"/>
      <c r="E80" s="346"/>
      <c r="F80" s="359"/>
      <c r="G80" s="346"/>
      <c r="H80" s="349">
        <f>SUM(H66:H79)</f>
        <v>359278358.80000001</v>
      </c>
      <c r="I80" s="349"/>
      <c r="J80" s="349">
        <f>SUM(J66:J79)</f>
        <v>359278358.80000001</v>
      </c>
    </row>
    <row r="81" spans="1:10" ht="15">
      <c r="A81" s="350"/>
      <c r="B81" s="351" t="s">
        <v>52</v>
      </c>
      <c r="C81" s="398"/>
      <c r="D81" s="328"/>
      <c r="E81" s="328"/>
      <c r="F81" s="328"/>
      <c r="G81" s="328"/>
      <c r="H81" s="352">
        <f>+H80</f>
        <v>359278358.80000001</v>
      </c>
      <c r="I81" s="352"/>
      <c r="J81" s="352">
        <f>+J80</f>
        <v>359278358.80000001</v>
      </c>
    </row>
    <row r="82" spans="1:10" ht="15">
      <c r="A82" s="326">
        <v>2.2000000000000002</v>
      </c>
      <c r="B82" s="327" t="s">
        <v>708</v>
      </c>
      <c r="C82" s="398"/>
      <c r="D82" s="328"/>
      <c r="E82" s="328"/>
      <c r="F82" s="360"/>
      <c r="G82" s="328"/>
      <c r="H82" s="329"/>
      <c r="I82" s="329"/>
      <c r="J82" s="329"/>
    </row>
    <row r="83" spans="1:10" ht="15">
      <c r="A83" s="361" t="s">
        <v>334</v>
      </c>
      <c r="B83" s="407" t="s">
        <v>709</v>
      </c>
      <c r="C83" s="399">
        <f>VLOOKUP(Electrico!B83,Material!C:F,2,0)</f>
        <v>11372</v>
      </c>
      <c r="D83" s="332" t="str">
        <f>VLOOKUP(C83,Material!D:F,2,0)</f>
        <v>Und</v>
      </c>
      <c r="E83" s="333"/>
      <c r="F83" s="333">
        <v>418</v>
      </c>
      <c r="G83" s="357">
        <f>VLOOKUP(C83,Material!D:F,3,0)</f>
        <v>1253952</v>
      </c>
      <c r="H83" s="358">
        <f t="shared" ref="H83:H94" si="10">G83*F83</f>
        <v>524151936</v>
      </c>
      <c r="I83" s="358">
        <f>I17-46</f>
        <v>418</v>
      </c>
      <c r="J83" s="358">
        <f t="shared" ref="J83:J94" si="11">I83*G83</f>
        <v>524151936</v>
      </c>
    </row>
    <row r="84" spans="1:10" s="315" customFormat="1" ht="15">
      <c r="A84" s="361" t="s">
        <v>336</v>
      </c>
      <c r="B84" s="407" t="s">
        <v>510</v>
      </c>
      <c r="C84" s="399">
        <f>VLOOKUP(Electrico!B84,Material!C:F,2,0)</f>
        <v>10740</v>
      </c>
      <c r="D84" s="332" t="str">
        <f>VLOOKUP(C84,Material!D:F,2,0)</f>
        <v>Und</v>
      </c>
      <c r="E84" s="333"/>
      <c r="F84" s="333">
        <v>46</v>
      </c>
      <c r="G84" s="357">
        <f>VLOOKUP(C84,Material!D:F,3,0)</f>
        <v>990000</v>
      </c>
      <c r="H84" s="358">
        <f t="shared" ref="H84" si="12">G84*F84</f>
        <v>45540000</v>
      </c>
      <c r="I84" s="358">
        <v>46</v>
      </c>
      <c r="J84" s="358">
        <f t="shared" ref="J84" si="13">I84*G84</f>
        <v>45540000</v>
      </c>
    </row>
    <row r="85" spans="1:10" ht="15">
      <c r="A85" s="361" t="s">
        <v>336</v>
      </c>
      <c r="B85" s="407" t="s">
        <v>543</v>
      </c>
      <c r="C85" s="399">
        <f>VLOOKUP(Electrico!B85,Material!C:F,2,0)</f>
        <v>5633</v>
      </c>
      <c r="D85" s="332" t="str">
        <f>VLOOKUP(C85,Material!D:F,2,0)</f>
        <v>Und</v>
      </c>
      <c r="E85" s="333"/>
      <c r="F85" s="333">
        <v>464</v>
      </c>
      <c r="G85" s="357">
        <f>VLOOKUP(C85,Material!D:F,3,0)</f>
        <v>12900</v>
      </c>
      <c r="H85" s="358">
        <f t="shared" si="10"/>
        <v>5985600</v>
      </c>
      <c r="I85" s="358">
        <f>I83+I84</f>
        <v>464</v>
      </c>
      <c r="J85" s="358">
        <f t="shared" si="11"/>
        <v>5985600</v>
      </c>
    </row>
    <row r="86" spans="1:10" s="315" customFormat="1" ht="15">
      <c r="A86" s="361" t="s">
        <v>337</v>
      </c>
      <c r="B86" s="407" t="s">
        <v>542</v>
      </c>
      <c r="C86" s="399">
        <f>VLOOKUP(Electrico!B86,Material!C:F,2,0)</f>
        <v>709</v>
      </c>
      <c r="D86" s="332" t="str">
        <f>VLOOKUP(C86,Material!D:F,2,0)</f>
        <v>Ml</v>
      </c>
      <c r="E86" s="333"/>
      <c r="F86" s="333">
        <v>464</v>
      </c>
      <c r="G86" s="357">
        <f>VLOOKUP(C86,Material!D:F,3,0)</f>
        <v>1200</v>
      </c>
      <c r="H86" s="358">
        <f t="shared" si="10"/>
        <v>556800</v>
      </c>
      <c r="I86" s="358">
        <f>I84+I83</f>
        <v>464</v>
      </c>
      <c r="J86" s="358">
        <f t="shared" si="11"/>
        <v>556800</v>
      </c>
    </row>
    <row r="87" spans="1:10" ht="15">
      <c r="A87" s="361" t="s">
        <v>337</v>
      </c>
      <c r="B87" s="407" t="s">
        <v>554</v>
      </c>
      <c r="C87" s="399">
        <f>VLOOKUP(Electrico!B87,Material!C:F,2,0)</f>
        <v>6445</v>
      </c>
      <c r="D87" s="332" t="str">
        <f>VLOOKUP(C87,Material!D:F,2,0)</f>
        <v>Ml</v>
      </c>
      <c r="E87" s="333"/>
      <c r="F87" s="333">
        <v>9142</v>
      </c>
      <c r="G87" s="357">
        <f>VLOOKUP(C87,Material!D:F,3,0)</f>
        <v>7441</v>
      </c>
      <c r="H87" s="358">
        <f t="shared" si="10"/>
        <v>68025622</v>
      </c>
      <c r="I87" s="358">
        <f>(I83*20)+(I84*17)</f>
        <v>9142</v>
      </c>
      <c r="J87" s="358">
        <f t="shared" si="11"/>
        <v>68025622</v>
      </c>
    </row>
    <row r="88" spans="1:10" s="315" customFormat="1" ht="15">
      <c r="A88" s="361" t="s">
        <v>338</v>
      </c>
      <c r="B88" s="407" t="s">
        <v>461</v>
      </c>
      <c r="C88" s="399">
        <f>VLOOKUP(Electrico!B88,Material!C:F,2,0)</f>
        <v>9617</v>
      </c>
      <c r="D88" s="332" t="str">
        <f>VLOOKUP(C88,Material!D:F,2,0)</f>
        <v>Und</v>
      </c>
      <c r="E88" s="333"/>
      <c r="F88" s="333">
        <v>464</v>
      </c>
      <c r="G88" s="357">
        <f>VLOOKUP(C88,Material!D:F,3,0)</f>
        <v>900</v>
      </c>
      <c r="H88" s="358">
        <f t="shared" si="10"/>
        <v>417600</v>
      </c>
      <c r="I88" s="358">
        <f>I86</f>
        <v>464</v>
      </c>
      <c r="J88" s="358">
        <f t="shared" si="11"/>
        <v>417600</v>
      </c>
    </row>
    <row r="89" spans="1:10" s="315" customFormat="1" ht="15">
      <c r="A89" s="361" t="s">
        <v>338</v>
      </c>
      <c r="B89" s="407" t="s">
        <v>544</v>
      </c>
      <c r="C89" s="399">
        <f>VLOOKUP(Electrico!B89,Material!C:F,2,0)</f>
        <v>6733</v>
      </c>
      <c r="D89" s="332" t="str">
        <f>VLOOKUP(C89,Material!D:F,2,0)</f>
        <v>Und</v>
      </c>
      <c r="E89" s="333"/>
      <c r="F89" s="333">
        <v>464</v>
      </c>
      <c r="G89" s="357">
        <f>VLOOKUP(C89,Material!D:F,3,0)</f>
        <v>12000</v>
      </c>
      <c r="H89" s="358">
        <f t="shared" si="10"/>
        <v>5568000</v>
      </c>
      <c r="I89" s="358">
        <f>I88</f>
        <v>464</v>
      </c>
      <c r="J89" s="358">
        <f t="shared" si="11"/>
        <v>5568000</v>
      </c>
    </row>
    <row r="90" spans="1:10" s="315" customFormat="1" ht="15">
      <c r="A90" s="361" t="s">
        <v>338</v>
      </c>
      <c r="B90" s="407" t="s">
        <v>551</v>
      </c>
      <c r="C90" s="399">
        <f>VLOOKUP(Electrico!B90,Material!C:F,2,0)</f>
        <v>9494</v>
      </c>
      <c r="D90" s="332" t="str">
        <f>VLOOKUP(C90,Material!D:F,2,0)</f>
        <v>Und</v>
      </c>
      <c r="E90" s="333"/>
      <c r="F90" s="333">
        <v>0</v>
      </c>
      <c r="G90" s="357">
        <f>VLOOKUP(C90,Material!D:F,3,0)</f>
        <v>1092.44</v>
      </c>
      <c r="H90" s="358">
        <f t="shared" si="10"/>
        <v>0</v>
      </c>
      <c r="I90" s="358">
        <v>0</v>
      </c>
      <c r="J90" s="358">
        <f t="shared" si="11"/>
        <v>0</v>
      </c>
    </row>
    <row r="91" spans="1:10" s="315" customFormat="1" ht="15">
      <c r="A91" s="361" t="s">
        <v>338</v>
      </c>
      <c r="B91" s="407" t="s">
        <v>692</v>
      </c>
      <c r="C91" s="399">
        <f>VLOOKUP(Electrico!B91,Material!C:F,2,0)</f>
        <v>698</v>
      </c>
      <c r="D91" s="332" t="str">
        <f>VLOOKUP(C91,Material!D:F,2,0)</f>
        <v>Ml</v>
      </c>
      <c r="E91" s="333"/>
      <c r="F91" s="333">
        <v>1856</v>
      </c>
      <c r="G91" s="357">
        <f>VLOOKUP(C91,Material!D:F,3,0)</f>
        <v>1650</v>
      </c>
      <c r="H91" s="358">
        <f t="shared" si="10"/>
        <v>3062400</v>
      </c>
      <c r="I91" s="358">
        <f>I85*4</f>
        <v>1856</v>
      </c>
      <c r="J91" s="358">
        <f t="shared" si="11"/>
        <v>3062400</v>
      </c>
    </row>
    <row r="92" spans="1:10" s="315" customFormat="1" ht="15">
      <c r="A92" s="361" t="s">
        <v>338</v>
      </c>
      <c r="B92" s="407" t="s">
        <v>548</v>
      </c>
      <c r="C92" s="399">
        <f>VLOOKUP(Electrico!B92,Material!C:F,2,0)</f>
        <v>1965</v>
      </c>
      <c r="D92" s="332" t="str">
        <f>VLOOKUP(C92,Material!D:F,2,0)</f>
        <v>Und</v>
      </c>
      <c r="E92" s="333"/>
      <c r="F92" s="333"/>
      <c r="G92" s="357">
        <f>VLOOKUP(C92,Material!D:F,3,0)</f>
        <v>152500</v>
      </c>
      <c r="H92" s="358">
        <f t="shared" si="10"/>
        <v>0</v>
      </c>
      <c r="I92" s="358"/>
      <c r="J92" s="358">
        <f t="shared" si="11"/>
        <v>0</v>
      </c>
    </row>
    <row r="93" spans="1:10" s="315" customFormat="1" ht="15">
      <c r="A93" s="361" t="s">
        <v>338</v>
      </c>
      <c r="B93" s="407" t="s">
        <v>531</v>
      </c>
      <c r="C93" s="399">
        <f>VLOOKUP(Electrico!B93,Material!C:F,2,0)</f>
        <v>4118</v>
      </c>
      <c r="D93" s="332" t="str">
        <f>VLOOKUP(C93,Material!D:F,2,0)</f>
        <v>Und</v>
      </c>
      <c r="E93" s="333"/>
      <c r="F93" s="333">
        <v>28</v>
      </c>
      <c r="G93" s="357">
        <f>VLOOKUP(C93,Material!D:F,3,0)</f>
        <v>109020.15</v>
      </c>
      <c r="H93" s="358">
        <f t="shared" ref="H93" si="14">G93*F93</f>
        <v>3052564.1999999997</v>
      </c>
      <c r="I93" s="358">
        <v>28</v>
      </c>
      <c r="J93" s="358">
        <f t="shared" ref="J93" si="15">I93*G93</f>
        <v>3052564.1999999997</v>
      </c>
    </row>
    <row r="94" spans="1:10" ht="15">
      <c r="A94" s="361" t="s">
        <v>338</v>
      </c>
      <c r="B94" s="407" t="s">
        <v>455</v>
      </c>
      <c r="C94" s="399">
        <f>VLOOKUP(Electrico!B94,Material!C:F,2,0)</f>
        <v>8653</v>
      </c>
      <c r="D94" s="332" t="str">
        <f>VLOOKUP(C94,Material!D:F,2,0)</f>
        <v>Und</v>
      </c>
      <c r="E94" s="333"/>
      <c r="F94" s="333">
        <v>28</v>
      </c>
      <c r="G94" s="357">
        <f>VLOOKUP(C94,Material!D:F,3,0)</f>
        <v>3500</v>
      </c>
      <c r="H94" s="358">
        <f t="shared" si="10"/>
        <v>98000</v>
      </c>
      <c r="I94" s="358">
        <v>28</v>
      </c>
      <c r="J94" s="358">
        <f t="shared" si="11"/>
        <v>98000</v>
      </c>
    </row>
    <row r="95" spans="1:10" s="315" customFormat="1" ht="15">
      <c r="A95" s="344"/>
      <c r="B95" s="345" t="s">
        <v>782</v>
      </c>
      <c r="C95" s="401"/>
      <c r="D95" s="346"/>
      <c r="E95" s="346"/>
      <c r="F95" s="359"/>
      <c r="G95" s="346"/>
      <c r="H95" s="349">
        <f>SUM(H83:H94)</f>
        <v>656458522.20000005</v>
      </c>
      <c r="I95" s="349"/>
      <c r="J95" s="349">
        <f>SUM(J83:J94)</f>
        <v>656458522.20000005</v>
      </c>
    </row>
    <row r="96" spans="1:10" s="315" customFormat="1" ht="15">
      <c r="A96" s="350"/>
      <c r="B96" s="351" t="s">
        <v>52</v>
      </c>
      <c r="C96" s="398"/>
      <c r="D96" s="328"/>
      <c r="E96" s="328"/>
      <c r="F96" s="328"/>
      <c r="G96" s="328"/>
      <c r="H96" s="352">
        <f>+H95</f>
        <v>656458522.20000005</v>
      </c>
      <c r="I96" s="352"/>
      <c r="J96" s="352">
        <f>+J95</f>
        <v>656458522.20000005</v>
      </c>
    </row>
    <row r="97" spans="1:10" s="315" customFormat="1" ht="15">
      <c r="A97" s="326">
        <v>2.2000000000000002</v>
      </c>
      <c r="B97" s="327" t="s">
        <v>666</v>
      </c>
      <c r="C97" s="398"/>
      <c r="D97" s="328"/>
      <c r="E97" s="328"/>
      <c r="F97" s="360"/>
      <c r="G97" s="328"/>
      <c r="H97" s="329"/>
      <c r="I97" s="329"/>
      <c r="J97" s="329"/>
    </row>
    <row r="98" spans="1:10" s="315" customFormat="1" ht="15">
      <c r="A98" s="361" t="s">
        <v>333</v>
      </c>
      <c r="B98" s="407" t="s">
        <v>507</v>
      </c>
      <c r="C98" s="399">
        <f>VLOOKUP(Electrico!B98,Material!C:F,2,0)</f>
        <v>10162</v>
      </c>
      <c r="D98" s="332" t="str">
        <f>VLOOKUP(C98,Material!D:F,2,0)</f>
        <v>Und</v>
      </c>
      <c r="E98" s="333"/>
      <c r="F98" s="333">
        <v>1</v>
      </c>
      <c r="G98" s="357">
        <f>VLOOKUP(C98,Material!D:F,3,0)</f>
        <v>980000</v>
      </c>
      <c r="H98" s="358">
        <f t="shared" ref="H98:H117" si="16">G98*F98</f>
        <v>980000</v>
      </c>
      <c r="I98" s="358">
        <v>1</v>
      </c>
      <c r="J98" s="358">
        <f t="shared" ref="J98:J123" si="17">I98*G98</f>
        <v>980000</v>
      </c>
    </row>
    <row r="99" spans="1:10" s="315" customFormat="1" ht="15">
      <c r="A99" s="361" t="s">
        <v>334</v>
      </c>
      <c r="B99" s="407" t="s">
        <v>466</v>
      </c>
      <c r="C99" s="399">
        <f>VLOOKUP(Electrico!B99,Material!C:F,2,0)</f>
        <v>9487</v>
      </c>
      <c r="D99" s="332" t="str">
        <f>VLOOKUP(C99,Material!D:F,2,0)</f>
        <v>Und</v>
      </c>
      <c r="E99" s="333"/>
      <c r="F99" s="333">
        <v>28</v>
      </c>
      <c r="G99" s="357">
        <f>VLOOKUP(C99,Material!D:F,3,0)</f>
        <v>103750</v>
      </c>
      <c r="H99" s="358">
        <f t="shared" si="16"/>
        <v>2905000</v>
      </c>
      <c r="I99" s="358">
        <v>28</v>
      </c>
      <c r="J99" s="358">
        <f t="shared" si="17"/>
        <v>2905000</v>
      </c>
    </row>
    <row r="100" spans="1:10" s="315" customFormat="1" ht="15">
      <c r="A100" s="361" t="s">
        <v>335</v>
      </c>
      <c r="B100" s="407" t="s">
        <v>693</v>
      </c>
      <c r="C100" s="399">
        <f>VLOOKUP(Electrico!B100,Material!C:F,2,0)</f>
        <v>149</v>
      </c>
      <c r="D100" s="332" t="str">
        <f>VLOOKUP(C100,Material!D:F,2,0)</f>
        <v>Und</v>
      </c>
      <c r="E100" s="333"/>
      <c r="F100" s="333">
        <v>3</v>
      </c>
      <c r="G100" s="357">
        <f>VLOOKUP(C100,Material!D:F,3,0)</f>
        <v>135000</v>
      </c>
      <c r="H100" s="358">
        <f t="shared" si="16"/>
        <v>405000</v>
      </c>
      <c r="I100" s="358">
        <v>3</v>
      </c>
      <c r="J100" s="358">
        <f t="shared" si="17"/>
        <v>405000</v>
      </c>
    </row>
    <row r="101" spans="1:10" s="315" customFormat="1" ht="15">
      <c r="A101" s="361" t="s">
        <v>336</v>
      </c>
      <c r="B101" s="407" t="s">
        <v>493</v>
      </c>
      <c r="C101" s="399">
        <f>VLOOKUP(Electrico!B101,Material!C:F,2,0)</f>
        <v>5385</v>
      </c>
      <c r="D101" s="332" t="str">
        <f>VLOOKUP(C101,Material!D:F,2,0)</f>
        <v>Ml</v>
      </c>
      <c r="E101" s="333"/>
      <c r="F101" s="333">
        <v>420</v>
      </c>
      <c r="G101" s="357">
        <f>VLOOKUP(C101,Material!D:F,3,0)</f>
        <v>8835</v>
      </c>
      <c r="H101" s="358">
        <f t="shared" si="16"/>
        <v>3710700</v>
      </c>
      <c r="I101" s="358">
        <f>F101</f>
        <v>420</v>
      </c>
      <c r="J101" s="358">
        <f t="shared" si="17"/>
        <v>3710700</v>
      </c>
    </row>
    <row r="102" spans="1:10" s="315" customFormat="1" ht="15">
      <c r="A102" s="361" t="s">
        <v>338</v>
      </c>
      <c r="B102" s="407" t="s">
        <v>534</v>
      </c>
      <c r="C102" s="399">
        <f>VLOOKUP(Electrico!B102,Material!C:F,2,0)</f>
        <v>1134</v>
      </c>
      <c r="D102" s="332" t="str">
        <f>VLOOKUP(C102,Material!D:F,2,0)</f>
        <v>Und</v>
      </c>
      <c r="E102" s="333"/>
      <c r="F102" s="333">
        <v>28</v>
      </c>
      <c r="G102" s="357">
        <v>8800</v>
      </c>
      <c r="H102" s="358">
        <f t="shared" si="16"/>
        <v>246400</v>
      </c>
      <c r="I102" s="358">
        <f t="shared" ref="I102:I117" si="18">F102</f>
        <v>28</v>
      </c>
      <c r="J102" s="358">
        <f t="shared" si="17"/>
        <v>246400</v>
      </c>
    </row>
    <row r="103" spans="1:10" s="315" customFormat="1" ht="15">
      <c r="A103" s="361" t="s">
        <v>338</v>
      </c>
      <c r="B103" s="407" t="s">
        <v>454</v>
      </c>
      <c r="C103" s="399">
        <f>VLOOKUP(Electrico!B103,Material!C:F,2,0)</f>
        <v>1587</v>
      </c>
      <c r="D103" s="332" t="str">
        <f>VLOOKUP(C103,Material!D:F,2,0)</f>
        <v>Und</v>
      </c>
      <c r="E103" s="333"/>
      <c r="F103" s="333">
        <v>34</v>
      </c>
      <c r="G103" s="357">
        <f>VLOOKUP(C103,Material!D:F,3,0)</f>
        <v>13100</v>
      </c>
      <c r="H103" s="358">
        <f t="shared" si="16"/>
        <v>445400</v>
      </c>
      <c r="I103" s="358">
        <f>F103+3</f>
        <v>37</v>
      </c>
      <c r="J103" s="358">
        <f t="shared" si="17"/>
        <v>484700</v>
      </c>
    </row>
    <row r="104" spans="1:10" s="315" customFormat="1" ht="15">
      <c r="A104" s="361" t="s">
        <v>338</v>
      </c>
      <c r="B104" s="407" t="s">
        <v>453</v>
      </c>
      <c r="C104" s="399">
        <f>VLOOKUP(Electrico!B104,Material!C:F,2,0)</f>
        <v>1185</v>
      </c>
      <c r="D104" s="332" t="str">
        <f>VLOOKUP(C104,Material!D:F,2,0)</f>
        <v>Und</v>
      </c>
      <c r="E104" s="333"/>
      <c r="F104" s="333">
        <v>28</v>
      </c>
      <c r="G104" s="357">
        <f>VLOOKUP(C104,Material!D:F,3,0)</f>
        <v>15000</v>
      </c>
      <c r="H104" s="358">
        <f t="shared" si="16"/>
        <v>420000</v>
      </c>
      <c r="I104" s="358">
        <f t="shared" si="18"/>
        <v>28</v>
      </c>
      <c r="J104" s="358">
        <f t="shared" si="17"/>
        <v>420000</v>
      </c>
    </row>
    <row r="105" spans="1:10" s="315" customFormat="1" ht="15">
      <c r="A105" s="361" t="s">
        <v>338</v>
      </c>
      <c r="B105" s="407" t="s">
        <v>456</v>
      </c>
      <c r="C105" s="399">
        <f>VLOOKUP(Electrico!B105,Material!C:F,2,0)</f>
        <v>1194</v>
      </c>
      <c r="D105" s="332" t="str">
        <f>VLOOKUP(C105,Material!D:F,2,0)</f>
        <v>Und</v>
      </c>
      <c r="E105" s="333"/>
      <c r="F105" s="333">
        <v>28</v>
      </c>
      <c r="G105" s="357">
        <f>VLOOKUP(C105,Material!D:F,3,0)</f>
        <v>5600</v>
      </c>
      <c r="H105" s="358">
        <f t="shared" si="16"/>
        <v>156800</v>
      </c>
      <c r="I105" s="358">
        <f t="shared" si="18"/>
        <v>28</v>
      </c>
      <c r="J105" s="358">
        <f t="shared" si="17"/>
        <v>156800</v>
      </c>
    </row>
    <row r="106" spans="1:10" s="315" customFormat="1" ht="15">
      <c r="A106" s="361" t="s">
        <v>338</v>
      </c>
      <c r="B106" s="407" t="s">
        <v>455</v>
      </c>
      <c r="C106" s="399">
        <f>VLOOKUP(Electrico!B106,Material!C:F,2,0)</f>
        <v>8653</v>
      </c>
      <c r="D106" s="332" t="str">
        <f>VLOOKUP(C106,Material!D:F,2,0)</f>
        <v>Und</v>
      </c>
      <c r="E106" s="333"/>
      <c r="F106" s="333">
        <v>14</v>
      </c>
      <c r="G106" s="357">
        <f>VLOOKUP(C106,Material!D:F,3,0)</f>
        <v>3500</v>
      </c>
      <c r="H106" s="358">
        <f t="shared" si="16"/>
        <v>49000</v>
      </c>
      <c r="I106" s="358">
        <f t="shared" si="18"/>
        <v>14</v>
      </c>
      <c r="J106" s="358">
        <f t="shared" si="17"/>
        <v>49000</v>
      </c>
    </row>
    <row r="107" spans="1:10" s="315" customFormat="1" ht="15">
      <c r="A107" s="361" t="s">
        <v>338</v>
      </c>
      <c r="B107" s="407" t="s">
        <v>691</v>
      </c>
      <c r="C107" s="399">
        <f>VLOOKUP(Electrico!B107,Material!C:F,2,0)</f>
        <v>1268</v>
      </c>
      <c r="D107" s="332" t="str">
        <f>VLOOKUP(C107,Material!D:F,2,0)</f>
        <v>Und</v>
      </c>
      <c r="E107" s="333"/>
      <c r="F107" s="333">
        <v>28</v>
      </c>
      <c r="G107" s="357">
        <f>VLOOKUP(C107,Material!D:F,3,0)</f>
        <v>300000</v>
      </c>
      <c r="H107" s="358">
        <f t="shared" si="16"/>
        <v>8400000</v>
      </c>
      <c r="I107" s="358">
        <f t="shared" si="18"/>
        <v>28</v>
      </c>
      <c r="J107" s="358">
        <f t="shared" si="17"/>
        <v>8400000</v>
      </c>
    </row>
    <row r="108" spans="1:10" s="315" customFormat="1" ht="15">
      <c r="A108" s="361" t="s">
        <v>338</v>
      </c>
      <c r="B108" s="407" t="s">
        <v>438</v>
      </c>
      <c r="C108" s="399">
        <f>VLOOKUP(Electrico!B108,Material!C:F,2,0)</f>
        <v>1288</v>
      </c>
      <c r="D108" s="332" t="str">
        <f>VLOOKUP(C108,Material!D:F,2,0)</f>
        <v>Und</v>
      </c>
      <c r="E108" s="333"/>
      <c r="F108" s="333">
        <v>36</v>
      </c>
      <c r="G108" s="357">
        <f>VLOOKUP(C108,Material!D:F,3,0)</f>
        <v>138655.5</v>
      </c>
      <c r="H108" s="358">
        <f t="shared" si="16"/>
        <v>4991598</v>
      </c>
      <c r="I108" s="358">
        <f>F108+4</f>
        <v>40</v>
      </c>
      <c r="J108" s="358">
        <f t="shared" si="17"/>
        <v>5546220</v>
      </c>
    </row>
    <row r="109" spans="1:10" s="315" customFormat="1" ht="15">
      <c r="A109" s="361" t="s">
        <v>338</v>
      </c>
      <c r="B109" s="407" t="s">
        <v>462</v>
      </c>
      <c r="C109" s="399">
        <f>VLOOKUP(Electrico!B109,Material!C:F,2,0)</f>
        <v>1549</v>
      </c>
      <c r="D109" s="332" t="str">
        <f>VLOOKUP(C109,Material!D:F,2,0)</f>
        <v>Und</v>
      </c>
      <c r="E109" s="333"/>
      <c r="F109" s="333">
        <v>36</v>
      </c>
      <c r="G109" s="357">
        <f>VLOOKUP(C109,Material!D:F,3,0)</f>
        <v>5600</v>
      </c>
      <c r="H109" s="358">
        <f t="shared" si="16"/>
        <v>201600</v>
      </c>
      <c r="I109" s="358">
        <f>F109+4</f>
        <v>40</v>
      </c>
      <c r="J109" s="358">
        <f t="shared" si="17"/>
        <v>224000</v>
      </c>
    </row>
    <row r="110" spans="1:10" s="315" customFormat="1" ht="15">
      <c r="A110" s="361" t="s">
        <v>338</v>
      </c>
      <c r="B110" s="407" t="s">
        <v>465</v>
      </c>
      <c r="C110" s="399">
        <f>VLOOKUP(Electrico!B110,Material!C:F,2,0)</f>
        <v>1714</v>
      </c>
      <c r="D110" s="332" t="str">
        <f>VLOOKUP(C110,Material!D:F,2,0)</f>
        <v>Und</v>
      </c>
      <c r="E110" s="333"/>
      <c r="F110" s="333">
        <v>28</v>
      </c>
      <c r="G110" s="357">
        <f>VLOOKUP(C110,Material!D:F,3,0)</f>
        <v>11000</v>
      </c>
      <c r="H110" s="358">
        <f t="shared" si="16"/>
        <v>308000</v>
      </c>
      <c r="I110" s="358">
        <f t="shared" si="18"/>
        <v>28</v>
      </c>
      <c r="J110" s="358">
        <f t="shared" si="17"/>
        <v>308000</v>
      </c>
    </row>
    <row r="111" spans="1:10" s="315" customFormat="1" ht="15">
      <c r="A111" s="361" t="s">
        <v>338</v>
      </c>
      <c r="B111" s="407" t="s">
        <v>545</v>
      </c>
      <c r="C111" s="399">
        <f>VLOOKUP(Electrico!B111,Material!C:F,2,0)</f>
        <v>8991</v>
      </c>
      <c r="D111" s="332" t="str">
        <f>VLOOKUP(C111,Material!D:F,2,0)</f>
        <v>Und</v>
      </c>
      <c r="E111" s="333"/>
      <c r="F111" s="333">
        <v>14</v>
      </c>
      <c r="G111" s="357">
        <f>VLOOKUP(C111,Material!D:F,3,0)</f>
        <v>650252</v>
      </c>
      <c r="H111" s="358">
        <f t="shared" si="16"/>
        <v>9103528</v>
      </c>
      <c r="I111" s="358">
        <f t="shared" si="18"/>
        <v>14</v>
      </c>
      <c r="J111" s="358">
        <f t="shared" si="17"/>
        <v>9103528</v>
      </c>
    </row>
    <row r="112" spans="1:10" s="315" customFormat="1" ht="15">
      <c r="A112" s="361" t="s">
        <v>338</v>
      </c>
      <c r="B112" s="407" t="s">
        <v>612</v>
      </c>
      <c r="C112" s="399" t="str">
        <f>VLOOKUP(Electrico!B112,Material!C:F,2,0)</f>
        <v>na</v>
      </c>
      <c r="D112" s="332" t="str">
        <f>VLOOKUP(C112,Material!D:F,2,0)</f>
        <v>Und</v>
      </c>
      <c r="E112" s="333"/>
      <c r="F112" s="333">
        <v>14</v>
      </c>
      <c r="G112" s="357">
        <f>VLOOKUP(C112,Material!D:F,3,0)</f>
        <v>65000</v>
      </c>
      <c r="H112" s="358">
        <f t="shared" si="16"/>
        <v>910000</v>
      </c>
      <c r="I112" s="358">
        <f t="shared" si="18"/>
        <v>14</v>
      </c>
      <c r="J112" s="358">
        <f t="shared" si="17"/>
        <v>910000</v>
      </c>
    </row>
    <row r="113" spans="1:10" s="315" customFormat="1" ht="15">
      <c r="A113" s="361" t="s">
        <v>338</v>
      </c>
      <c r="B113" s="407" t="s">
        <v>518</v>
      </c>
      <c r="C113" s="399">
        <f>VLOOKUP(Electrico!B113,Material!C:F,2,0)</f>
        <v>3664</v>
      </c>
      <c r="D113" s="332" t="str">
        <f>VLOOKUP(C113,Material!D:F,2,0)</f>
        <v>Und</v>
      </c>
      <c r="E113" s="333"/>
      <c r="F113" s="333">
        <v>42</v>
      </c>
      <c r="G113" s="357">
        <f>VLOOKUP(C113,Material!D:F,3,0)</f>
        <v>5600</v>
      </c>
      <c r="H113" s="358">
        <f t="shared" si="16"/>
        <v>235200</v>
      </c>
      <c r="I113" s="358">
        <f t="shared" si="18"/>
        <v>42</v>
      </c>
      <c r="J113" s="358">
        <f t="shared" si="17"/>
        <v>235200</v>
      </c>
    </row>
    <row r="114" spans="1:10" s="315" customFormat="1" ht="15">
      <c r="A114" s="361" t="s">
        <v>338</v>
      </c>
      <c r="B114" s="407" t="s">
        <v>522</v>
      </c>
      <c r="C114" s="399">
        <f>VLOOKUP(Electrico!B114,Material!C:F,2,0)</f>
        <v>3849</v>
      </c>
      <c r="D114" s="332" t="str">
        <f>VLOOKUP(C114,Material!D:F,2,0)</f>
        <v>Und</v>
      </c>
      <c r="E114" s="333"/>
      <c r="F114" s="333">
        <v>14</v>
      </c>
      <c r="G114" s="357">
        <f>VLOOKUP(C114,Material!D:F,3,0)</f>
        <v>2200000</v>
      </c>
      <c r="H114" s="358">
        <f t="shared" si="16"/>
        <v>30800000</v>
      </c>
      <c r="I114" s="358">
        <f t="shared" si="18"/>
        <v>14</v>
      </c>
      <c r="J114" s="358">
        <f t="shared" si="17"/>
        <v>30800000</v>
      </c>
    </row>
    <row r="115" spans="1:10" s="315" customFormat="1" ht="15">
      <c r="A115" s="361" t="s">
        <v>338</v>
      </c>
      <c r="B115" s="407" t="s">
        <v>531</v>
      </c>
      <c r="C115" s="399">
        <f>VLOOKUP(Electrico!B115,Material!C:F,2,0)</f>
        <v>4118</v>
      </c>
      <c r="D115" s="332" t="str">
        <f>VLOOKUP(C115,Material!D:F,2,0)</f>
        <v>Und</v>
      </c>
      <c r="E115" s="333"/>
      <c r="F115" s="333">
        <v>14</v>
      </c>
      <c r="G115" s="357">
        <f>VLOOKUP(C115,Material!D:F,3,0)</f>
        <v>109020.15</v>
      </c>
      <c r="H115" s="358">
        <f t="shared" si="16"/>
        <v>1526282.0999999999</v>
      </c>
      <c r="I115" s="358">
        <f t="shared" si="18"/>
        <v>14</v>
      </c>
      <c r="J115" s="358">
        <f t="shared" si="17"/>
        <v>1526282.0999999999</v>
      </c>
    </row>
    <row r="116" spans="1:10" s="315" customFormat="1" ht="15">
      <c r="A116" s="361" t="s">
        <v>338</v>
      </c>
      <c r="B116" s="407" t="s">
        <v>474</v>
      </c>
      <c r="C116" s="399">
        <f>VLOOKUP(Electrico!B116,Material!C:F,2,0)</f>
        <v>491</v>
      </c>
      <c r="D116" s="332" t="str">
        <f>VLOOKUP(C116,Material!D:F,2,0)</f>
        <v>Und</v>
      </c>
      <c r="E116" s="333"/>
      <c r="F116" s="333">
        <v>14</v>
      </c>
      <c r="G116" s="357">
        <f>VLOOKUP(C116,Material!D:F,3,0)</f>
        <v>22100</v>
      </c>
      <c r="H116" s="358">
        <f t="shared" si="16"/>
        <v>309400</v>
      </c>
      <c r="I116" s="358">
        <f t="shared" si="18"/>
        <v>14</v>
      </c>
      <c r="J116" s="358">
        <f t="shared" si="17"/>
        <v>309400</v>
      </c>
    </row>
    <row r="117" spans="1:10" s="315" customFormat="1" ht="15">
      <c r="A117" s="361" t="s">
        <v>338</v>
      </c>
      <c r="B117" s="407" t="s">
        <v>434</v>
      </c>
      <c r="C117" s="399">
        <f>VLOOKUP(Electrico!B117,Material!C:F,2,0)</f>
        <v>1202</v>
      </c>
      <c r="D117" s="332" t="str">
        <f>VLOOKUP(C117,Material!D:F,2,0)</f>
        <v>Und</v>
      </c>
      <c r="E117" s="333"/>
      <c r="F117" s="333">
        <v>28</v>
      </c>
      <c r="G117" s="357">
        <f>VLOOKUP(C117,Material!D:F,3,0)</f>
        <v>4550</v>
      </c>
      <c r="H117" s="358">
        <f t="shared" si="16"/>
        <v>127400</v>
      </c>
      <c r="I117" s="358">
        <f t="shared" si="18"/>
        <v>28</v>
      </c>
      <c r="J117" s="358">
        <f t="shared" si="17"/>
        <v>127400</v>
      </c>
    </row>
    <row r="118" spans="1:10" s="315" customFormat="1" ht="15">
      <c r="A118" s="361" t="s">
        <v>338</v>
      </c>
      <c r="B118" s="407" t="s">
        <v>437</v>
      </c>
      <c r="C118" s="399">
        <f>VLOOKUP(Electrico!B118,Material!C:F,2,0)</f>
        <v>1251</v>
      </c>
      <c r="D118" s="332" t="str">
        <f>VLOOKUP(C118,Material!D:F,2,0)</f>
        <v>Ml</v>
      </c>
      <c r="E118" s="333"/>
      <c r="F118" s="333">
        <v>14</v>
      </c>
      <c r="G118" s="357">
        <f>VLOOKUP(C118,Material!D:F,3,0)</f>
        <v>5900</v>
      </c>
      <c r="H118" s="358">
        <f t="shared" ref="H118:H122" si="19">G118*F118</f>
        <v>82600</v>
      </c>
      <c r="I118" s="358">
        <f t="shared" ref="I118" si="20">F118</f>
        <v>14</v>
      </c>
      <c r="J118" s="358">
        <f t="shared" ref="J118:J122" si="21">I118*G118</f>
        <v>82600</v>
      </c>
    </row>
    <row r="119" spans="1:10" s="315" customFormat="1" ht="15">
      <c r="A119" s="361" t="s">
        <v>338</v>
      </c>
      <c r="B119" s="407" t="s">
        <v>552</v>
      </c>
      <c r="C119" s="399">
        <f>VLOOKUP(Electrico!B119,Material!C:F,2,0)</f>
        <v>10543</v>
      </c>
      <c r="D119" s="332" t="str">
        <f>VLOOKUP(C119,Material!D:F,2,0)</f>
        <v>Ml</v>
      </c>
      <c r="E119" s="333"/>
      <c r="F119" s="333">
        <v>84</v>
      </c>
      <c r="G119" s="357">
        <f>VLOOKUP(C119,Material!D:F,3,0)</f>
        <v>2773.17</v>
      </c>
      <c r="H119" s="358">
        <f t="shared" ref="H119" si="22">G119*F119</f>
        <v>232946.28</v>
      </c>
      <c r="I119" s="358">
        <f>28*3</f>
        <v>84</v>
      </c>
      <c r="J119" s="358">
        <f t="shared" ref="J119" si="23">I119*G119</f>
        <v>232946.28</v>
      </c>
    </row>
    <row r="120" spans="1:10" s="315" customFormat="1" ht="15">
      <c r="A120" s="361" t="s">
        <v>338</v>
      </c>
      <c r="B120" s="407" t="s">
        <v>467</v>
      </c>
      <c r="C120" s="399">
        <f>VLOOKUP(Electrico!B120,Material!C:F,2,0)</f>
        <v>1798</v>
      </c>
      <c r="D120" s="332" t="str">
        <f>VLOOKUP(C120,Material!D:F,2,0)</f>
        <v>Und</v>
      </c>
      <c r="E120" s="333"/>
      <c r="F120" s="333">
        <v>6</v>
      </c>
      <c r="G120" s="357">
        <f>VLOOKUP(C120,Material!D:F,3,0)</f>
        <v>31000</v>
      </c>
      <c r="H120" s="358">
        <f t="shared" si="19"/>
        <v>186000</v>
      </c>
      <c r="I120" s="358">
        <v>6</v>
      </c>
      <c r="J120" s="358">
        <f t="shared" si="21"/>
        <v>186000</v>
      </c>
    </row>
    <row r="121" spans="1:10" s="315" customFormat="1" ht="15">
      <c r="A121" s="361" t="s">
        <v>338</v>
      </c>
      <c r="B121" s="407" t="s">
        <v>478</v>
      </c>
      <c r="C121" s="399">
        <f>VLOOKUP(Electrico!B121,Material!C:F,2,0)</f>
        <v>153</v>
      </c>
      <c r="D121" s="332" t="str">
        <f>VLOOKUP(C121,Material!D:F,2,0)</f>
        <v>Und</v>
      </c>
      <c r="E121" s="333"/>
      <c r="F121" s="333">
        <v>6</v>
      </c>
      <c r="G121" s="357">
        <f>VLOOKUP(C121,Material!D:F,3,0)</f>
        <v>45000</v>
      </c>
      <c r="H121" s="358">
        <f t="shared" ref="H121" si="24">G121*F121</f>
        <v>270000</v>
      </c>
      <c r="I121" s="358">
        <v>6</v>
      </c>
      <c r="J121" s="358">
        <f t="shared" ref="J121" si="25">I121*G121</f>
        <v>270000</v>
      </c>
    </row>
    <row r="122" spans="1:10" s="315" customFormat="1" ht="15">
      <c r="A122" s="361" t="s">
        <v>338</v>
      </c>
      <c r="B122" s="407" t="s">
        <v>547</v>
      </c>
      <c r="C122" s="399">
        <f>VLOOKUP(Electrico!B122,Material!C:F,2,0)</f>
        <v>1811</v>
      </c>
      <c r="D122" s="332" t="str">
        <f>VLOOKUP(C122,Material!D:F,2,0)</f>
        <v>Und</v>
      </c>
      <c r="E122" s="333"/>
      <c r="F122" s="333">
        <v>6</v>
      </c>
      <c r="G122" s="357">
        <f>VLOOKUP(C122,Material!D:F,3,0)</f>
        <v>10924.33</v>
      </c>
      <c r="H122" s="358">
        <f t="shared" si="19"/>
        <v>65545.98</v>
      </c>
      <c r="I122" s="358">
        <v>6</v>
      </c>
      <c r="J122" s="358">
        <f t="shared" si="21"/>
        <v>65545.98</v>
      </c>
    </row>
    <row r="123" spans="1:10" s="315" customFormat="1" ht="15">
      <c r="A123" s="361"/>
      <c r="B123" s="407"/>
      <c r="C123" s="399"/>
      <c r="D123" s="332"/>
      <c r="E123" s="333"/>
      <c r="F123" s="333"/>
      <c r="G123" s="357"/>
      <c r="H123" s="358"/>
      <c r="I123" s="358"/>
      <c r="J123" s="358">
        <f t="shared" si="17"/>
        <v>0</v>
      </c>
    </row>
    <row r="124" spans="1:10" s="315" customFormat="1" ht="15">
      <c r="A124" s="344"/>
      <c r="B124" s="345" t="s">
        <v>782</v>
      </c>
      <c r="C124" s="401"/>
      <c r="D124" s="346"/>
      <c r="E124" s="346"/>
      <c r="F124" s="359"/>
      <c r="G124" s="346"/>
      <c r="H124" s="349">
        <f>SUM(H98:H122)</f>
        <v>67068400.359999999</v>
      </c>
      <c r="I124" s="349"/>
      <c r="J124" s="349">
        <f>SUM(J98:K122)</f>
        <v>67684722.359999999</v>
      </c>
    </row>
    <row r="125" spans="1:10" s="315" customFormat="1" ht="15">
      <c r="A125" s="350"/>
      <c r="B125" s="351" t="s">
        <v>52</v>
      </c>
      <c r="C125" s="398"/>
      <c r="D125" s="328"/>
      <c r="E125" s="328"/>
      <c r="F125" s="328"/>
      <c r="G125" s="328"/>
      <c r="H125" s="352">
        <f>+H124</f>
        <v>67068400.359999999</v>
      </c>
      <c r="I125" s="352"/>
      <c r="J125" s="352">
        <f>+J124</f>
        <v>67684722.359999999</v>
      </c>
    </row>
    <row r="126" spans="1:10" s="315" customFormat="1" ht="15">
      <c r="A126" s="326">
        <v>2.2999999999999998</v>
      </c>
      <c r="B126" s="327" t="s">
        <v>747</v>
      </c>
      <c r="C126" s="398"/>
      <c r="D126" s="328"/>
      <c r="E126" s="328"/>
      <c r="F126" s="360"/>
      <c r="G126" s="328"/>
      <c r="H126" s="329"/>
      <c r="I126" s="352"/>
      <c r="J126" s="352"/>
    </row>
    <row r="127" spans="1:10" s="315" customFormat="1" ht="15">
      <c r="A127" s="361" t="s">
        <v>333</v>
      </c>
      <c r="B127" s="407" t="s">
        <v>752</v>
      </c>
      <c r="C127" s="399" t="str">
        <f>VLOOKUP(Electrico!B127,Material!C:F,2,0)</f>
        <v>Ar</v>
      </c>
      <c r="D127" s="332" t="str">
        <f>VLOOKUP(C127,Material!D:F,2,0)</f>
        <v>M3</v>
      </c>
      <c r="E127" s="333"/>
      <c r="F127" s="333">
        <f>concreto!M4</f>
        <v>234.50000000000003</v>
      </c>
      <c r="G127" s="357">
        <f>VLOOKUP(C127,Material!D:F,3,0)</f>
        <v>85000</v>
      </c>
      <c r="H127" s="358">
        <f t="shared" ref="H127:H130" si="26">G127*F127</f>
        <v>19932500.000000004</v>
      </c>
      <c r="I127" s="352"/>
      <c r="J127" s="352"/>
    </row>
    <row r="128" spans="1:10" s="315" customFormat="1" ht="15">
      <c r="A128" s="361" t="s">
        <v>334</v>
      </c>
      <c r="B128" s="407" t="s">
        <v>753</v>
      </c>
      <c r="C128" s="399" t="str">
        <f>VLOOKUP(Electrico!B128,Material!C:F,2,0)</f>
        <v>Cm</v>
      </c>
      <c r="D128" s="332" t="str">
        <f>VLOOKUP(C128,Material!D:F,2,0)</f>
        <v>Bulto</v>
      </c>
      <c r="E128" s="333"/>
      <c r="F128" s="333">
        <f>concreto!M5</f>
        <v>2940</v>
      </c>
      <c r="G128" s="357">
        <f>VLOOKUP(C128,Material!D:F,3,0)</f>
        <v>25000</v>
      </c>
      <c r="H128" s="358">
        <f t="shared" si="26"/>
        <v>73500000</v>
      </c>
      <c r="I128" s="352"/>
      <c r="J128" s="352"/>
    </row>
    <row r="129" spans="1:11" s="315" customFormat="1" ht="15">
      <c r="A129" s="361" t="s">
        <v>335</v>
      </c>
      <c r="B129" s="407" t="s">
        <v>754</v>
      </c>
      <c r="C129" s="399" t="str">
        <f>VLOOKUP(Electrico!B129,Material!C:F,2,0)</f>
        <v>Tr</v>
      </c>
      <c r="D129" s="332" t="str">
        <f>VLOOKUP(C129,Material!D:F,2,0)</f>
        <v>M3</v>
      </c>
      <c r="E129" s="333"/>
      <c r="F129" s="333">
        <f>concreto!M6</f>
        <v>234.50000000000003</v>
      </c>
      <c r="G129" s="357">
        <f>VLOOKUP(C129,Material!D:F,3,0)</f>
        <v>115000</v>
      </c>
      <c r="H129" s="358">
        <f t="shared" si="26"/>
        <v>26967500.000000004</v>
      </c>
      <c r="I129" s="352"/>
      <c r="J129" s="352"/>
    </row>
    <row r="130" spans="1:11" s="315" customFormat="1" ht="15">
      <c r="A130" s="361" t="s">
        <v>336</v>
      </c>
      <c r="B130" s="407" t="s">
        <v>755</v>
      </c>
      <c r="C130" s="399" t="str">
        <f>VLOOKUP(Electrico!B130,Material!C:F,2,0)</f>
        <v>Pl</v>
      </c>
      <c r="D130" s="332" t="str">
        <f>VLOOKUP(C130,Material!D:F,2,0)</f>
        <v>Kg</v>
      </c>
      <c r="E130" s="333"/>
      <c r="F130" s="333">
        <f>concreto!M7</f>
        <v>735</v>
      </c>
      <c r="G130" s="357">
        <f>VLOOKUP(C130,Material!D:F,3,0)</f>
        <v>19800</v>
      </c>
      <c r="H130" s="358">
        <f t="shared" si="26"/>
        <v>14553000</v>
      </c>
      <c r="I130" s="352"/>
      <c r="J130" s="352"/>
    </row>
    <row r="131" spans="1:11" s="315" customFormat="1" ht="15">
      <c r="A131" s="361" t="s">
        <v>333</v>
      </c>
      <c r="B131" s="407" t="s">
        <v>759</v>
      </c>
      <c r="C131" s="399" t="str">
        <f>VLOOKUP(Electrico!B131,Material!C:F,2,0)</f>
        <v>PT</v>
      </c>
      <c r="D131" s="332" t="str">
        <f>VLOOKUP(C131,Material!D:F,2,0)</f>
        <v>Ml</v>
      </c>
      <c r="E131" s="333"/>
      <c r="F131" s="333">
        <f>concreto!M11</f>
        <v>35.641666666666666</v>
      </c>
      <c r="G131" s="357">
        <f>VLOOKUP(C131,Material!D:F,3,0)</f>
        <v>55600</v>
      </c>
      <c r="H131" s="358">
        <f t="shared" ref="H131:H134" si="27">G131*F131</f>
        <v>1981676.6666666665</v>
      </c>
      <c r="I131" s="352"/>
      <c r="J131" s="352"/>
    </row>
    <row r="132" spans="1:11" s="315" customFormat="1" ht="15">
      <c r="A132" s="361" t="s">
        <v>334</v>
      </c>
      <c r="B132" s="407" t="s">
        <v>758</v>
      </c>
      <c r="C132" s="399" t="str">
        <f>VLOOKUP(Electrico!B132,Material!C:F,2,0)</f>
        <v>Ag</v>
      </c>
      <c r="D132" s="332" t="str">
        <f>VLOOKUP(C132,Material!D:F,2,0)</f>
        <v>Ml</v>
      </c>
      <c r="E132" s="333"/>
      <c r="F132" s="333">
        <f>F131</f>
        <v>35.641666666666666</v>
      </c>
      <c r="G132" s="357">
        <f>VLOOKUP(C132,Material!D:F,3,0)</f>
        <v>117800</v>
      </c>
      <c r="H132" s="358">
        <f t="shared" si="27"/>
        <v>4198588.333333333</v>
      </c>
      <c r="I132" s="352"/>
      <c r="J132" s="352"/>
    </row>
    <row r="133" spans="1:11" s="315" customFormat="1" ht="15">
      <c r="A133" s="361" t="s">
        <v>335</v>
      </c>
      <c r="B133" s="407" t="s">
        <v>760</v>
      </c>
      <c r="C133" s="399" t="str">
        <f>VLOOKUP(Electrico!B133,Material!C:F,2,0)</f>
        <v>Vr</v>
      </c>
      <c r="D133" s="332" t="str">
        <f>VLOOKUP(C133,Material!D:F,2,0)</f>
        <v>Ml</v>
      </c>
      <c r="E133" s="333"/>
      <c r="F133" s="333">
        <f>concreto!M13</f>
        <v>151.66666666666666</v>
      </c>
      <c r="G133" s="357">
        <f>VLOOKUP(C133,Material!D:F,3,0)</f>
        <v>18000</v>
      </c>
      <c r="H133" s="358">
        <f t="shared" si="27"/>
        <v>2730000</v>
      </c>
      <c r="I133" s="352"/>
      <c r="J133" s="352"/>
    </row>
    <row r="134" spans="1:11" s="315" customFormat="1" ht="15">
      <c r="A134" s="361" t="s">
        <v>336</v>
      </c>
      <c r="B134" s="407" t="s">
        <v>761</v>
      </c>
      <c r="C134" s="399" t="str">
        <f>VLOOKUP(Electrico!B134,Material!C:F,2,0)</f>
        <v>An</v>
      </c>
      <c r="D134" s="332" t="str">
        <f>VLOOKUP(C134,Material!D:F,2,0)</f>
        <v>KG</v>
      </c>
      <c r="E134" s="333"/>
      <c r="F134" s="333">
        <v>420</v>
      </c>
      <c r="G134" s="357">
        <f>VLOOKUP(C134,Material!D:F,3,0)</f>
        <v>7268</v>
      </c>
      <c r="H134" s="358">
        <f t="shared" si="27"/>
        <v>3052560</v>
      </c>
      <c r="I134" s="352"/>
      <c r="J134" s="352"/>
    </row>
    <row r="135" spans="1:11" s="315" customFormat="1" ht="15">
      <c r="A135" s="361" t="s">
        <v>333</v>
      </c>
      <c r="B135" s="407" t="s">
        <v>776</v>
      </c>
      <c r="C135" s="399" t="str">
        <f>VLOOKUP(Electrico!B135,Material!C:F,2,0)</f>
        <v>Fm</v>
      </c>
      <c r="D135" s="332" t="str">
        <f>VLOOKUP(C135,Material!D:F,2,0)</f>
        <v>Und</v>
      </c>
      <c r="E135" s="333"/>
      <c r="F135" s="333">
        <v>10</v>
      </c>
      <c r="G135" s="357">
        <f>VLOOKUP(C135,Material!D:F,3,0)</f>
        <v>350000</v>
      </c>
      <c r="H135" s="358">
        <f t="shared" ref="H135" si="28">G135*F135</f>
        <v>3500000</v>
      </c>
      <c r="I135" s="352"/>
      <c r="J135" s="352"/>
    </row>
    <row r="136" spans="1:11" s="315" customFormat="1" ht="15">
      <c r="A136" s="361"/>
      <c r="B136" s="345" t="s">
        <v>782</v>
      </c>
      <c r="C136" s="401"/>
      <c r="D136" s="346"/>
      <c r="E136" s="346"/>
      <c r="F136" s="359"/>
      <c r="G136" s="346"/>
      <c r="H136" s="349">
        <f>SUM(H127:H135)</f>
        <v>150415825</v>
      </c>
      <c r="I136" s="352"/>
      <c r="J136" s="352"/>
    </row>
    <row r="137" spans="1:11" ht="22.5" customHeight="1">
      <c r="A137" s="330"/>
      <c r="B137" s="473" t="s">
        <v>322</v>
      </c>
      <c r="C137" s="474"/>
      <c r="D137" s="474"/>
      <c r="E137" s="474"/>
      <c r="F137" s="474"/>
      <c r="G137" s="357"/>
      <c r="H137" s="429">
        <f>H124+H95+H80+H62+H136</f>
        <v>2205063040.3600001</v>
      </c>
      <c r="I137" s="429"/>
      <c r="J137" s="443">
        <f>J124+J95+J80+J62</f>
        <v>2055263537.3600001</v>
      </c>
    </row>
    <row r="138" spans="1:11" ht="15">
      <c r="A138" s="344"/>
      <c r="B138" s="345" t="s">
        <v>53</v>
      </c>
      <c r="C138" s="401"/>
      <c r="D138" s="346"/>
      <c r="E138" s="346"/>
      <c r="F138" s="348"/>
      <c r="G138" s="346"/>
      <c r="H138" s="349">
        <f>+H137</f>
        <v>2205063040.3600001</v>
      </c>
      <c r="I138" s="349"/>
      <c r="J138" s="349">
        <f>+J137</f>
        <v>2055263537.3600001</v>
      </c>
      <c r="K138" s="451"/>
    </row>
    <row r="139" spans="1:11" ht="15.75" customHeight="1">
      <c r="A139" s="350"/>
      <c r="B139" s="351" t="s">
        <v>53</v>
      </c>
      <c r="C139" s="398"/>
      <c r="D139" s="328"/>
      <c r="E139" s="328"/>
      <c r="F139" s="328"/>
      <c r="G139" s="328"/>
      <c r="H139" s="352">
        <f>+H138</f>
        <v>2205063040.3600001</v>
      </c>
      <c r="I139" s="352"/>
      <c r="J139" s="352">
        <f>+J138</f>
        <v>2055263537.3600001</v>
      </c>
    </row>
    <row r="140" spans="1:11" s="2" customFormat="1" ht="7.5" customHeight="1">
      <c r="A140" s="353"/>
      <c r="B140" s="354"/>
      <c r="C140" s="398"/>
      <c r="D140" s="355"/>
      <c r="E140" s="355"/>
      <c r="F140" s="355"/>
      <c r="G140" s="355"/>
      <c r="H140" s="356"/>
      <c r="I140" s="356"/>
      <c r="J140" s="356"/>
    </row>
    <row r="141" spans="1:11" ht="15">
      <c r="A141" s="321">
        <v>3</v>
      </c>
      <c r="B141" s="322" t="s">
        <v>54</v>
      </c>
      <c r="C141" s="402"/>
      <c r="D141" s="323"/>
      <c r="E141" s="323"/>
      <c r="F141" s="323"/>
      <c r="G141" s="323"/>
      <c r="H141" s="325"/>
      <c r="I141" s="325"/>
      <c r="J141" s="325"/>
    </row>
    <row r="142" spans="1:11" ht="15">
      <c r="A142" s="326">
        <v>3.1</v>
      </c>
      <c r="B142" s="327" t="s">
        <v>55</v>
      </c>
      <c r="C142" s="398"/>
      <c r="D142" s="328"/>
      <c r="E142" s="328"/>
      <c r="F142" s="328"/>
      <c r="G142" s="328"/>
      <c r="H142" s="329"/>
      <c r="I142" s="329"/>
      <c r="J142" s="329"/>
    </row>
    <row r="143" spans="1:11" s="315" customFormat="1" ht="15">
      <c r="A143" s="330" t="s">
        <v>37</v>
      </c>
      <c r="B143" s="315" t="s">
        <v>743</v>
      </c>
      <c r="C143" s="399">
        <f>VLOOKUP(Electrico!B143,Internos!A:B,2,0)</f>
        <v>9501</v>
      </c>
      <c r="D143" s="332" t="str">
        <f>VLOOKUP(Electrico!C143,Internos!B:D,2,0)</f>
        <v>Und</v>
      </c>
      <c r="E143" s="333">
        <v>1</v>
      </c>
      <c r="F143" s="333">
        <f>F56</f>
        <v>580</v>
      </c>
      <c r="G143" s="335">
        <f>VLOOKUP(Electrico!B143,Internos!A:D,4,0)</f>
        <v>3000</v>
      </c>
      <c r="H143" s="336">
        <f t="shared" ref="H143:H151" si="29">+E143*F143*G143</f>
        <v>1740000</v>
      </c>
      <c r="I143" s="333">
        <v>1.8</v>
      </c>
      <c r="J143" s="336">
        <f>I143*G143</f>
        <v>5400</v>
      </c>
    </row>
    <row r="144" spans="1:11" s="315" customFormat="1" ht="15">
      <c r="A144" s="330" t="s">
        <v>37</v>
      </c>
      <c r="B144" s="315" t="s">
        <v>341</v>
      </c>
      <c r="C144" s="399">
        <f>VLOOKUP(Electrico!B144,Internos!A:B,2,0)</f>
        <v>9476</v>
      </c>
      <c r="D144" s="332" t="str">
        <f>VLOOKUP(Electrico!C144,Internos!B:D,2,0)</f>
        <v>Unidad</v>
      </c>
      <c r="E144" s="333">
        <v>1</v>
      </c>
      <c r="F144" s="333">
        <v>2</v>
      </c>
      <c r="G144" s="335">
        <f>VLOOKUP(Electrico!B144,Internos!A:D,4,0)</f>
        <v>120000</v>
      </c>
      <c r="H144" s="336">
        <f t="shared" si="29"/>
        <v>240000</v>
      </c>
      <c r="I144" s="333">
        <v>2</v>
      </c>
      <c r="J144" s="336">
        <f t="shared" ref="J144:J151" si="30">I144*G144</f>
        <v>240000</v>
      </c>
    </row>
    <row r="145" spans="1:10" s="315" customFormat="1" ht="15">
      <c r="A145" s="330" t="s">
        <v>37</v>
      </c>
      <c r="B145" s="315" t="s">
        <v>564</v>
      </c>
      <c r="C145" s="399">
        <f>VLOOKUP(Electrico!B145,Internos!A:B,2,0)</f>
        <v>9476</v>
      </c>
      <c r="D145" s="332" t="str">
        <f>VLOOKUP(Electrico!C145,Internos!B:D,2,0)</f>
        <v>Unidad</v>
      </c>
      <c r="E145" s="333">
        <v>1</v>
      </c>
      <c r="F145" s="333">
        <v>1</v>
      </c>
      <c r="G145" s="335">
        <f>VLOOKUP(Electrico!B145,Internos!A:D,4,0)</f>
        <v>165000</v>
      </c>
      <c r="H145" s="336">
        <f t="shared" si="29"/>
        <v>165000</v>
      </c>
      <c r="I145" s="333">
        <v>1</v>
      </c>
      <c r="J145" s="336">
        <f t="shared" si="30"/>
        <v>165000</v>
      </c>
    </row>
    <row r="146" spans="1:10" s="315" customFormat="1" ht="15">
      <c r="A146" s="330" t="s">
        <v>37</v>
      </c>
      <c r="B146" s="315" t="s">
        <v>636</v>
      </c>
      <c r="C146" s="399">
        <f>VLOOKUP(Electrico!B146,Internos!A:B,2,0)</f>
        <v>9476</v>
      </c>
      <c r="D146" s="332" t="str">
        <f>VLOOKUP(Electrico!C146,Internos!B:D,2,0)</f>
        <v>Unidad</v>
      </c>
      <c r="E146" s="333">
        <v>1</v>
      </c>
      <c r="F146" s="333">
        <v>3</v>
      </c>
      <c r="G146" s="335">
        <f>VLOOKUP(Electrico!B146,Internos!A:D,4,0)</f>
        <v>195000</v>
      </c>
      <c r="H146" s="336">
        <f t="shared" si="29"/>
        <v>585000</v>
      </c>
      <c r="I146" s="333">
        <v>3</v>
      </c>
      <c r="J146" s="336">
        <f t="shared" si="30"/>
        <v>585000</v>
      </c>
    </row>
    <row r="147" spans="1:10" s="315" customFormat="1" ht="15">
      <c r="A147" s="330" t="s">
        <v>37</v>
      </c>
      <c r="B147" s="315" t="s">
        <v>56</v>
      </c>
      <c r="C147" s="399">
        <f>VLOOKUP(Electrico!B147,Internos!A:B,2,0)</f>
        <v>9501</v>
      </c>
      <c r="D147" s="332" t="str">
        <f>VLOOKUP(Electrico!C147,Internos!B:D,2,0)</f>
        <v>Und</v>
      </c>
      <c r="E147" s="333">
        <v>1</v>
      </c>
      <c r="F147" s="333">
        <v>8</v>
      </c>
      <c r="G147" s="335">
        <f>VLOOKUP(Electrico!B147,Internos!A:D,4,0)</f>
        <v>3100000</v>
      </c>
      <c r="H147" s="336">
        <f t="shared" si="29"/>
        <v>24800000</v>
      </c>
      <c r="I147" s="333">
        <v>8</v>
      </c>
      <c r="J147" s="336">
        <f t="shared" si="30"/>
        <v>24800000</v>
      </c>
    </row>
    <row r="148" spans="1:10" s="315" customFormat="1" ht="15">
      <c r="A148" s="330" t="s">
        <v>37</v>
      </c>
      <c r="B148" s="315" t="s">
        <v>722</v>
      </c>
      <c r="C148" s="399">
        <f>VLOOKUP(Electrico!B148,Internos!A:B,2,0)</f>
        <v>9501</v>
      </c>
      <c r="D148" s="332" t="str">
        <f>VLOOKUP(Electrico!B148,Internos!A:D,3,0)</f>
        <v>Km</v>
      </c>
      <c r="E148" s="333">
        <v>1</v>
      </c>
      <c r="F148" s="333">
        <v>15</v>
      </c>
      <c r="G148" s="335">
        <f>VLOOKUP(Electrico!B148,Internos!A:D,4,0)</f>
        <v>280000</v>
      </c>
      <c r="H148" s="336">
        <f t="shared" si="29"/>
        <v>4200000</v>
      </c>
      <c r="I148" s="333">
        <v>15</v>
      </c>
      <c r="J148" s="336">
        <f t="shared" si="30"/>
        <v>4200000</v>
      </c>
    </row>
    <row r="149" spans="1:10" s="315" customFormat="1" ht="15">
      <c r="A149" s="330" t="s">
        <v>37</v>
      </c>
      <c r="B149" s="315" t="s">
        <v>721</v>
      </c>
      <c r="C149" s="399">
        <f>VLOOKUP(Electrico!B149,Internos!A:B,2,0)</f>
        <v>9501</v>
      </c>
      <c r="D149" s="332" t="str">
        <f>VLOOKUP(Electrico!C149,Internos!B:D,2,0)</f>
        <v>Und</v>
      </c>
      <c r="E149" s="333">
        <v>1</v>
      </c>
      <c r="F149" s="333">
        <v>8</v>
      </c>
      <c r="G149" s="335">
        <f>VLOOKUP(Electrico!B149,Internos!A:D,4,0)</f>
        <v>1400000</v>
      </c>
      <c r="H149" s="336">
        <f t="shared" si="29"/>
        <v>11200000</v>
      </c>
      <c r="I149" s="333">
        <v>8</v>
      </c>
      <c r="J149" s="336">
        <f t="shared" si="30"/>
        <v>11200000</v>
      </c>
    </row>
    <row r="150" spans="1:10" s="315" customFormat="1" ht="15">
      <c r="A150" s="330" t="s">
        <v>37</v>
      </c>
      <c r="B150" s="315" t="s">
        <v>724</v>
      </c>
      <c r="C150" s="399">
        <f>VLOOKUP(Electrico!B150,Internos!A:B,2,0)</f>
        <v>9501</v>
      </c>
      <c r="D150" s="332" t="str">
        <f>VLOOKUP(Electrico!C150,Internos!B:D,2,0)</f>
        <v>Und</v>
      </c>
      <c r="E150" s="333">
        <v>1</v>
      </c>
      <c r="F150" s="333">
        <v>3</v>
      </c>
      <c r="G150" s="335">
        <f>VLOOKUP(Electrico!B150,Internos!A:D,4,0)</f>
        <v>1454850</v>
      </c>
      <c r="H150" s="336">
        <f t="shared" ref="H150" si="31">+E150*F150*G150</f>
        <v>4364550</v>
      </c>
      <c r="I150" s="333">
        <v>8</v>
      </c>
      <c r="J150" s="336">
        <f t="shared" ref="J150" si="32">I150*G150</f>
        <v>11638800</v>
      </c>
    </row>
    <row r="151" spans="1:10" s="315" customFormat="1" ht="15">
      <c r="A151" s="330" t="s">
        <v>37</v>
      </c>
      <c r="B151" s="315" t="s">
        <v>563</v>
      </c>
      <c r="C151" s="399">
        <f>VLOOKUP(Electrico!B151,Internos!A:B,2,0)</f>
        <v>9661</v>
      </c>
      <c r="D151" s="332" t="str">
        <f>VLOOKUP(Electrico!C151,Internos!B:D,2,0)</f>
        <v>Mensual</v>
      </c>
      <c r="E151" s="333">
        <v>1</v>
      </c>
      <c r="F151" s="333">
        <v>8</v>
      </c>
      <c r="G151" s="335">
        <f>VLOOKUP(Electrico!B151,Internos!A:D,4,0)</f>
        <v>2100000</v>
      </c>
      <c r="H151" s="336">
        <f t="shared" si="29"/>
        <v>16800000</v>
      </c>
      <c r="I151" s="333">
        <v>8</v>
      </c>
      <c r="J151" s="336">
        <f t="shared" si="30"/>
        <v>16800000</v>
      </c>
    </row>
    <row r="152" spans="1:10" ht="15">
      <c r="A152" s="344"/>
      <c r="B152" s="345" t="s">
        <v>17</v>
      </c>
      <c r="C152" s="401"/>
      <c r="D152" s="346"/>
      <c r="E152" s="346"/>
      <c r="F152" s="346"/>
      <c r="G152" s="346"/>
      <c r="H152" s="349">
        <f>SUM(H143:H151)</f>
        <v>64094550</v>
      </c>
      <c r="I152" s="349"/>
      <c r="J152" s="349">
        <f>SUM(J143:J151)</f>
        <v>69634200</v>
      </c>
    </row>
    <row r="153" spans="1:10" ht="15">
      <c r="A153" s="350"/>
      <c r="B153" s="351" t="s">
        <v>17</v>
      </c>
      <c r="C153" s="398"/>
      <c r="D153" s="328"/>
      <c r="E153" s="328"/>
      <c r="F153" s="328"/>
      <c r="G153" s="328"/>
      <c r="H153" s="352">
        <f>+H152</f>
        <v>64094550</v>
      </c>
      <c r="I153" s="352"/>
      <c r="J153" s="352">
        <f>+J152</f>
        <v>69634200</v>
      </c>
    </row>
    <row r="154" spans="1:10" s="2" customFormat="1" ht="7.5" customHeight="1">
      <c r="A154" s="353"/>
      <c r="B154" s="354"/>
      <c r="C154" s="398"/>
      <c r="D154" s="355"/>
      <c r="E154" s="355"/>
      <c r="F154" s="355"/>
      <c r="G154" s="355"/>
      <c r="H154" s="356"/>
      <c r="I154" s="356"/>
      <c r="J154" s="356"/>
    </row>
    <row r="155" spans="1:10" s="2" customFormat="1" ht="15">
      <c r="A155" s="353">
        <v>4</v>
      </c>
      <c r="B155" s="354" t="s">
        <v>15</v>
      </c>
      <c r="C155" s="398"/>
      <c r="D155" s="355"/>
      <c r="E155" s="355"/>
      <c r="F155" s="355"/>
      <c r="G155" s="355"/>
      <c r="H155" s="356"/>
      <c r="I155" s="356"/>
      <c r="J155" s="356"/>
    </row>
    <row r="156" spans="1:10" ht="15">
      <c r="A156" s="362">
        <v>4.0999999999999996</v>
      </c>
      <c r="B156" s="327" t="s">
        <v>42</v>
      </c>
      <c r="C156" s="398"/>
      <c r="D156" s="328"/>
      <c r="E156" s="328"/>
      <c r="F156" s="328"/>
      <c r="G156" s="328"/>
      <c r="H156" s="329"/>
      <c r="I156" s="329"/>
      <c r="J156" s="329"/>
    </row>
    <row r="157" spans="1:10" ht="15">
      <c r="A157" s="363" t="s">
        <v>339</v>
      </c>
      <c r="B157" s="364" t="s">
        <v>328</v>
      </c>
      <c r="C157" s="399">
        <f>VLOOKUP(Electrico!B157,Internos!A:B,2,0)</f>
        <v>7196</v>
      </c>
      <c r="D157" s="332" t="str">
        <f>VLOOKUP(Electrico!C157,Internos!B:D,2,0)</f>
        <v>día</v>
      </c>
      <c r="E157" s="333">
        <v>15</v>
      </c>
      <c r="F157" s="333">
        <v>0.5</v>
      </c>
      <c r="G157" s="335">
        <f>VLOOKUP(Electrico!B157,Internos!A:D,4,0)</f>
        <v>40000</v>
      </c>
      <c r="H157" s="336">
        <f t="shared" ref="H157:H164" si="33">+E157*F157*G157</f>
        <v>300000</v>
      </c>
      <c r="I157" s="445">
        <v>1</v>
      </c>
      <c r="J157" s="446">
        <f t="shared" ref="J157:J164" si="34">H157</f>
        <v>300000</v>
      </c>
    </row>
    <row r="158" spans="1:10" ht="15">
      <c r="A158" s="363" t="s">
        <v>340</v>
      </c>
      <c r="B158" s="364" t="s">
        <v>330</v>
      </c>
      <c r="C158" s="399">
        <f>VLOOKUP(Electrico!B158,Internos!A:B,2,0)</f>
        <v>6199</v>
      </c>
      <c r="D158" s="332" t="str">
        <f>VLOOKUP(Electrico!C158,Internos!B:D,2,0)</f>
        <v>GL</v>
      </c>
      <c r="E158" s="333">
        <v>40</v>
      </c>
      <c r="F158" s="408">
        <v>8</v>
      </c>
      <c r="G158" s="335">
        <f>VLOOKUP(Electrico!B158,Internos!A:D,4,0)</f>
        <v>9000</v>
      </c>
      <c r="H158" s="336">
        <f t="shared" si="33"/>
        <v>2880000</v>
      </c>
      <c r="I158" s="445">
        <v>1</v>
      </c>
      <c r="J158" s="446">
        <f t="shared" si="34"/>
        <v>2880000</v>
      </c>
    </row>
    <row r="159" spans="1:10" s="2" customFormat="1" ht="15">
      <c r="A159" s="363" t="s">
        <v>719</v>
      </c>
      <c r="B159" s="364" t="s">
        <v>741</v>
      </c>
      <c r="C159" s="399">
        <f>VLOOKUP(Electrico!B159,Internos!A:B,2,0)</f>
        <v>6044</v>
      </c>
      <c r="D159" s="332" t="str">
        <f>VLOOKUP(Electrico!C159,Internos!B:D,2,0)</f>
        <v>Mensual</v>
      </c>
      <c r="E159" s="333">
        <v>1</v>
      </c>
      <c r="F159" s="408">
        <v>1</v>
      </c>
      <c r="G159" s="335">
        <f>VLOOKUP(Electrico!B159,Internos!A:D,4,0)</f>
        <v>98000000</v>
      </c>
      <c r="H159" s="336">
        <f t="shared" si="33"/>
        <v>98000000</v>
      </c>
      <c r="I159" s="445">
        <v>1</v>
      </c>
      <c r="J159" s="446">
        <f t="shared" si="34"/>
        <v>98000000</v>
      </c>
    </row>
    <row r="160" spans="1:10" s="2" customFormat="1" ht="15">
      <c r="A160" s="363" t="s">
        <v>719</v>
      </c>
      <c r="B160" s="364" t="s">
        <v>742</v>
      </c>
      <c r="C160" s="399">
        <f>VLOOKUP(Electrico!B160,Internos!A:B,2,0)</f>
        <v>6044</v>
      </c>
      <c r="D160" s="332" t="str">
        <f>VLOOKUP(Electrico!C160,Internos!B:D,2,0)</f>
        <v>Mensual</v>
      </c>
      <c r="E160" s="333">
        <v>2</v>
      </c>
      <c r="F160" s="408">
        <v>8</v>
      </c>
      <c r="G160" s="335">
        <f>VLOOKUP(Electrico!B160,Internos!A:D,4,0)</f>
        <v>80000</v>
      </c>
      <c r="H160" s="336">
        <f t="shared" si="33"/>
        <v>1280000</v>
      </c>
      <c r="I160" s="445">
        <v>1</v>
      </c>
      <c r="J160" s="446">
        <f t="shared" si="34"/>
        <v>1280000</v>
      </c>
    </row>
    <row r="161" spans="1:10" s="2" customFormat="1" ht="15">
      <c r="A161" s="363" t="s">
        <v>719</v>
      </c>
      <c r="B161" s="364" t="s">
        <v>790</v>
      </c>
      <c r="C161" s="399" t="str">
        <f>VLOOKUP(Electrico!B161,Internos!A:B,2,0)</f>
        <v>SE</v>
      </c>
      <c r="D161" s="332" t="str">
        <f>VLOOKUP(Electrico!C161,Internos!B:D,2,0)</f>
        <v>Unidad</v>
      </c>
      <c r="E161" s="333">
        <v>1</v>
      </c>
      <c r="F161" s="408">
        <v>1</v>
      </c>
      <c r="G161" s="335">
        <f>VLOOKUP(Electrico!B161,Internos!A:D,4,0)</f>
        <v>1424000</v>
      </c>
      <c r="H161" s="336">
        <f t="shared" ref="H161" si="35">+E161*F161*G161</f>
        <v>1424000</v>
      </c>
      <c r="I161" s="445">
        <v>1</v>
      </c>
      <c r="J161" s="446">
        <f t="shared" ref="J161" si="36">H161</f>
        <v>1424000</v>
      </c>
    </row>
    <row r="162" spans="1:10" s="2" customFormat="1" ht="15">
      <c r="A162" s="363" t="s">
        <v>719</v>
      </c>
      <c r="B162" s="364" t="s">
        <v>723</v>
      </c>
      <c r="C162" s="399">
        <f>VLOOKUP(Electrico!B162,Internos!A:B,2,0)</f>
        <v>5371</v>
      </c>
      <c r="D162" s="332" t="str">
        <f>VLOOKUP(Electrico!C162,Internos!B:D,2,0)</f>
        <v>Unidad</v>
      </c>
      <c r="E162" s="333">
        <v>1</v>
      </c>
      <c r="F162" s="408">
        <v>1</v>
      </c>
      <c r="G162" s="335">
        <f>VLOOKUP(Electrico!B162,Internos!A:D,4,0)</f>
        <v>6139210</v>
      </c>
      <c r="H162" s="336">
        <f t="shared" si="33"/>
        <v>6139210</v>
      </c>
      <c r="I162" s="445">
        <v>1</v>
      </c>
      <c r="J162" s="446">
        <f t="shared" si="34"/>
        <v>6139210</v>
      </c>
    </row>
    <row r="163" spans="1:10" s="2" customFormat="1" ht="15">
      <c r="A163" s="363" t="s">
        <v>719</v>
      </c>
      <c r="B163" s="364" t="s">
        <v>744</v>
      </c>
      <c r="C163" s="399">
        <f>VLOOKUP(Electrico!B163,Internos!A:B,2,0)</f>
        <v>10421</v>
      </c>
      <c r="D163" s="332" t="str">
        <f>VLOOKUP(Electrico!C163,Internos!B:D,2,0)</f>
        <v>Unidad</v>
      </c>
      <c r="E163" s="333">
        <v>1</v>
      </c>
      <c r="F163" s="408">
        <v>8</v>
      </c>
      <c r="G163" s="335">
        <f>VLOOKUP(Electrico!B163,Internos!A:D,4,0)</f>
        <v>500000</v>
      </c>
      <c r="H163" s="336">
        <f t="shared" ref="H163" si="37">+E163*F163*G163</f>
        <v>4000000</v>
      </c>
      <c r="I163" s="445">
        <v>1</v>
      </c>
      <c r="J163" s="446">
        <f t="shared" ref="J163" si="38">H163</f>
        <v>4000000</v>
      </c>
    </row>
    <row r="164" spans="1:10" s="2" customFormat="1" ht="15">
      <c r="A164" s="363" t="s">
        <v>719</v>
      </c>
      <c r="B164" s="364" t="s">
        <v>570</v>
      </c>
      <c r="C164" s="399">
        <f>VLOOKUP(Electrico!B164,Internos!A:B,2,0)</f>
        <v>791</v>
      </c>
      <c r="D164" s="332" t="str">
        <f>VLOOKUP(Electrico!C164,Internos!B:D,2,0)</f>
        <v>Unidad</v>
      </c>
      <c r="E164" s="333">
        <v>1</v>
      </c>
      <c r="F164" s="408">
        <v>30</v>
      </c>
      <c r="G164" s="335">
        <f>VLOOKUP(Electrico!B164,Internos!A:D,4,0)</f>
        <v>30000</v>
      </c>
      <c r="H164" s="336">
        <f t="shared" si="33"/>
        <v>900000</v>
      </c>
      <c r="I164" s="445">
        <v>1</v>
      </c>
      <c r="J164" s="446">
        <f t="shared" si="34"/>
        <v>900000</v>
      </c>
    </row>
    <row r="165" spans="1:10" ht="15">
      <c r="A165" s="326">
        <v>4.2</v>
      </c>
      <c r="B165" s="327" t="s">
        <v>26</v>
      </c>
      <c r="C165" s="398"/>
      <c r="D165" s="328"/>
      <c r="E165" s="328"/>
      <c r="F165" s="328"/>
      <c r="G165" s="328"/>
      <c r="H165" s="329"/>
      <c r="I165" s="445"/>
      <c r="J165" s="447"/>
    </row>
    <row r="166" spans="1:10" ht="15">
      <c r="A166" s="363" t="s">
        <v>58</v>
      </c>
      <c r="B166" s="364" t="s">
        <v>326</v>
      </c>
      <c r="C166" s="399">
        <f>VLOOKUP(Electrico!B166,Internos!A:B,2,0)</f>
        <v>9475</v>
      </c>
      <c r="D166" s="332" t="str">
        <f>VLOOKUP(Electrico!C166,Internos!B:D,2,0)</f>
        <v>Mensual</v>
      </c>
      <c r="E166" s="333">
        <v>2</v>
      </c>
      <c r="F166" s="333">
        <v>1</v>
      </c>
      <c r="G166" s="335">
        <f>VLOOKUP(Electrico!B166,Internos!A:D,4,0)</f>
        <v>5000</v>
      </c>
      <c r="H166" s="336">
        <f>+E166*F166*G166</f>
        <v>10000</v>
      </c>
      <c r="I166" s="445">
        <v>1</v>
      </c>
      <c r="J166" s="446">
        <f>H166</f>
        <v>10000</v>
      </c>
    </row>
    <row r="167" spans="1:10" ht="15">
      <c r="A167" s="363"/>
      <c r="B167" s="364"/>
      <c r="C167" s="403"/>
      <c r="D167" s="332"/>
      <c r="E167" s="365"/>
      <c r="F167" s="365"/>
      <c r="G167" s="366"/>
      <c r="H167" s="356"/>
      <c r="I167" s="445"/>
      <c r="J167" s="448"/>
    </row>
    <row r="168" spans="1:10" ht="15">
      <c r="A168" s="326">
        <v>4.4000000000000004</v>
      </c>
      <c r="B168" s="327" t="s">
        <v>36</v>
      </c>
      <c r="C168" s="398"/>
      <c r="D168" s="328"/>
      <c r="E168" s="328"/>
      <c r="F168" s="328"/>
      <c r="G168" s="328"/>
      <c r="H168" s="329"/>
      <c r="I168" s="445"/>
      <c r="J168" s="447"/>
    </row>
    <row r="169" spans="1:10" ht="15">
      <c r="A169" s="363" t="s">
        <v>652</v>
      </c>
      <c r="B169" s="364" t="s">
        <v>575</v>
      </c>
      <c r="C169" s="399">
        <f>VLOOKUP(Electrico!B169,Internos!A:B,2,0)</f>
        <v>7179</v>
      </c>
      <c r="D169" s="332" t="str">
        <f>VLOOKUP(Electrico!C169,Internos!B:D,2,0)</f>
        <v>Unidad</v>
      </c>
      <c r="E169" s="333">
        <v>4</v>
      </c>
      <c r="F169" s="333">
        <v>2</v>
      </c>
      <c r="G169" s="335">
        <f>VLOOKUP($B$4,Internos!$A$88:$C$141,3,0)</f>
        <v>600000</v>
      </c>
      <c r="H169" s="336">
        <f>+E169*F169*G169</f>
        <v>4800000</v>
      </c>
      <c r="I169" s="445">
        <v>3</v>
      </c>
      <c r="J169" s="446">
        <f>I169*G169*E169</f>
        <v>7200000</v>
      </c>
    </row>
    <row r="170" spans="1:10" s="315" customFormat="1" ht="15">
      <c r="A170" s="363" t="s">
        <v>653</v>
      </c>
      <c r="B170" s="364" t="s">
        <v>645</v>
      </c>
      <c r="C170" s="399">
        <f>VLOOKUP(Electrico!B170,Internos!A:B,2,0)</f>
        <v>4948</v>
      </c>
      <c r="D170" s="332" t="str">
        <f>VLOOKUP(Electrico!C170,Internos!B:D,2,0)</f>
        <v>Global</v>
      </c>
      <c r="E170" s="333">
        <v>8</v>
      </c>
      <c r="F170" s="333">
        <v>1</v>
      </c>
      <c r="G170" s="335">
        <f>VLOOKUP(B170,Internos!A:D,4,0)</f>
        <v>750000</v>
      </c>
      <c r="H170" s="336">
        <f>+E170*F170*G170</f>
        <v>6000000</v>
      </c>
      <c r="I170" s="445">
        <v>2.5</v>
      </c>
      <c r="J170" s="446">
        <f>I170*G170*E170</f>
        <v>15000000</v>
      </c>
    </row>
    <row r="171" spans="1:10" ht="15">
      <c r="A171" s="363" t="s">
        <v>654</v>
      </c>
      <c r="B171" s="364" t="s">
        <v>327</v>
      </c>
      <c r="C171" s="399">
        <f>VLOOKUP(Electrico!B171,Internos!A:B,2,0)</f>
        <v>4948</v>
      </c>
      <c r="D171" s="332" t="str">
        <f>VLOOKUP(Electrico!C171,Internos!B:D,2,0)</f>
        <v>Global</v>
      </c>
      <c r="E171" s="333">
        <v>3</v>
      </c>
      <c r="F171" s="333">
        <v>1</v>
      </c>
      <c r="G171" s="335">
        <f>VLOOKUP(B171,Internos!A:D,4,0)</f>
        <v>100000</v>
      </c>
      <c r="H171" s="336">
        <f>+E171*F171*G171</f>
        <v>300000</v>
      </c>
      <c r="I171" s="445">
        <v>2</v>
      </c>
      <c r="J171" s="446">
        <f>I171*G171*E171</f>
        <v>600000</v>
      </c>
    </row>
    <row r="172" spans="1:10" ht="15">
      <c r="A172" s="363" t="s">
        <v>655</v>
      </c>
      <c r="B172" s="364" t="s">
        <v>642</v>
      </c>
      <c r="C172" s="399" t="str">
        <f>VLOOKUP(Electrico!B172,Internos!A:B,2,0)</f>
        <v>-</v>
      </c>
      <c r="D172" s="332" t="str">
        <f>VLOOKUP(Electrico!C172,Internos!B:D,2,0)</f>
        <v>-</v>
      </c>
      <c r="E172" s="333"/>
      <c r="F172" s="333"/>
      <c r="G172" s="335">
        <f>VLOOKUP(Electrico!B172,Internos!A:D,4,0)</f>
        <v>0</v>
      </c>
      <c r="H172" s="336">
        <f>+E172*F172*G172</f>
        <v>0</v>
      </c>
      <c r="I172" s="445"/>
      <c r="J172" s="446"/>
    </row>
    <row r="173" spans="1:10" ht="15">
      <c r="A173" s="344"/>
      <c r="B173" s="345" t="s">
        <v>18</v>
      </c>
      <c r="C173" s="401"/>
      <c r="D173" s="346"/>
      <c r="E173" s="346"/>
      <c r="F173" s="346"/>
      <c r="G173" s="346"/>
      <c r="H173" s="349">
        <f>SUM(H157:H172)</f>
        <v>126033210</v>
      </c>
      <c r="I173" s="349"/>
      <c r="J173" s="349">
        <f>SUM(J157:J172)</f>
        <v>137733210</v>
      </c>
    </row>
    <row r="174" spans="1:10" ht="15">
      <c r="A174" s="350"/>
      <c r="B174" s="351" t="s">
        <v>18</v>
      </c>
      <c r="C174" s="398"/>
      <c r="D174" s="328"/>
      <c r="E174" s="328"/>
      <c r="F174" s="328"/>
      <c r="G174" s="328"/>
      <c r="H174" s="352">
        <f>+H173</f>
        <v>126033210</v>
      </c>
      <c r="I174" s="352"/>
      <c r="J174" s="352">
        <f>+J173</f>
        <v>137733210</v>
      </c>
    </row>
    <row r="175" spans="1:10" ht="15">
      <c r="A175" s="367"/>
      <c r="B175" s="368" t="s">
        <v>16</v>
      </c>
      <c r="C175" s="404"/>
      <c r="D175" s="369"/>
      <c r="E175" s="369"/>
      <c r="F175" s="369"/>
      <c r="G175" s="369"/>
      <c r="H175" s="370">
        <f>H173</f>
        <v>126033210</v>
      </c>
      <c r="I175" s="370"/>
      <c r="J175" s="370">
        <f>J173</f>
        <v>137733210</v>
      </c>
    </row>
    <row r="176" spans="1:10" ht="15">
      <c r="A176" s="371"/>
      <c r="B176" s="372"/>
      <c r="C176" s="405"/>
      <c r="D176" s="372"/>
      <c r="E176" s="372"/>
      <c r="F176" s="372"/>
      <c r="G176" s="372"/>
      <c r="H176" s="373"/>
      <c r="I176" s="373"/>
      <c r="J176" s="373"/>
    </row>
    <row r="177" spans="1:15" s="2" customFormat="1" ht="7.5" customHeight="1">
      <c r="A177" s="353"/>
      <c r="B177" s="354"/>
      <c r="C177" s="398"/>
      <c r="D177" s="355"/>
      <c r="E177" s="355"/>
      <c r="F177" s="355"/>
      <c r="G177" s="355"/>
      <c r="H177" s="356"/>
      <c r="I177" s="356"/>
      <c r="J177" s="356"/>
    </row>
    <row r="178" spans="1:15" ht="15">
      <c r="A178" s="367">
        <v>5</v>
      </c>
      <c r="B178" s="368" t="s">
        <v>22</v>
      </c>
      <c r="C178" s="404"/>
      <c r="D178" s="369"/>
      <c r="E178" s="369"/>
      <c r="F178" s="369"/>
      <c r="G178" s="369"/>
      <c r="H178" s="370"/>
      <c r="I178" s="370"/>
      <c r="J178" s="370"/>
    </row>
    <row r="179" spans="1:15" ht="15">
      <c r="A179" s="362">
        <v>5.0999999999999996</v>
      </c>
      <c r="B179" s="327" t="s">
        <v>22</v>
      </c>
      <c r="C179" s="398"/>
      <c r="D179" s="332"/>
      <c r="E179" s="365"/>
      <c r="F179" s="365"/>
      <c r="G179" s="374"/>
      <c r="H179" s="329"/>
      <c r="I179" s="329"/>
      <c r="J179" s="329"/>
    </row>
    <row r="180" spans="1:15" ht="15">
      <c r="A180" s="376" t="s">
        <v>656</v>
      </c>
      <c r="B180" s="377" t="s">
        <v>323</v>
      </c>
      <c r="C180" s="399">
        <f>VLOOKUP(Electrico!B180,Internos!A:B,2,0)</f>
        <v>7482</v>
      </c>
      <c r="D180" s="332" t="str">
        <f>VLOOKUP(Electrico!C180,Internos!B:D,2,0)</f>
        <v>Global</v>
      </c>
      <c r="E180" s="333">
        <v>1</v>
      </c>
      <c r="F180" s="333">
        <v>1</v>
      </c>
      <c r="G180" s="335">
        <v>4110451</v>
      </c>
      <c r="H180" s="336">
        <f>+E180*F180*G180</f>
        <v>4110451</v>
      </c>
      <c r="I180" s="445">
        <v>1</v>
      </c>
      <c r="J180" s="444">
        <f>J49*0.008</f>
        <v>3480294.034</v>
      </c>
    </row>
    <row r="181" spans="1:15" ht="15">
      <c r="A181" s="344"/>
      <c r="B181" s="345" t="s">
        <v>27</v>
      </c>
      <c r="C181" s="401"/>
      <c r="D181" s="346"/>
      <c r="E181" s="346"/>
      <c r="F181" s="346"/>
      <c r="G181" s="346"/>
      <c r="H181" s="349">
        <f>SUM(H180)</f>
        <v>4110451</v>
      </c>
      <c r="I181" s="349"/>
      <c r="J181" s="349">
        <f>SUM(J180)</f>
        <v>3480294.034</v>
      </c>
    </row>
    <row r="182" spans="1:15" ht="15">
      <c r="A182" s="350"/>
      <c r="B182" s="351" t="s">
        <v>27</v>
      </c>
      <c r="C182" s="398"/>
      <c r="D182" s="328"/>
      <c r="E182" s="328"/>
      <c r="F182" s="328"/>
      <c r="G182" s="328"/>
      <c r="H182" s="352">
        <f>+H181</f>
        <v>4110451</v>
      </c>
      <c r="I182" s="352"/>
      <c r="J182" s="352">
        <f>+J181</f>
        <v>3480294.034</v>
      </c>
    </row>
    <row r="183" spans="1:15" s="2" customFormat="1" ht="7.5" customHeight="1">
      <c r="A183" s="353"/>
      <c r="B183" s="354"/>
      <c r="C183" s="398"/>
      <c r="D183" s="355"/>
      <c r="E183" s="355"/>
      <c r="F183" s="355"/>
      <c r="G183" s="355"/>
      <c r="H183" s="356"/>
      <c r="I183" s="356"/>
      <c r="J183" s="356"/>
    </row>
    <row r="184" spans="1:15" ht="15">
      <c r="A184" s="367">
        <v>6</v>
      </c>
      <c r="B184" s="368" t="s">
        <v>28</v>
      </c>
      <c r="C184" s="404"/>
      <c r="D184" s="369"/>
      <c r="E184" s="369"/>
      <c r="F184" s="369"/>
      <c r="G184" s="369"/>
      <c r="H184" s="370"/>
      <c r="I184" s="370"/>
      <c r="J184" s="370"/>
    </row>
    <row r="185" spans="1:15" ht="15">
      <c r="A185" s="350"/>
      <c r="B185" s="351"/>
      <c r="C185" s="398"/>
      <c r="D185" s="328"/>
      <c r="E185" s="328"/>
      <c r="F185" s="328"/>
      <c r="G185" s="328"/>
      <c r="H185" s="352"/>
      <c r="I185" s="352"/>
      <c r="J185" s="352"/>
    </row>
    <row r="186" spans="1:15" ht="15">
      <c r="A186" s="362">
        <v>6.1</v>
      </c>
      <c r="B186" s="327" t="s">
        <v>29</v>
      </c>
      <c r="C186" s="398"/>
      <c r="D186" s="332"/>
      <c r="E186" s="365"/>
      <c r="F186" s="365"/>
      <c r="G186" s="374"/>
      <c r="H186" s="329"/>
      <c r="I186" s="329"/>
      <c r="J186" s="329"/>
    </row>
    <row r="187" spans="1:15" ht="15">
      <c r="A187" s="378" t="s">
        <v>60</v>
      </c>
      <c r="B187" s="379" t="s">
        <v>342</v>
      </c>
      <c r="C187" s="398"/>
      <c r="D187" s="332"/>
      <c r="E187" s="380"/>
      <c r="F187" s="381"/>
      <c r="G187" s="365"/>
      <c r="H187" s="382"/>
      <c r="I187" s="382"/>
      <c r="J187" s="382"/>
      <c r="O187" s="316">
        <v>280807154</v>
      </c>
    </row>
    <row r="188" spans="1:15" ht="15">
      <c r="A188" s="363" t="s">
        <v>657</v>
      </c>
      <c r="B188" s="375" t="s">
        <v>303</v>
      </c>
      <c r="C188" s="399">
        <f>VLOOKUP(Electrico!B188,Internos!A:B,2,0)</f>
        <v>5580</v>
      </c>
      <c r="D188" s="332" t="str">
        <f>VLOOKUP(Electrico!C188,Internos!B:D,2,0)</f>
        <v>Unidad</v>
      </c>
      <c r="E188" s="333">
        <v>1</v>
      </c>
      <c r="F188" s="333">
        <v>320</v>
      </c>
      <c r="G188" s="335">
        <f>VLOOKUP(Electrico!B188,Internos!A:D,4,0)</f>
        <v>3000</v>
      </c>
      <c r="H188" s="336">
        <f>+E188*F188*G188</f>
        <v>960000</v>
      </c>
      <c r="I188" s="445">
        <v>1</v>
      </c>
      <c r="J188" s="446">
        <f>H188</f>
        <v>960000</v>
      </c>
      <c r="O188" s="10">
        <v>0.05</v>
      </c>
    </row>
    <row r="189" spans="1:15" ht="15">
      <c r="A189" s="363" t="s">
        <v>658</v>
      </c>
      <c r="B189" s="375" t="s">
        <v>332</v>
      </c>
      <c r="C189" s="399">
        <f>VLOOKUP(Electrico!B189,Internos!A:B,2,0)</f>
        <v>5581</v>
      </c>
      <c r="D189" s="332" t="str">
        <f>VLOOKUP(Electrico!C189,Internos!B:D,2,0)</f>
        <v>Unidad</v>
      </c>
      <c r="E189" s="333">
        <v>1</v>
      </c>
      <c r="F189" s="333">
        <v>32</v>
      </c>
      <c r="G189" s="335">
        <f>VLOOKUP(Electrico!B189,Internos!A:D,4,0)</f>
        <v>50000</v>
      </c>
      <c r="H189" s="336">
        <f>+E189*F189*G189</f>
        <v>1600000</v>
      </c>
      <c r="I189" s="445">
        <v>1</v>
      </c>
      <c r="J189" s="446">
        <f>H189</f>
        <v>1600000</v>
      </c>
      <c r="O189" s="316">
        <f>O187*O188</f>
        <v>14040357.700000001</v>
      </c>
    </row>
    <row r="190" spans="1:15" ht="15">
      <c r="A190" s="344"/>
      <c r="B190" s="345" t="s">
        <v>30</v>
      </c>
      <c r="C190" s="345"/>
      <c r="D190" s="346"/>
      <c r="E190" s="346"/>
      <c r="F190" s="346"/>
      <c r="G190" s="346"/>
      <c r="H190" s="349">
        <f>H188+H189</f>
        <v>2560000</v>
      </c>
      <c r="I190" s="349"/>
      <c r="J190" s="349">
        <f>SUM(J188:K189)</f>
        <v>2560000</v>
      </c>
    </row>
    <row r="191" spans="1:15" ht="15">
      <c r="A191" s="383"/>
      <c r="B191" s="384" t="s">
        <v>30</v>
      </c>
      <c r="C191" s="384"/>
      <c r="D191" s="385"/>
      <c r="E191" s="385"/>
      <c r="F191" s="385"/>
      <c r="G191" s="385"/>
      <c r="H191" s="386">
        <f>+H190</f>
        <v>2560000</v>
      </c>
      <c r="I191" s="386"/>
      <c r="J191" s="386">
        <f>+J190</f>
        <v>2560000</v>
      </c>
    </row>
    <row r="192" spans="1:15" s="315" customFormat="1" ht="15">
      <c r="A192" s="367">
        <v>7</v>
      </c>
      <c r="B192" s="368" t="s">
        <v>651</v>
      </c>
      <c r="C192" s="404"/>
      <c r="D192" s="369"/>
      <c r="E192" s="369"/>
      <c r="F192" s="369"/>
      <c r="G192" s="369"/>
      <c r="H192" s="370"/>
      <c r="I192" s="370"/>
      <c r="J192" s="370"/>
    </row>
    <row r="193" spans="1:11" s="315" customFormat="1" ht="15">
      <c r="A193" s="362">
        <v>7.1</v>
      </c>
      <c r="B193" s="327" t="s">
        <v>659</v>
      </c>
      <c r="C193" s="398"/>
      <c r="D193" s="332"/>
      <c r="E193" s="365"/>
      <c r="F193" s="365"/>
      <c r="G193" s="374"/>
      <c r="H193" s="329"/>
      <c r="I193" s="329"/>
      <c r="J193" s="329"/>
    </row>
    <row r="194" spans="1:11" s="315" customFormat="1" ht="15">
      <c r="A194" s="363" t="s">
        <v>61</v>
      </c>
      <c r="B194" s="375" t="s">
        <v>565</v>
      </c>
      <c r="C194" s="399">
        <f>VLOOKUP(Electrico!B194,Internos!A:B,2,0)</f>
        <v>9478</v>
      </c>
      <c r="D194" s="332" t="str">
        <f>VLOOKUP(Electrico!C194,Internos!B:D,2,0)</f>
        <v>Global</v>
      </c>
      <c r="E194" s="333">
        <v>1</v>
      </c>
      <c r="F194" s="333">
        <v>1</v>
      </c>
      <c r="G194" s="335">
        <f>VLOOKUP(Electrico!B194,Internos!A:D,4,0)</f>
        <v>38905265</v>
      </c>
      <c r="H194" s="336">
        <f>+E194*F194*G194</f>
        <v>38905265</v>
      </c>
      <c r="I194" s="445">
        <v>1</v>
      </c>
      <c r="J194" s="336">
        <f>H194</f>
        <v>38905265</v>
      </c>
    </row>
    <row r="195" spans="1:11" s="315" customFormat="1" ht="15">
      <c r="A195" s="363" t="s">
        <v>61</v>
      </c>
      <c r="B195" s="375" t="s">
        <v>566</v>
      </c>
      <c r="C195" s="399">
        <f>VLOOKUP(Electrico!B195,Internos!A:B,2,0)</f>
        <v>9480</v>
      </c>
      <c r="D195" s="332" t="str">
        <f>VLOOKUP(Electrico!C195,Internos!B:D,2,0)</f>
        <v>Global</v>
      </c>
      <c r="E195" s="333">
        <v>1</v>
      </c>
      <c r="F195" s="333">
        <v>1</v>
      </c>
      <c r="G195" s="335">
        <f>VLOOKUP(Electrico!B195,Internos!A:D,4,0)</f>
        <v>14700000</v>
      </c>
      <c r="H195" s="336">
        <f>+E195*F195*G195</f>
        <v>14700000</v>
      </c>
      <c r="I195" s="445">
        <v>1</v>
      </c>
      <c r="J195" s="336">
        <f>H195</f>
        <v>14700000</v>
      </c>
    </row>
    <row r="196" spans="1:11" s="315" customFormat="1" ht="15">
      <c r="A196" s="363" t="s">
        <v>694</v>
      </c>
      <c r="B196" s="375" t="s">
        <v>567</v>
      </c>
      <c r="C196" s="399">
        <f>VLOOKUP(Electrico!B196,Internos!A:B,2,0)</f>
        <v>9481</v>
      </c>
      <c r="D196" s="332" t="str">
        <f>VLOOKUP(Electrico!C196,Internos!B:D,2,0)</f>
        <v>Global</v>
      </c>
      <c r="E196" s="333">
        <v>1</v>
      </c>
      <c r="F196" s="333">
        <v>1</v>
      </c>
      <c r="G196" s="335">
        <f>VLOOKUP(Electrico!B196,Internos!A:D,4,0)</f>
        <v>15120000</v>
      </c>
      <c r="H196" s="336">
        <f>+E196*F196*G196</f>
        <v>15120000</v>
      </c>
      <c r="I196" s="445">
        <v>1</v>
      </c>
      <c r="J196" s="336">
        <f>H196</f>
        <v>15120000</v>
      </c>
    </row>
    <row r="197" spans="1:11" s="315" customFormat="1" ht="15.75" thickBot="1">
      <c r="A197" s="437"/>
      <c r="B197" s="345" t="s">
        <v>695</v>
      </c>
      <c r="C197" s="345"/>
      <c r="D197" s="346"/>
      <c r="E197" s="346"/>
      <c r="F197" s="346"/>
      <c r="G197" s="346"/>
      <c r="H197" s="349">
        <f>SUM(H192:I196)</f>
        <v>68725268</v>
      </c>
      <c r="I197" s="349"/>
      <c r="J197" s="349">
        <f>SUM(J192:K196)</f>
        <v>68725265</v>
      </c>
    </row>
    <row r="198" spans="1:11" ht="34.15" customHeight="1" thickBot="1">
      <c r="A198" s="387" t="s">
        <v>9</v>
      </c>
      <c r="B198" s="388"/>
      <c r="C198" s="388"/>
      <c r="D198" s="389"/>
      <c r="E198" s="389"/>
      <c r="F198" s="389"/>
      <c r="G198" s="471">
        <f>H52+H138+H152+H173+H181+H190+H197</f>
        <v>3089810842.9380002</v>
      </c>
      <c r="H198" s="472"/>
      <c r="I198" s="1"/>
      <c r="J198" s="450">
        <f>J49+J138+J152+J173+J181+J190+J197</f>
        <v>2772433260.6440001</v>
      </c>
      <c r="K198" s="449"/>
    </row>
    <row r="199" spans="1:11" ht="15" hidden="1">
      <c r="A199" s="371"/>
      <c r="B199" s="390"/>
      <c r="C199" s="390"/>
      <c r="D199" s="372"/>
      <c r="E199" s="372"/>
      <c r="F199" s="372"/>
      <c r="G199" s="391"/>
      <c r="H199" s="392"/>
    </row>
    <row r="200" spans="1:11" ht="15" hidden="1">
      <c r="A200" s="371"/>
      <c r="B200" s="393" t="s">
        <v>696</v>
      </c>
      <c r="C200" s="390"/>
      <c r="D200" s="372"/>
      <c r="E200" s="372"/>
      <c r="F200" s="372"/>
      <c r="G200" s="391"/>
      <c r="H200" s="392"/>
    </row>
    <row r="201" spans="1:11" ht="15.75" hidden="1" thickBot="1">
      <c r="A201" s="394"/>
      <c r="B201" s="395" t="s">
        <v>12</v>
      </c>
      <c r="C201" s="395"/>
      <c r="D201" s="396"/>
      <c r="E201" s="396"/>
      <c r="F201" s="396"/>
      <c r="G201" s="469" t="s">
        <v>13</v>
      </c>
      <c r="H201" s="470"/>
    </row>
    <row r="202" spans="1:11" ht="15" hidden="1"/>
    <row r="203" spans="1:11" ht="18.75" hidden="1">
      <c r="H203" s="297"/>
    </row>
    <row r="204" spans="1:11" ht="15" hidden="1">
      <c r="H204" s="296"/>
    </row>
    <row r="205" spans="1:11" ht="15" hidden="1"/>
    <row r="206" spans="1:11" ht="15" hidden="1"/>
    <row r="207" spans="1:11" ht="15" hidden="1"/>
    <row r="208" spans="1:11" ht="15" hidden="1"/>
    <row r="209" ht="15" hidden="1"/>
    <row r="210" ht="15" hidden="1"/>
    <row r="211" ht="15" hidden="1"/>
    <row r="212" ht="15" hidden="1"/>
    <row r="213" ht="15" hidden="1"/>
    <row r="214" ht="15" hidden="1"/>
    <row r="215" ht="15" hidden="1"/>
    <row r="216" ht="15" hidden="1"/>
    <row r="217" ht="15" hidden="1"/>
    <row r="218" ht="15" hidden="1"/>
    <row r="219" ht="15" hidden="1"/>
    <row r="220" ht="15" hidden="1"/>
    <row r="221" ht="15" hidden="1"/>
    <row r="222" ht="15" hidden="1"/>
    <row r="223" ht="15" hidden="1"/>
    <row r="224" ht="15" hidden="1"/>
    <row r="225" ht="15" hidden="1"/>
    <row r="226" ht="15" hidden="1"/>
    <row r="227" ht="15" hidden="1"/>
    <row r="228" ht="15" hidden="1"/>
    <row r="229" ht="15" hidden="1"/>
    <row r="230" ht="15" hidden="1"/>
    <row r="231" ht="15" hidden="1"/>
    <row r="232" ht="15" hidden="1"/>
    <row r="233" ht="15" hidden="1"/>
    <row r="234" ht="15" hidden="1"/>
    <row r="235" ht="15" hidden="1"/>
    <row r="236" ht="15" hidden="1"/>
    <row r="237" ht="15" hidden="1"/>
    <row r="238" ht="15" hidden="1"/>
    <row r="239" ht="15" hidden="1"/>
    <row r="240" ht="15" hidden="1"/>
    <row r="241" ht="15" hidden="1"/>
    <row r="242" ht="15" hidden="1"/>
    <row r="243" ht="15" hidden="1"/>
    <row r="244" ht="15" hidden="1"/>
    <row r="245" ht="15" hidden="1"/>
    <row r="246" ht="15" hidden="1"/>
    <row r="247" ht="15" hidden="1"/>
    <row r="248" ht="15" hidden="1"/>
    <row r="249" ht="15" hidden="1"/>
    <row r="250" ht="15" hidden="1"/>
    <row r="251" ht="15" hidden="1"/>
    <row r="252" ht="15" hidden="1"/>
    <row r="253" ht="15" hidden="1"/>
    <row r="254" ht="15" hidden="1"/>
    <row r="255" ht="15" hidden="1"/>
    <row r="256" ht="15" hidden="1"/>
    <row r="257" ht="15" hidden="1"/>
    <row r="258" ht="15" hidden="1"/>
    <row r="259" ht="15" hidden="1"/>
    <row r="260" ht="15" hidden="1"/>
  </sheetData>
  <mergeCells count="11">
    <mergeCell ref="A1:E1"/>
    <mergeCell ref="A2:E2"/>
    <mergeCell ref="B30:F30"/>
    <mergeCell ref="G201:H201"/>
    <mergeCell ref="G198:H198"/>
    <mergeCell ref="B137:F137"/>
    <mergeCell ref="B43:F43"/>
    <mergeCell ref="B4:J4"/>
    <mergeCell ref="E5:J5"/>
    <mergeCell ref="B6:J6"/>
    <mergeCell ref="B7:J7"/>
  </mergeCells>
  <phoneticPr fontId="50" type="noConversion"/>
  <dataValidations count="2">
    <dataValidation type="list" allowBlank="1" showInputMessage="1" showErrorMessage="1" sqref="B123 B108:B109 B111:B112 B101:B106 B115:B118 B99" xr:uid="{00000000-0002-0000-0100-000002000000}">
      <formula1>$C$3:$C$271</formula1>
    </dataValidation>
    <dataValidation type="list" allowBlank="1" showInputMessage="1" showErrorMessage="1" sqref="B85:B90" xr:uid="{00000000-0002-0000-0100-000000000000}">
      <formula1>$C$3:$C$293</formula1>
    </dataValidation>
  </dataValidations>
  <printOptions horizontalCentered="1"/>
  <pageMargins left="0" right="0" top="0.27559055118110237" bottom="0.43307086614173229" header="0" footer="0"/>
  <pageSetup paperSize="9" scale="65" fitToWidth="0" fitToHeight="0" orientation="portrait" horizontalDpi="360" verticalDpi="360" r:id="rId1"/>
  <rowBreaks count="2" manualBreakCount="2">
    <brk id="62" max="7" man="1"/>
    <brk id="131" max="7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5000000}">
          <x14:formula1>
            <xm:f>Material!$C$3:$C$241</xm:f>
          </x14:formula1>
          <xm:sqref>B56:B61 B71:B79</xm:sqref>
        </x14:dataValidation>
        <x14:dataValidation type="list" allowBlank="1" showInputMessage="1" showErrorMessage="1" xr:uid="{00000000-0002-0000-0100-000008000000}">
          <x14:formula1>
            <xm:f>Internos!$A$43:$A$45</xm:f>
          </x14:formula1>
          <xm:sqref>B166</xm:sqref>
        </x14:dataValidation>
        <x14:dataValidation type="list" allowBlank="1" showInputMessage="1" showErrorMessage="1" xr:uid="{00000000-0002-0000-0100-00000A000000}">
          <x14:formula1>
            <xm:f>Internos!$A$47:$A$51</xm:f>
          </x14:formula1>
          <xm:sqref>B169:B172</xm:sqref>
        </x14:dataValidation>
        <x14:dataValidation type="list" allowBlank="1" showInputMessage="1" showErrorMessage="1" xr:uid="{00000000-0002-0000-0100-00000C000000}">
          <x14:formula1>
            <xm:f>Internos!$A$69:$A$73</xm:f>
          </x14:formula1>
          <xm:sqref>B194:B196</xm:sqref>
        </x14:dataValidation>
        <x14:dataValidation type="list" allowBlank="1" showInputMessage="1" showErrorMessage="1" xr:uid="{00000000-0002-0000-0100-00000D000000}">
          <x14:formula1>
            <xm:f>Material!$C$3:$C$248</xm:f>
          </x14:formula1>
          <xm:sqref>B113 B66:B70 B110 B98 B83:B84 B119:B122 B127:B135</xm:sqref>
        </x14:dataValidation>
        <x14:dataValidation type="list" allowBlank="1" showInputMessage="1" showErrorMessage="1" xr:uid="{00000000-0002-0000-0100-00000E000000}">
          <x14:formula1>
            <xm:f>Material!$C$3:$C$247</xm:f>
          </x14:formula1>
          <xm:sqref>B107 B114 B100 B91:B94</xm:sqref>
        </x14:dataValidation>
        <x14:dataValidation type="list" allowBlank="1" showInputMessage="1" showErrorMessage="1" xr:uid="{00000000-0002-0000-0100-000003000000}">
          <x14:formula1>
            <xm:f>Internos!$A$89:$A$136</xm:f>
          </x14:formula1>
          <xm:sqref>B4</xm:sqref>
        </x14:dataValidation>
        <x14:dataValidation type="list" allowBlank="1" showInputMessage="1" showErrorMessage="1" xr:uid="{00000000-0002-0000-0100-00000B000000}">
          <x14:formula1>
            <xm:f>Internos!$A$61:$A$67</xm:f>
          </x14:formula1>
          <xm:sqref>B188:B189</xm:sqref>
        </x14:dataValidation>
        <x14:dataValidation type="list" allowBlank="1" showInputMessage="1" showErrorMessage="1" xr:uid="{52D01438-AE45-410B-8343-A7BB1FE3B9CF}">
          <x14:formula1>
            <xm:f>Internos!$A$33:$A$40</xm:f>
          </x14:formula1>
          <xm:sqref>B164</xm:sqref>
        </x14:dataValidation>
        <x14:dataValidation type="list" allowBlank="1" showInputMessage="1" showErrorMessage="1" xr:uid="{00000000-0002-0000-0100-000006000000}">
          <x14:formula1>
            <xm:f>Internos!$A$5:$A$18</xm:f>
          </x14:formula1>
          <xm:sqref>B143:B151</xm:sqref>
        </x14:dataValidation>
        <x14:dataValidation type="list" allowBlank="1" showInputMessage="1" showErrorMessage="1" xr:uid="{00000000-0002-0000-0100-000007000000}">
          <x14:formula1>
            <xm:f>Internos!$A$20:$A$30</xm:f>
          </x14:formula1>
          <xm:sqref>B157:B163</xm:sqref>
        </x14:dataValidation>
        <x14:dataValidation type="list" allowBlank="1" showInputMessage="1" showErrorMessage="1" xr:uid="{00000000-0002-0000-0100-000004000000}">
          <x14:formula1>
            <xm:f>'MAno de obra'!$C:$C</xm:f>
          </x14:formula1>
          <xm:sqref>B39:B42 B11:B29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34"/>
  <sheetViews>
    <sheetView topLeftCell="A4" workbookViewId="0">
      <selection activeCell="B7" sqref="B7"/>
    </sheetView>
  </sheetViews>
  <sheetFormatPr baseColWidth="10" defaultRowHeight="15"/>
  <cols>
    <col min="2" max="2" width="68" bestFit="1" customWidth="1"/>
    <col min="3" max="3" width="8.28515625" bestFit="1" customWidth="1"/>
    <col min="4" max="4" width="15.7109375" customWidth="1"/>
    <col min="5" max="5" width="12" customWidth="1"/>
    <col min="6" max="6" width="4.28515625" bestFit="1" customWidth="1"/>
    <col min="8" max="8" width="3" customWidth="1"/>
    <col min="9" max="9" width="37.28515625" bestFit="1" customWidth="1"/>
    <col min="10" max="10" width="4.42578125" bestFit="1" customWidth="1"/>
    <col min="11" max="11" width="9" bestFit="1" customWidth="1"/>
    <col min="12" max="12" width="11.5703125" bestFit="1" customWidth="1"/>
  </cols>
  <sheetData>
    <row r="1" spans="2:12">
      <c r="F1" s="123" t="s">
        <v>92</v>
      </c>
      <c r="G1" s="124">
        <v>0.19</v>
      </c>
      <c r="H1" s="10"/>
    </row>
    <row r="2" spans="2:12" ht="15.75" thickBot="1">
      <c r="F2" s="123" t="s">
        <v>87</v>
      </c>
      <c r="G2" s="125">
        <v>3.7999999999999999E-2</v>
      </c>
      <c r="H2" s="11"/>
    </row>
    <row r="3" spans="2:12" ht="22.5" customHeight="1" thickBot="1">
      <c r="B3" s="3" t="s">
        <v>79</v>
      </c>
      <c r="C3" s="3" t="s">
        <v>2</v>
      </c>
      <c r="D3" s="3" t="s">
        <v>6</v>
      </c>
      <c r="I3" s="541" t="s">
        <v>174</v>
      </c>
      <c r="J3" s="542"/>
      <c r="K3" s="542"/>
      <c r="L3" s="543"/>
    </row>
    <row r="4" spans="2:12" ht="16.5" thickBot="1">
      <c r="B4" s="4" t="s">
        <v>63</v>
      </c>
      <c r="C4" s="5" t="s">
        <v>64</v>
      </c>
      <c r="D4" s="6">
        <v>11662</v>
      </c>
    </row>
    <row r="5" spans="2:12" ht="16.5" thickBot="1">
      <c r="B5" s="4" t="s">
        <v>65</v>
      </c>
      <c r="C5" s="5" t="s">
        <v>64</v>
      </c>
      <c r="D5" s="6">
        <v>12614</v>
      </c>
      <c r="G5" s="126"/>
      <c r="H5" s="126"/>
      <c r="I5" s="127" t="s">
        <v>175</v>
      </c>
      <c r="J5" s="128"/>
      <c r="K5" s="129" t="s">
        <v>176</v>
      </c>
      <c r="L5" s="130"/>
    </row>
    <row r="6" spans="2:12" ht="26.25" thickBot="1">
      <c r="B6" s="4" t="s">
        <v>66</v>
      </c>
      <c r="C6" s="5" t="s">
        <v>64</v>
      </c>
      <c r="D6" s="6">
        <v>13447</v>
      </c>
      <c r="I6" s="131" t="s">
        <v>177</v>
      </c>
      <c r="J6" s="132" t="s">
        <v>178</v>
      </c>
      <c r="K6" s="133">
        <v>9500</v>
      </c>
      <c r="L6" s="134" t="s">
        <v>179</v>
      </c>
    </row>
    <row r="7" spans="2:12" ht="26.25" thickBot="1">
      <c r="B7" s="4" t="s">
        <v>67</v>
      </c>
      <c r="C7" s="5" t="s">
        <v>64</v>
      </c>
      <c r="D7" s="6">
        <v>1666</v>
      </c>
      <c r="I7" s="135" t="s">
        <v>177</v>
      </c>
      <c r="J7" s="136" t="s">
        <v>178</v>
      </c>
      <c r="K7" s="137">
        <v>9595</v>
      </c>
      <c r="L7" s="138" t="s">
        <v>180</v>
      </c>
    </row>
    <row r="8" spans="2:12" ht="26.25" thickBot="1">
      <c r="B8" s="4" t="s">
        <v>68</v>
      </c>
      <c r="C8" s="5" t="s">
        <v>64</v>
      </c>
      <c r="D8" s="6">
        <f>5800*(1+G1)</f>
        <v>6902</v>
      </c>
      <c r="I8" s="131" t="s">
        <v>181</v>
      </c>
      <c r="J8" s="132" t="s">
        <v>178</v>
      </c>
      <c r="K8" s="133">
        <v>10045</v>
      </c>
      <c r="L8" s="134" t="s">
        <v>180</v>
      </c>
    </row>
    <row r="9" spans="2:12" ht="26.25" thickBot="1">
      <c r="B9" s="4" t="s">
        <v>69</v>
      </c>
      <c r="C9" s="5" t="s">
        <v>64</v>
      </c>
      <c r="D9" s="6">
        <f>K22*(1+$G$1)*(1+$G$2)</f>
        <v>222.33959999999999</v>
      </c>
      <c r="I9" s="139" t="s">
        <v>182</v>
      </c>
      <c r="J9" s="136" t="s">
        <v>178</v>
      </c>
      <c r="K9" s="137">
        <v>1295</v>
      </c>
      <c r="L9" s="138" t="s">
        <v>180</v>
      </c>
    </row>
    <row r="10" spans="2:12" ht="26.25" thickBot="1">
      <c r="B10" s="7" t="s">
        <v>70</v>
      </c>
      <c r="C10" s="5" t="s">
        <v>64</v>
      </c>
      <c r="D10" s="6">
        <v>8350</v>
      </c>
      <c r="I10" s="140" t="s">
        <v>183</v>
      </c>
      <c r="J10" s="132" t="s">
        <v>178</v>
      </c>
      <c r="K10" s="133">
        <v>21300</v>
      </c>
      <c r="L10" s="134" t="s">
        <v>179</v>
      </c>
    </row>
    <row r="11" spans="2:12" ht="26.25" thickBot="1">
      <c r="B11" s="7" t="s">
        <v>71</v>
      </c>
      <c r="C11" s="5" t="s">
        <v>64</v>
      </c>
      <c r="D11" s="6">
        <v>3000</v>
      </c>
      <c r="I11" s="141" t="s">
        <v>183</v>
      </c>
      <c r="J11" s="142" t="s">
        <v>178</v>
      </c>
      <c r="K11" s="143">
        <v>28976</v>
      </c>
      <c r="L11" s="144" t="s">
        <v>180</v>
      </c>
    </row>
    <row r="12" spans="2:12" ht="26.25" thickBot="1">
      <c r="B12" s="7" t="s">
        <v>313</v>
      </c>
      <c r="C12" s="5" t="s">
        <v>64</v>
      </c>
      <c r="D12" s="6">
        <v>27846</v>
      </c>
      <c r="I12" s="145" t="s">
        <v>184</v>
      </c>
      <c r="J12" s="132" t="s">
        <v>178</v>
      </c>
      <c r="K12" s="133">
        <v>27500</v>
      </c>
      <c r="L12" s="134" t="s">
        <v>179</v>
      </c>
    </row>
    <row r="13" spans="2:12" ht="26.25" thickBot="1">
      <c r="B13" s="7" t="s">
        <v>314</v>
      </c>
      <c r="C13" s="5" t="s">
        <v>64</v>
      </c>
      <c r="D13" s="6">
        <v>36057</v>
      </c>
      <c r="I13" s="146" t="s">
        <v>184</v>
      </c>
      <c r="J13" s="136" t="s">
        <v>178</v>
      </c>
      <c r="K13" s="137">
        <v>33443</v>
      </c>
      <c r="L13" s="138" t="s">
        <v>180</v>
      </c>
    </row>
    <row r="14" spans="2:12" ht="26.25" thickBot="1">
      <c r="B14" s="7" t="s">
        <v>72</v>
      </c>
      <c r="C14" s="5" t="s">
        <v>80</v>
      </c>
      <c r="D14" s="6">
        <v>7900</v>
      </c>
      <c r="I14" s="147" t="s">
        <v>185</v>
      </c>
      <c r="J14" s="132" t="s">
        <v>178</v>
      </c>
      <c r="K14" s="133">
        <v>3050</v>
      </c>
      <c r="L14" s="148" t="s">
        <v>186</v>
      </c>
    </row>
    <row r="15" spans="2:12" ht="26.25" thickBot="1">
      <c r="B15" s="7" t="s">
        <v>77</v>
      </c>
      <c r="C15" s="5" t="s">
        <v>64</v>
      </c>
      <c r="D15" s="6">
        <v>30000</v>
      </c>
      <c r="I15" s="149" t="s">
        <v>187</v>
      </c>
      <c r="J15" s="136" t="s">
        <v>178</v>
      </c>
      <c r="K15" s="137">
        <v>2950</v>
      </c>
      <c r="L15" s="138" t="s">
        <v>180</v>
      </c>
    </row>
    <row r="16" spans="2:12" ht="26.25" thickBot="1">
      <c r="B16" s="7" t="s">
        <v>73</v>
      </c>
      <c r="C16" s="5" t="s">
        <v>64</v>
      </c>
      <c r="D16" s="6">
        <v>69020</v>
      </c>
      <c r="I16" s="147" t="s">
        <v>188</v>
      </c>
      <c r="J16" s="132" t="s">
        <v>178</v>
      </c>
      <c r="K16" s="150">
        <v>1000</v>
      </c>
      <c r="L16" s="148" t="s">
        <v>186</v>
      </c>
    </row>
    <row r="17" spans="2:12" ht="16.5" thickBot="1">
      <c r="B17" s="7" t="s">
        <v>74</v>
      </c>
      <c r="C17" s="5" t="s">
        <v>64</v>
      </c>
      <c r="D17" s="6">
        <f>2700*(1+G1)</f>
        <v>3213</v>
      </c>
      <c r="I17" s="151" t="s">
        <v>189</v>
      </c>
      <c r="J17" s="152" t="s">
        <v>178</v>
      </c>
      <c r="K17" s="153">
        <v>19800</v>
      </c>
      <c r="L17" s="154" t="s">
        <v>190</v>
      </c>
    </row>
    <row r="18" spans="2:12" ht="16.5" thickBot="1">
      <c r="B18" s="7" t="s">
        <v>75</v>
      </c>
      <c r="C18" s="8" t="s">
        <v>64</v>
      </c>
      <c r="D18" s="6">
        <f>K16*(1+$G$1)*(1+$G$2)</f>
        <v>1235.22</v>
      </c>
      <c r="I18" s="149" t="s">
        <v>191</v>
      </c>
      <c r="J18" s="136" t="s">
        <v>178</v>
      </c>
      <c r="K18" s="137">
        <f>73669</f>
        <v>73669</v>
      </c>
      <c r="L18" s="155" t="s">
        <v>192</v>
      </c>
    </row>
    <row r="19" spans="2:12" ht="16.5" thickBot="1">
      <c r="B19" s="9" t="s">
        <v>78</v>
      </c>
      <c r="C19" s="8" t="s">
        <v>64</v>
      </c>
      <c r="D19" s="6">
        <f>K17*(1+$G$1)*(1+$G$2)</f>
        <v>24457.356</v>
      </c>
      <c r="I19" s="147" t="s">
        <v>193</v>
      </c>
      <c r="J19" s="132" t="s">
        <v>178</v>
      </c>
      <c r="K19" s="133">
        <v>8805</v>
      </c>
      <c r="L19" s="148" t="s">
        <v>194</v>
      </c>
    </row>
    <row r="20" spans="2:12" ht="16.5" thickBot="1">
      <c r="B20" s="7" t="s">
        <v>76</v>
      </c>
      <c r="C20" s="8" t="s">
        <v>64</v>
      </c>
      <c r="D20" s="6">
        <f>K18*(1+$G$1)*(1+$G$2)</f>
        <v>90997.422180000009</v>
      </c>
      <c r="I20" s="149" t="s">
        <v>193</v>
      </c>
      <c r="J20" s="136" t="s">
        <v>178</v>
      </c>
      <c r="K20" s="137">
        <v>8350</v>
      </c>
      <c r="L20" s="138" t="s">
        <v>194</v>
      </c>
    </row>
    <row r="21" spans="2:12" ht="16.5" thickBot="1">
      <c r="B21" s="9" t="s">
        <v>82</v>
      </c>
      <c r="C21" s="8" t="s">
        <v>80</v>
      </c>
      <c r="D21" s="6">
        <v>2083</v>
      </c>
      <c r="I21" s="147" t="s">
        <v>195</v>
      </c>
      <c r="J21" s="132" t="s">
        <v>196</v>
      </c>
      <c r="K21" s="133">
        <v>5800</v>
      </c>
      <c r="L21" s="134" t="s">
        <v>179</v>
      </c>
    </row>
    <row r="22" spans="2:12" ht="16.5" thickBot="1">
      <c r="B22" s="7" t="s">
        <v>83</v>
      </c>
      <c r="C22" s="8" t="s">
        <v>64</v>
      </c>
      <c r="D22" s="6">
        <v>557</v>
      </c>
      <c r="I22" s="156" t="s">
        <v>197</v>
      </c>
      <c r="J22" s="157" t="s">
        <v>178</v>
      </c>
      <c r="K22" s="158">
        <v>180</v>
      </c>
      <c r="L22" s="159" t="s">
        <v>179</v>
      </c>
    </row>
    <row r="23" spans="2:12" ht="26.25" thickBot="1">
      <c r="B23" s="7" t="s">
        <v>84</v>
      </c>
      <c r="C23" s="8" t="s">
        <v>64</v>
      </c>
      <c r="D23" s="6">
        <f>143*(1+G1)</f>
        <v>170.17</v>
      </c>
      <c r="I23" s="149" t="s">
        <v>198</v>
      </c>
      <c r="J23" s="136" t="s">
        <v>178</v>
      </c>
      <c r="K23" s="137">
        <v>4092</v>
      </c>
      <c r="L23" s="138" t="s">
        <v>199</v>
      </c>
    </row>
    <row r="24" spans="2:12" ht="39" thickBot="1">
      <c r="B24" s="7" t="s">
        <v>85</v>
      </c>
      <c r="C24" s="8" t="s">
        <v>86</v>
      </c>
      <c r="D24" s="6">
        <v>3277</v>
      </c>
      <c r="I24" s="160" t="s">
        <v>200</v>
      </c>
      <c r="J24" s="161" t="s">
        <v>196</v>
      </c>
      <c r="K24" s="150">
        <v>3800</v>
      </c>
      <c r="L24" s="162" t="s">
        <v>201</v>
      </c>
    </row>
    <row r="25" spans="2:12" ht="26.25" thickBot="1">
      <c r="B25" s="7" t="s">
        <v>91</v>
      </c>
      <c r="C25" s="8" t="s">
        <v>64</v>
      </c>
      <c r="D25" s="6">
        <f>4100*(1+G1)</f>
        <v>4879</v>
      </c>
      <c r="I25" s="163" t="s">
        <v>202</v>
      </c>
      <c r="J25" s="157" t="s">
        <v>196</v>
      </c>
      <c r="K25" s="158">
        <v>1450</v>
      </c>
      <c r="L25" s="159" t="s">
        <v>203</v>
      </c>
    </row>
    <row r="26" spans="2:12" ht="25.5">
      <c r="I26" s="163" t="s">
        <v>204</v>
      </c>
      <c r="J26" s="157" t="s">
        <v>205</v>
      </c>
      <c r="K26" s="158">
        <v>11500</v>
      </c>
      <c r="L26" s="159" t="s">
        <v>203</v>
      </c>
    </row>
    <row r="27" spans="2:12" ht="25.5">
      <c r="I27" s="163" t="s">
        <v>206</v>
      </c>
      <c r="J27" s="157" t="s">
        <v>178</v>
      </c>
      <c r="K27" s="158">
        <v>140</v>
      </c>
      <c r="L27" s="159" t="s">
        <v>203</v>
      </c>
    </row>
    <row r="28" spans="2:12" ht="25.5">
      <c r="I28" s="163" t="s">
        <v>207</v>
      </c>
      <c r="J28" s="157" t="s">
        <v>178</v>
      </c>
      <c r="K28" s="158">
        <v>9500</v>
      </c>
      <c r="L28" s="159" t="s">
        <v>203</v>
      </c>
    </row>
    <row r="29" spans="2:12" ht="25.5">
      <c r="I29" s="163" t="s">
        <v>208</v>
      </c>
      <c r="J29" s="157" t="s">
        <v>178</v>
      </c>
      <c r="K29" s="158">
        <v>24572</v>
      </c>
      <c r="L29" s="159" t="s">
        <v>203</v>
      </c>
    </row>
    <row r="30" spans="2:12" ht="25.5">
      <c r="I30" s="163" t="s">
        <v>209</v>
      </c>
      <c r="J30" s="157" t="s">
        <v>178</v>
      </c>
      <c r="K30" s="158">
        <v>4800</v>
      </c>
      <c r="L30" s="159" t="s">
        <v>203</v>
      </c>
    </row>
    <row r="31" spans="2:12" ht="25.5">
      <c r="I31" s="163" t="s">
        <v>210</v>
      </c>
      <c r="J31" s="157" t="s">
        <v>178</v>
      </c>
      <c r="K31" s="158">
        <v>1500</v>
      </c>
      <c r="L31" s="159" t="s">
        <v>203</v>
      </c>
    </row>
    <row r="32" spans="2:12" ht="25.5">
      <c r="I32" s="163" t="s">
        <v>211</v>
      </c>
      <c r="J32" s="157" t="s">
        <v>178</v>
      </c>
      <c r="K32" s="158">
        <v>430</v>
      </c>
      <c r="L32" s="159" t="s">
        <v>203</v>
      </c>
    </row>
    <row r="33" spans="9:12" ht="25.5">
      <c r="I33" s="163" t="s">
        <v>212</v>
      </c>
      <c r="J33" s="157" t="s">
        <v>205</v>
      </c>
      <c r="K33" s="158">
        <v>63000</v>
      </c>
      <c r="L33" s="159" t="s">
        <v>203</v>
      </c>
    </row>
    <row r="34" spans="9:12" ht="26.25" thickBot="1">
      <c r="I34" s="135" t="s">
        <v>213</v>
      </c>
      <c r="J34" s="136" t="s">
        <v>196</v>
      </c>
      <c r="K34" s="137">
        <v>1310</v>
      </c>
      <c r="L34" s="138" t="s">
        <v>203</v>
      </c>
    </row>
  </sheetData>
  <mergeCells count="1">
    <mergeCell ref="I3:L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6"/>
  <sheetViews>
    <sheetView topLeftCell="A12" workbookViewId="0">
      <selection activeCell="J10" sqref="J10"/>
    </sheetView>
  </sheetViews>
  <sheetFormatPr baseColWidth="10" defaultColWidth="11.42578125" defaultRowHeight="15.75"/>
  <cols>
    <col min="1" max="1" width="58.7109375" style="242" customWidth="1"/>
    <col min="2" max="2" width="13.28515625" style="242" customWidth="1"/>
    <col min="3" max="4" width="13.28515625" style="243" customWidth="1"/>
    <col min="5" max="5" width="14.7109375" style="243" customWidth="1"/>
    <col min="6" max="6" width="13.28515625" style="242" customWidth="1"/>
    <col min="7" max="9" width="13.28515625" style="243" customWidth="1"/>
    <col min="10" max="10" width="13.28515625" style="242" customWidth="1"/>
    <col min="11" max="11" width="19.42578125" style="242" customWidth="1"/>
    <col min="12" max="12" width="19.42578125" style="243" customWidth="1"/>
    <col min="13" max="13" width="27.42578125" style="242" customWidth="1"/>
    <col min="14" max="16384" width="11.42578125" style="242"/>
  </cols>
  <sheetData>
    <row r="1" spans="1:13" ht="16.5" thickBot="1"/>
    <row r="2" spans="1:13" s="245" customFormat="1" ht="28.5" customHeight="1">
      <c r="A2" s="244" t="s">
        <v>261</v>
      </c>
      <c r="B2" s="546" t="s">
        <v>262</v>
      </c>
      <c r="C2" s="547"/>
      <c r="D2" s="547"/>
      <c r="E2" s="548"/>
      <c r="F2" s="546" t="s">
        <v>263</v>
      </c>
      <c r="G2" s="547"/>
      <c r="H2" s="547"/>
      <c r="I2" s="548"/>
      <c r="J2" s="549" t="s">
        <v>2</v>
      </c>
      <c r="K2" s="547" t="s">
        <v>264</v>
      </c>
      <c r="L2" s="552" t="s">
        <v>265</v>
      </c>
      <c r="M2" s="544" t="s">
        <v>266</v>
      </c>
    </row>
    <row r="3" spans="1:13" s="245" customFormat="1" ht="32.25" thickBot="1">
      <c r="A3" s="246" t="s">
        <v>47</v>
      </c>
      <c r="B3" s="247" t="s">
        <v>6</v>
      </c>
      <c r="C3" s="248" t="s">
        <v>267</v>
      </c>
      <c r="D3" s="248" t="s">
        <v>268</v>
      </c>
      <c r="E3" s="249" t="s">
        <v>8</v>
      </c>
      <c r="F3" s="247" t="s">
        <v>6</v>
      </c>
      <c r="G3" s="248" t="s">
        <v>267</v>
      </c>
      <c r="H3" s="248" t="s">
        <v>268</v>
      </c>
      <c r="I3" s="249" t="s">
        <v>8</v>
      </c>
      <c r="J3" s="550"/>
      <c r="K3" s="551"/>
      <c r="L3" s="553"/>
      <c r="M3" s="545"/>
    </row>
    <row r="4" spans="1:13" ht="31.5">
      <c r="A4" s="250" t="s">
        <v>269</v>
      </c>
      <c r="B4" s="251">
        <v>7574</v>
      </c>
      <c r="C4" s="252"/>
      <c r="D4" s="252"/>
      <c r="E4" s="253">
        <f>SUM(B4*C4)</f>
        <v>0</v>
      </c>
      <c r="F4" s="251">
        <v>930</v>
      </c>
      <c r="G4" s="254">
        <f t="shared" ref="G4:G19" si="0">SUM(C4*F4)</f>
        <v>0</v>
      </c>
      <c r="H4" s="252"/>
      <c r="I4" s="253">
        <f t="shared" ref="I4:I35" si="1">+G4+H4</f>
        <v>0</v>
      </c>
      <c r="J4" s="255" t="s">
        <v>64</v>
      </c>
      <c r="K4" s="256">
        <f>+B4+F4</f>
        <v>8504</v>
      </c>
      <c r="L4" s="257">
        <f>+E4+I4</f>
        <v>0</v>
      </c>
      <c r="M4" s="258"/>
    </row>
    <row r="5" spans="1:13" ht="47.25">
      <c r="A5" s="259" t="s">
        <v>270</v>
      </c>
      <c r="B5" s="260">
        <v>1002</v>
      </c>
      <c r="C5" s="254"/>
      <c r="D5" s="254"/>
      <c r="E5" s="261">
        <f t="shared" ref="E5:E12" si="2">SUM(B5*C5)</f>
        <v>0</v>
      </c>
      <c r="F5" s="260">
        <v>188</v>
      </c>
      <c r="G5" s="254">
        <f t="shared" si="0"/>
        <v>0</v>
      </c>
      <c r="H5" s="254"/>
      <c r="I5" s="261">
        <f t="shared" si="1"/>
        <v>0</v>
      </c>
      <c r="J5" s="262" t="s">
        <v>64</v>
      </c>
      <c r="K5" s="263">
        <f t="shared" ref="K5:K40" si="3">+B5+F5</f>
        <v>1190</v>
      </c>
      <c r="L5" s="264">
        <f>+E5+I5</f>
        <v>0</v>
      </c>
      <c r="M5" s="258"/>
    </row>
    <row r="6" spans="1:13" ht="47.25">
      <c r="A6" s="259" t="s">
        <v>271</v>
      </c>
      <c r="B6" s="260">
        <v>0</v>
      </c>
      <c r="C6" s="254"/>
      <c r="D6" s="254"/>
      <c r="E6" s="261">
        <f t="shared" si="2"/>
        <v>0</v>
      </c>
      <c r="F6" s="260">
        <v>361</v>
      </c>
      <c r="G6" s="254">
        <f t="shared" si="0"/>
        <v>0</v>
      </c>
      <c r="H6" s="254"/>
      <c r="I6" s="261">
        <f t="shared" si="1"/>
        <v>0</v>
      </c>
      <c r="J6" s="262" t="s">
        <v>64</v>
      </c>
      <c r="K6" s="263">
        <f t="shared" si="3"/>
        <v>361</v>
      </c>
      <c r="L6" s="264">
        <f t="shared" ref="L6:L35" si="4">+E6+I6</f>
        <v>0</v>
      </c>
      <c r="M6" s="258"/>
    </row>
    <row r="7" spans="1:13">
      <c r="A7" s="265" t="s">
        <v>15</v>
      </c>
      <c r="B7" s="260"/>
      <c r="C7" s="254"/>
      <c r="D7" s="254"/>
      <c r="E7" s="261">
        <f t="shared" si="2"/>
        <v>0</v>
      </c>
      <c r="F7" s="260"/>
      <c r="G7" s="254">
        <f t="shared" si="0"/>
        <v>0</v>
      </c>
      <c r="H7" s="254"/>
      <c r="I7" s="261">
        <f t="shared" si="1"/>
        <v>0</v>
      </c>
      <c r="J7" s="262"/>
      <c r="K7" s="263"/>
      <c r="L7" s="264">
        <f t="shared" si="4"/>
        <v>0</v>
      </c>
      <c r="M7" s="258"/>
    </row>
    <row r="8" spans="1:13">
      <c r="A8" s="266" t="s">
        <v>272</v>
      </c>
      <c r="B8" s="260">
        <v>3</v>
      </c>
      <c r="C8" s="254"/>
      <c r="D8" s="254"/>
      <c r="E8" s="261">
        <f t="shared" si="2"/>
        <v>0</v>
      </c>
      <c r="F8" s="260">
        <v>2</v>
      </c>
      <c r="G8" s="254">
        <f t="shared" si="0"/>
        <v>0</v>
      </c>
      <c r="H8" s="254"/>
      <c r="I8" s="261">
        <f t="shared" si="1"/>
        <v>0</v>
      </c>
      <c r="J8" s="262" t="s">
        <v>273</v>
      </c>
      <c r="K8" s="263">
        <f t="shared" si="3"/>
        <v>5</v>
      </c>
      <c r="L8" s="264">
        <f t="shared" si="4"/>
        <v>0</v>
      </c>
      <c r="M8" s="258"/>
    </row>
    <row r="9" spans="1:13">
      <c r="A9" s="267" t="s">
        <v>274</v>
      </c>
      <c r="B9" s="260">
        <v>2</v>
      </c>
      <c r="C9" s="254"/>
      <c r="D9" s="254"/>
      <c r="E9" s="261">
        <f t="shared" si="2"/>
        <v>0</v>
      </c>
      <c r="F9" s="260">
        <v>1</v>
      </c>
      <c r="G9" s="254">
        <f t="shared" si="0"/>
        <v>0</v>
      </c>
      <c r="H9" s="254"/>
      <c r="I9" s="261">
        <f t="shared" si="1"/>
        <v>0</v>
      </c>
      <c r="J9" s="262" t="s">
        <v>64</v>
      </c>
      <c r="K9" s="263">
        <f t="shared" si="3"/>
        <v>3</v>
      </c>
      <c r="L9" s="264">
        <f t="shared" si="4"/>
        <v>0</v>
      </c>
      <c r="M9" s="258"/>
    </row>
    <row r="10" spans="1:13" ht="31.5">
      <c r="A10" s="266" t="s">
        <v>275</v>
      </c>
      <c r="B10" s="260">
        <v>2</v>
      </c>
      <c r="C10" s="254"/>
      <c r="D10" s="254"/>
      <c r="E10" s="261">
        <f t="shared" si="2"/>
        <v>0</v>
      </c>
      <c r="F10" s="260">
        <v>1</v>
      </c>
      <c r="G10" s="254">
        <f t="shared" si="0"/>
        <v>0</v>
      </c>
      <c r="H10" s="254"/>
      <c r="I10" s="261">
        <f t="shared" si="1"/>
        <v>0</v>
      </c>
      <c r="J10" s="262" t="s">
        <v>64</v>
      </c>
      <c r="K10" s="263">
        <f t="shared" si="3"/>
        <v>3</v>
      </c>
      <c r="L10" s="264">
        <f t="shared" si="4"/>
        <v>0</v>
      </c>
      <c r="M10" s="258"/>
    </row>
    <row r="11" spans="1:13">
      <c r="A11" s="267" t="s">
        <v>276</v>
      </c>
      <c r="B11" s="260">
        <v>1</v>
      </c>
      <c r="C11" s="254"/>
      <c r="D11" s="254"/>
      <c r="E11" s="261">
        <f t="shared" si="2"/>
        <v>0</v>
      </c>
      <c r="F11" s="260">
        <v>1</v>
      </c>
      <c r="G11" s="254">
        <f t="shared" si="0"/>
        <v>0</v>
      </c>
      <c r="H11" s="254"/>
      <c r="I11" s="261">
        <f t="shared" si="1"/>
        <v>0</v>
      </c>
      <c r="J11" s="262" t="s">
        <v>64</v>
      </c>
      <c r="K11" s="263">
        <f t="shared" si="3"/>
        <v>2</v>
      </c>
      <c r="L11" s="264">
        <f t="shared" si="4"/>
        <v>0</v>
      </c>
      <c r="M11" s="258"/>
    </row>
    <row r="12" spans="1:13">
      <c r="A12" s="265" t="s">
        <v>277</v>
      </c>
      <c r="B12" s="260"/>
      <c r="C12" s="254"/>
      <c r="D12" s="254"/>
      <c r="E12" s="261">
        <f t="shared" si="2"/>
        <v>0</v>
      </c>
      <c r="F12" s="260"/>
      <c r="G12" s="254">
        <f t="shared" si="0"/>
        <v>0</v>
      </c>
      <c r="H12" s="254"/>
      <c r="I12" s="261">
        <f t="shared" si="1"/>
        <v>0</v>
      </c>
      <c r="J12" s="262"/>
      <c r="K12" s="263"/>
      <c r="L12" s="264">
        <f t="shared" si="4"/>
        <v>0</v>
      </c>
      <c r="M12" s="258"/>
    </row>
    <row r="13" spans="1:13">
      <c r="A13" s="268" t="s">
        <v>38</v>
      </c>
      <c r="B13" s="260">
        <v>1</v>
      </c>
      <c r="C13" s="254">
        <f>1990000/1.19</f>
        <v>1672268.9075630254</v>
      </c>
      <c r="D13" s="254">
        <f>+C13*19%</f>
        <v>317731.09243697481</v>
      </c>
      <c r="E13" s="261">
        <f>SUM(C13:D13)</f>
        <v>1990000.0000000002</v>
      </c>
      <c r="F13" s="260">
        <v>1</v>
      </c>
      <c r="G13" s="254">
        <f t="shared" si="0"/>
        <v>1672268.9075630254</v>
      </c>
      <c r="H13" s="254"/>
      <c r="I13" s="261">
        <f t="shared" si="1"/>
        <v>1672268.9075630254</v>
      </c>
      <c r="J13" s="262" t="s">
        <v>64</v>
      </c>
      <c r="K13" s="263">
        <f t="shared" si="3"/>
        <v>2</v>
      </c>
      <c r="L13" s="264">
        <f t="shared" si="4"/>
        <v>3662268.9075630256</v>
      </c>
      <c r="M13" s="258"/>
    </row>
    <row r="14" spans="1:13">
      <c r="A14" s="268" t="s">
        <v>25</v>
      </c>
      <c r="B14" s="260">
        <v>4</v>
      </c>
      <c r="C14" s="254">
        <f>320000/1.19</f>
        <v>268907.56302521011</v>
      </c>
      <c r="D14" s="254">
        <f t="shared" ref="D14:D40" si="5">+C14*19%</f>
        <v>51092.436974789918</v>
      </c>
      <c r="E14" s="261">
        <f t="shared" ref="E14:E40" si="6">SUM(C14:D14)</f>
        <v>320000</v>
      </c>
      <c r="F14" s="260">
        <v>2</v>
      </c>
      <c r="G14" s="254">
        <f t="shared" si="0"/>
        <v>537815.12605042022</v>
      </c>
      <c r="H14" s="254"/>
      <c r="I14" s="261">
        <f t="shared" si="1"/>
        <v>537815.12605042022</v>
      </c>
      <c r="J14" s="262" t="s">
        <v>64</v>
      </c>
      <c r="K14" s="263">
        <f t="shared" si="3"/>
        <v>6</v>
      </c>
      <c r="L14" s="264">
        <f t="shared" si="4"/>
        <v>857815.12605042022</v>
      </c>
      <c r="M14" s="258"/>
    </row>
    <row r="15" spans="1:13">
      <c r="A15" s="268" t="s">
        <v>278</v>
      </c>
      <c r="B15" s="260">
        <v>3</v>
      </c>
      <c r="C15" s="254">
        <f>420000/1.19</f>
        <v>352941.17647058825</v>
      </c>
      <c r="D15" s="254">
        <f t="shared" si="5"/>
        <v>67058.823529411762</v>
      </c>
      <c r="E15" s="261">
        <f t="shared" si="6"/>
        <v>420000</v>
      </c>
      <c r="F15" s="260">
        <v>2</v>
      </c>
      <c r="G15" s="254">
        <f t="shared" si="0"/>
        <v>705882.3529411765</v>
      </c>
      <c r="H15" s="254"/>
      <c r="I15" s="261">
        <f t="shared" si="1"/>
        <v>705882.3529411765</v>
      </c>
      <c r="J15" s="262" t="s">
        <v>64</v>
      </c>
      <c r="K15" s="263">
        <f t="shared" si="3"/>
        <v>5</v>
      </c>
      <c r="L15" s="264">
        <f t="shared" si="4"/>
        <v>1125882.3529411764</v>
      </c>
      <c r="M15" s="258"/>
    </row>
    <row r="16" spans="1:13">
      <c r="A16" s="268" t="s">
        <v>279</v>
      </c>
      <c r="B16" s="260">
        <v>4</v>
      </c>
      <c r="C16" s="254">
        <v>36900</v>
      </c>
      <c r="D16" s="254">
        <f t="shared" si="5"/>
        <v>7011</v>
      </c>
      <c r="E16" s="261">
        <f t="shared" si="6"/>
        <v>43911</v>
      </c>
      <c r="F16" s="260">
        <v>2</v>
      </c>
      <c r="G16" s="254">
        <f t="shared" si="0"/>
        <v>73800</v>
      </c>
      <c r="H16" s="254"/>
      <c r="I16" s="261">
        <f t="shared" si="1"/>
        <v>73800</v>
      </c>
      <c r="J16" s="262" t="s">
        <v>64</v>
      </c>
      <c r="K16" s="263">
        <f t="shared" si="3"/>
        <v>6</v>
      </c>
      <c r="L16" s="264">
        <f t="shared" si="4"/>
        <v>117711</v>
      </c>
      <c r="M16" s="258"/>
    </row>
    <row r="17" spans="1:13">
      <c r="A17" s="268" t="s">
        <v>280</v>
      </c>
      <c r="B17" s="260"/>
      <c r="C17" s="254"/>
      <c r="D17" s="254">
        <f t="shared" si="5"/>
        <v>0</v>
      </c>
      <c r="E17" s="295">
        <f t="shared" si="6"/>
        <v>0</v>
      </c>
      <c r="F17" s="260"/>
      <c r="G17" s="254">
        <f t="shared" si="0"/>
        <v>0</v>
      </c>
      <c r="H17" s="254"/>
      <c r="I17" s="261">
        <f t="shared" si="1"/>
        <v>0</v>
      </c>
      <c r="J17" s="262" t="s">
        <v>64</v>
      </c>
      <c r="K17" s="263">
        <f t="shared" si="3"/>
        <v>0</v>
      </c>
      <c r="L17" s="264">
        <f t="shared" si="4"/>
        <v>0</v>
      </c>
      <c r="M17" s="258"/>
    </row>
    <row r="18" spans="1:13">
      <c r="A18" s="268" t="s">
        <v>281</v>
      </c>
      <c r="B18" s="260">
        <v>6</v>
      </c>
      <c r="C18" s="254">
        <v>25000</v>
      </c>
      <c r="D18" s="254">
        <f t="shared" si="5"/>
        <v>4750</v>
      </c>
      <c r="E18" s="261">
        <f t="shared" si="6"/>
        <v>29750</v>
      </c>
      <c r="F18" s="260">
        <v>4</v>
      </c>
      <c r="G18" s="254">
        <f t="shared" si="0"/>
        <v>100000</v>
      </c>
      <c r="H18" s="254"/>
      <c r="I18" s="261">
        <f t="shared" si="1"/>
        <v>100000</v>
      </c>
      <c r="J18" s="262" t="s">
        <v>64</v>
      </c>
      <c r="K18" s="263">
        <f t="shared" si="3"/>
        <v>10</v>
      </c>
      <c r="L18" s="264">
        <f t="shared" si="4"/>
        <v>129750</v>
      </c>
      <c r="M18" s="258"/>
    </row>
    <row r="19" spans="1:13">
      <c r="A19" s="268" t="s">
        <v>282</v>
      </c>
      <c r="B19" s="260">
        <v>1</v>
      </c>
      <c r="C19" s="254">
        <v>240000</v>
      </c>
      <c r="D19" s="254">
        <f t="shared" si="5"/>
        <v>45600</v>
      </c>
      <c r="E19" s="261">
        <f t="shared" si="6"/>
        <v>285600</v>
      </c>
      <c r="F19" s="260">
        <v>0</v>
      </c>
      <c r="G19" s="254">
        <f t="shared" si="0"/>
        <v>0</v>
      </c>
      <c r="H19" s="254"/>
      <c r="I19" s="261">
        <f t="shared" si="1"/>
        <v>0</v>
      </c>
      <c r="J19" s="262" t="s">
        <v>64</v>
      </c>
      <c r="K19" s="263">
        <f t="shared" si="3"/>
        <v>1</v>
      </c>
      <c r="L19" s="264">
        <f t="shared" si="4"/>
        <v>285600</v>
      </c>
      <c r="M19" s="258"/>
    </row>
    <row r="20" spans="1:13">
      <c r="A20" s="268" t="s">
        <v>283</v>
      </c>
      <c r="B20" s="260">
        <v>1</v>
      </c>
      <c r="C20" s="254">
        <v>67143</v>
      </c>
      <c r="D20" s="254">
        <f t="shared" si="5"/>
        <v>12757.17</v>
      </c>
      <c r="E20" s="261">
        <f t="shared" si="6"/>
        <v>79900.17</v>
      </c>
      <c r="F20" s="260">
        <v>1</v>
      </c>
      <c r="G20" s="254">
        <f>SUM(C20*F20)</f>
        <v>67143</v>
      </c>
      <c r="H20" s="254"/>
      <c r="I20" s="261">
        <f t="shared" si="1"/>
        <v>67143</v>
      </c>
      <c r="J20" s="262" t="s">
        <v>64</v>
      </c>
      <c r="K20" s="263">
        <f t="shared" si="3"/>
        <v>2</v>
      </c>
      <c r="L20" s="264">
        <f t="shared" si="4"/>
        <v>147043.16999999998</v>
      </c>
      <c r="M20" s="258"/>
    </row>
    <row r="21" spans="1:13">
      <c r="A21" s="268" t="s">
        <v>284</v>
      </c>
      <c r="B21" s="260">
        <v>1</v>
      </c>
      <c r="C21" s="254">
        <v>210000</v>
      </c>
      <c r="D21" s="254">
        <f t="shared" si="5"/>
        <v>39900</v>
      </c>
      <c r="E21" s="261">
        <f t="shared" si="6"/>
        <v>249900</v>
      </c>
      <c r="F21" s="260">
        <v>0</v>
      </c>
      <c r="G21" s="254">
        <f t="shared" ref="G21:G40" si="7">SUM(C21*F21)</f>
        <v>0</v>
      </c>
      <c r="H21" s="254"/>
      <c r="I21" s="261">
        <f t="shared" si="1"/>
        <v>0</v>
      </c>
      <c r="J21" s="262" t="s">
        <v>64</v>
      </c>
      <c r="K21" s="263">
        <f t="shared" si="3"/>
        <v>1</v>
      </c>
      <c r="L21" s="264">
        <f t="shared" si="4"/>
        <v>249900</v>
      </c>
      <c r="M21" s="258"/>
    </row>
    <row r="22" spans="1:13">
      <c r="A22" s="268" t="s">
        <v>285</v>
      </c>
      <c r="B22" s="260">
        <v>1</v>
      </c>
      <c r="C22" s="254">
        <v>2201681</v>
      </c>
      <c r="D22" s="254">
        <f t="shared" si="5"/>
        <v>418319.39</v>
      </c>
      <c r="E22" s="261">
        <f t="shared" si="6"/>
        <v>2620000.39</v>
      </c>
      <c r="F22" s="260">
        <v>1</v>
      </c>
      <c r="G22" s="254">
        <f t="shared" si="7"/>
        <v>2201681</v>
      </c>
      <c r="H22" s="254"/>
      <c r="I22" s="261">
        <f t="shared" si="1"/>
        <v>2201681</v>
      </c>
      <c r="J22" s="262" t="s">
        <v>64</v>
      </c>
      <c r="K22" s="263">
        <f t="shared" si="3"/>
        <v>2</v>
      </c>
      <c r="L22" s="264">
        <f t="shared" si="4"/>
        <v>4821681.3900000006</v>
      </c>
      <c r="M22" s="258"/>
    </row>
    <row r="23" spans="1:13">
      <c r="A23" s="268" t="s">
        <v>20</v>
      </c>
      <c r="B23" s="260">
        <v>1</v>
      </c>
      <c r="C23" s="254">
        <v>226807</v>
      </c>
      <c r="D23" s="254">
        <f t="shared" si="5"/>
        <v>43093.33</v>
      </c>
      <c r="E23" s="261">
        <f t="shared" si="6"/>
        <v>269900.33</v>
      </c>
      <c r="F23" s="260">
        <v>1</v>
      </c>
      <c r="G23" s="254">
        <f t="shared" si="7"/>
        <v>226807</v>
      </c>
      <c r="H23" s="254"/>
      <c r="I23" s="261">
        <f t="shared" si="1"/>
        <v>226807</v>
      </c>
      <c r="J23" s="262" t="s">
        <v>64</v>
      </c>
      <c r="K23" s="263">
        <f t="shared" si="3"/>
        <v>2</v>
      </c>
      <c r="L23" s="264">
        <f t="shared" si="4"/>
        <v>496707.33</v>
      </c>
      <c r="M23" s="258"/>
    </row>
    <row r="24" spans="1:13">
      <c r="A24" s="268" t="s">
        <v>286</v>
      </c>
      <c r="B24" s="260">
        <v>1</v>
      </c>
      <c r="C24" s="254">
        <v>75546</v>
      </c>
      <c r="D24" s="254">
        <f t="shared" si="5"/>
        <v>14353.74</v>
      </c>
      <c r="E24" s="261">
        <f t="shared" si="6"/>
        <v>89899.74</v>
      </c>
      <c r="F24" s="260">
        <v>1</v>
      </c>
      <c r="G24" s="254">
        <f t="shared" si="7"/>
        <v>75546</v>
      </c>
      <c r="H24" s="254"/>
      <c r="I24" s="261">
        <f t="shared" si="1"/>
        <v>75546</v>
      </c>
      <c r="J24" s="262" t="s">
        <v>64</v>
      </c>
      <c r="K24" s="263">
        <f t="shared" si="3"/>
        <v>2</v>
      </c>
      <c r="L24" s="264">
        <f t="shared" si="4"/>
        <v>165445.74</v>
      </c>
      <c r="M24" s="258"/>
    </row>
    <row r="25" spans="1:13">
      <c r="A25" s="269" t="s">
        <v>59</v>
      </c>
      <c r="B25" s="260">
        <v>1</v>
      </c>
      <c r="C25" s="254"/>
      <c r="D25" s="254">
        <f t="shared" si="5"/>
        <v>0</v>
      </c>
      <c r="E25" s="261">
        <v>350000</v>
      </c>
      <c r="F25" s="260">
        <v>1</v>
      </c>
      <c r="G25" s="254">
        <f t="shared" si="7"/>
        <v>0</v>
      </c>
      <c r="H25" s="254"/>
      <c r="I25" s="261">
        <f t="shared" si="1"/>
        <v>0</v>
      </c>
      <c r="J25" s="262" t="s">
        <v>64</v>
      </c>
      <c r="K25" s="263">
        <f t="shared" si="3"/>
        <v>2</v>
      </c>
      <c r="L25" s="264">
        <f t="shared" si="4"/>
        <v>350000</v>
      </c>
      <c r="M25" s="258"/>
    </row>
    <row r="26" spans="1:13">
      <c r="A26" s="268" t="s">
        <v>287</v>
      </c>
      <c r="B26" s="260">
        <v>1</v>
      </c>
      <c r="C26" s="254">
        <v>336050</v>
      </c>
      <c r="D26" s="254">
        <f t="shared" si="5"/>
        <v>63849.5</v>
      </c>
      <c r="E26" s="261">
        <f t="shared" si="6"/>
        <v>399899.5</v>
      </c>
      <c r="F26" s="260">
        <v>1</v>
      </c>
      <c r="G26" s="254">
        <f t="shared" si="7"/>
        <v>336050</v>
      </c>
      <c r="H26" s="254"/>
      <c r="I26" s="261">
        <f t="shared" si="1"/>
        <v>336050</v>
      </c>
      <c r="J26" s="262" t="s">
        <v>64</v>
      </c>
      <c r="K26" s="263">
        <f t="shared" si="3"/>
        <v>2</v>
      </c>
      <c r="L26" s="264">
        <f t="shared" si="4"/>
        <v>735949.5</v>
      </c>
      <c r="M26" s="258"/>
    </row>
    <row r="27" spans="1:13">
      <c r="A27" s="268" t="s">
        <v>288</v>
      </c>
      <c r="B27" s="260">
        <v>3</v>
      </c>
      <c r="C27" s="254">
        <v>19244</v>
      </c>
      <c r="D27" s="254">
        <f t="shared" si="5"/>
        <v>3656.36</v>
      </c>
      <c r="E27" s="261">
        <f t="shared" si="6"/>
        <v>22900.36</v>
      </c>
      <c r="F27" s="260">
        <v>2</v>
      </c>
      <c r="G27" s="254">
        <f t="shared" si="7"/>
        <v>38488</v>
      </c>
      <c r="H27" s="254"/>
      <c r="I27" s="261">
        <f t="shared" si="1"/>
        <v>38488</v>
      </c>
      <c r="J27" s="262" t="s">
        <v>64</v>
      </c>
      <c r="K27" s="263">
        <f t="shared" si="3"/>
        <v>5</v>
      </c>
      <c r="L27" s="264">
        <f t="shared" si="4"/>
        <v>61388.36</v>
      </c>
      <c r="M27" s="258"/>
    </row>
    <row r="28" spans="1:13">
      <c r="A28" s="269" t="s">
        <v>289</v>
      </c>
      <c r="B28" s="260">
        <v>1</v>
      </c>
      <c r="C28" s="254">
        <v>45000</v>
      </c>
      <c r="D28" s="254">
        <f t="shared" si="5"/>
        <v>8550</v>
      </c>
      <c r="E28" s="261">
        <f t="shared" si="6"/>
        <v>53550</v>
      </c>
      <c r="F28" s="260">
        <v>1</v>
      </c>
      <c r="G28" s="254">
        <f t="shared" si="7"/>
        <v>45000</v>
      </c>
      <c r="H28" s="254"/>
      <c r="I28" s="261">
        <f t="shared" si="1"/>
        <v>45000</v>
      </c>
      <c r="J28" s="262" t="s">
        <v>64</v>
      </c>
      <c r="K28" s="263">
        <f t="shared" si="3"/>
        <v>2</v>
      </c>
      <c r="L28" s="264">
        <f t="shared" si="4"/>
        <v>98550</v>
      </c>
      <c r="M28" s="258"/>
    </row>
    <row r="29" spans="1:13">
      <c r="A29" s="269" t="s">
        <v>290</v>
      </c>
      <c r="B29" s="260">
        <v>1</v>
      </c>
      <c r="C29" s="254">
        <f>74900/1.19</f>
        <v>62941.176470588238</v>
      </c>
      <c r="D29" s="254">
        <f t="shared" si="5"/>
        <v>11958.823529411766</v>
      </c>
      <c r="E29" s="261">
        <f t="shared" si="6"/>
        <v>74900</v>
      </c>
      <c r="F29" s="260">
        <v>1</v>
      </c>
      <c r="G29" s="254">
        <f t="shared" si="7"/>
        <v>62941.176470588238</v>
      </c>
      <c r="H29" s="254"/>
      <c r="I29" s="261">
        <f t="shared" si="1"/>
        <v>62941.176470588238</v>
      </c>
      <c r="J29" s="262" t="s">
        <v>64</v>
      </c>
      <c r="K29" s="263">
        <f t="shared" si="3"/>
        <v>2</v>
      </c>
      <c r="L29" s="264">
        <f t="shared" si="4"/>
        <v>137841.17647058825</v>
      </c>
      <c r="M29" s="258"/>
    </row>
    <row r="30" spans="1:13">
      <c r="A30" s="268" t="s">
        <v>291</v>
      </c>
      <c r="B30" s="260">
        <v>4</v>
      </c>
      <c r="C30" s="254">
        <v>19244</v>
      </c>
      <c r="D30" s="254">
        <f t="shared" si="5"/>
        <v>3656.36</v>
      </c>
      <c r="E30" s="261">
        <f t="shared" si="6"/>
        <v>22900.36</v>
      </c>
      <c r="F30" s="260">
        <v>3</v>
      </c>
      <c r="G30" s="254">
        <f t="shared" si="7"/>
        <v>57732</v>
      </c>
      <c r="H30" s="254"/>
      <c r="I30" s="261">
        <f t="shared" si="1"/>
        <v>57732</v>
      </c>
      <c r="J30" s="262" t="s">
        <v>64</v>
      </c>
      <c r="K30" s="263">
        <f t="shared" si="3"/>
        <v>7</v>
      </c>
      <c r="L30" s="264">
        <f t="shared" si="4"/>
        <v>80632.36</v>
      </c>
      <c r="M30" s="258"/>
    </row>
    <row r="31" spans="1:13">
      <c r="A31" s="268" t="s">
        <v>292</v>
      </c>
      <c r="B31" s="260">
        <v>3</v>
      </c>
      <c r="C31" s="254">
        <f>18403/5</f>
        <v>3680.6</v>
      </c>
      <c r="D31" s="254">
        <f t="shared" si="5"/>
        <v>699.31399999999996</v>
      </c>
      <c r="E31" s="261">
        <f t="shared" si="6"/>
        <v>4379.9139999999998</v>
      </c>
      <c r="F31" s="260">
        <v>2</v>
      </c>
      <c r="G31" s="254">
        <f t="shared" si="7"/>
        <v>7361.2</v>
      </c>
      <c r="H31" s="254"/>
      <c r="I31" s="261">
        <f t="shared" si="1"/>
        <v>7361.2</v>
      </c>
      <c r="J31" s="262" t="s">
        <v>64</v>
      </c>
      <c r="K31" s="263">
        <f t="shared" si="3"/>
        <v>5</v>
      </c>
      <c r="L31" s="264">
        <f t="shared" si="4"/>
        <v>11741.114</v>
      </c>
      <c r="M31" s="258"/>
    </row>
    <row r="32" spans="1:13">
      <c r="A32" s="268" t="s">
        <v>293</v>
      </c>
      <c r="B32" s="260">
        <v>4</v>
      </c>
      <c r="C32" s="254">
        <f>18403/5</f>
        <v>3680.6</v>
      </c>
      <c r="D32" s="254">
        <f t="shared" si="5"/>
        <v>699.31399999999996</v>
      </c>
      <c r="E32" s="261">
        <f t="shared" si="6"/>
        <v>4379.9139999999998</v>
      </c>
      <c r="F32" s="260">
        <v>2</v>
      </c>
      <c r="G32" s="254">
        <f t="shared" si="7"/>
        <v>7361.2</v>
      </c>
      <c r="H32" s="254"/>
      <c r="I32" s="261">
        <f t="shared" si="1"/>
        <v>7361.2</v>
      </c>
      <c r="J32" s="262" t="s">
        <v>64</v>
      </c>
      <c r="K32" s="263">
        <f t="shared" si="3"/>
        <v>6</v>
      </c>
      <c r="L32" s="264">
        <f t="shared" si="4"/>
        <v>11741.114</v>
      </c>
      <c r="M32" s="258"/>
    </row>
    <row r="33" spans="1:13">
      <c r="A33" s="269" t="s">
        <v>294</v>
      </c>
      <c r="B33" s="260">
        <v>16</v>
      </c>
      <c r="C33" s="254"/>
      <c r="D33" s="254">
        <f t="shared" si="5"/>
        <v>0</v>
      </c>
      <c r="E33" s="261">
        <f t="shared" si="6"/>
        <v>0</v>
      </c>
      <c r="F33" s="260">
        <v>10</v>
      </c>
      <c r="G33" s="254">
        <f t="shared" si="7"/>
        <v>0</v>
      </c>
      <c r="H33" s="254"/>
      <c r="I33" s="261">
        <f t="shared" si="1"/>
        <v>0</v>
      </c>
      <c r="J33" s="262" t="s">
        <v>64</v>
      </c>
      <c r="K33" s="263">
        <f t="shared" si="3"/>
        <v>26</v>
      </c>
      <c r="L33" s="264">
        <f t="shared" si="4"/>
        <v>0</v>
      </c>
      <c r="M33" s="258"/>
    </row>
    <row r="34" spans="1:13">
      <c r="A34" s="268" t="s">
        <v>295</v>
      </c>
      <c r="B34" s="260">
        <v>16</v>
      </c>
      <c r="C34" s="254">
        <v>33529</v>
      </c>
      <c r="D34" s="254">
        <f t="shared" si="5"/>
        <v>6370.51</v>
      </c>
      <c r="E34" s="261">
        <f t="shared" si="6"/>
        <v>39899.51</v>
      </c>
      <c r="F34" s="260">
        <v>10</v>
      </c>
      <c r="G34" s="254">
        <f t="shared" si="7"/>
        <v>335290</v>
      </c>
      <c r="H34" s="254"/>
      <c r="I34" s="261">
        <f t="shared" si="1"/>
        <v>335290</v>
      </c>
      <c r="J34" s="262" t="s">
        <v>64</v>
      </c>
      <c r="K34" s="263">
        <f t="shared" si="3"/>
        <v>26</v>
      </c>
      <c r="L34" s="264">
        <f t="shared" si="4"/>
        <v>375189.51</v>
      </c>
      <c r="M34" s="258"/>
    </row>
    <row r="35" spans="1:13">
      <c r="A35" s="268" t="s">
        <v>296</v>
      </c>
      <c r="B35" s="260">
        <v>7</v>
      </c>
      <c r="C35" s="254">
        <v>69664</v>
      </c>
      <c r="D35" s="254">
        <f t="shared" si="5"/>
        <v>13236.16</v>
      </c>
      <c r="E35" s="261">
        <f t="shared" si="6"/>
        <v>82900.160000000003</v>
      </c>
      <c r="F35" s="260">
        <v>5</v>
      </c>
      <c r="G35" s="254">
        <f t="shared" si="7"/>
        <v>348320</v>
      </c>
      <c r="H35" s="254"/>
      <c r="I35" s="261">
        <f t="shared" si="1"/>
        <v>348320</v>
      </c>
      <c r="J35" s="262" t="s">
        <v>297</v>
      </c>
      <c r="K35" s="263">
        <f t="shared" si="3"/>
        <v>12</v>
      </c>
      <c r="L35" s="264">
        <f t="shared" si="4"/>
        <v>431220.16000000003</v>
      </c>
      <c r="M35" s="258"/>
    </row>
    <row r="36" spans="1:13">
      <c r="A36" s="268" t="s">
        <v>298</v>
      </c>
      <c r="B36" s="260">
        <v>16</v>
      </c>
      <c r="C36" s="254">
        <v>7479</v>
      </c>
      <c r="D36" s="254">
        <f t="shared" si="5"/>
        <v>1421.01</v>
      </c>
      <c r="E36" s="261">
        <f t="shared" si="6"/>
        <v>8900.01</v>
      </c>
      <c r="F36" s="260">
        <v>4</v>
      </c>
      <c r="G36" s="254">
        <f t="shared" si="7"/>
        <v>29916</v>
      </c>
      <c r="H36" s="254"/>
      <c r="I36" s="261">
        <f>+G36+H36</f>
        <v>29916</v>
      </c>
      <c r="J36" s="262" t="s">
        <v>297</v>
      </c>
      <c r="K36" s="263">
        <f t="shared" si="3"/>
        <v>20</v>
      </c>
      <c r="L36" s="264">
        <f>+E36+I36</f>
        <v>38816.01</v>
      </c>
      <c r="M36" s="258"/>
    </row>
    <row r="37" spans="1:13">
      <c r="A37" s="270" t="s">
        <v>299</v>
      </c>
      <c r="B37" s="271">
        <v>2</v>
      </c>
      <c r="C37" s="272">
        <v>31849</v>
      </c>
      <c r="D37" s="254">
        <f t="shared" si="5"/>
        <v>6051.31</v>
      </c>
      <c r="E37" s="261">
        <f t="shared" si="6"/>
        <v>37900.31</v>
      </c>
      <c r="F37" s="271">
        <v>1</v>
      </c>
      <c r="G37" s="254">
        <f t="shared" si="7"/>
        <v>31849</v>
      </c>
      <c r="H37" s="272"/>
      <c r="I37" s="273"/>
      <c r="J37" s="274"/>
      <c r="K37" s="275">
        <f t="shared" si="3"/>
        <v>3</v>
      </c>
      <c r="L37" s="276"/>
      <c r="M37" s="277"/>
    </row>
    <row r="38" spans="1:13">
      <c r="A38" s="278" t="s">
        <v>300</v>
      </c>
      <c r="B38" s="279">
        <v>2</v>
      </c>
      <c r="C38" s="280">
        <v>19244</v>
      </c>
      <c r="D38" s="254">
        <f t="shared" si="5"/>
        <v>3656.36</v>
      </c>
      <c r="E38" s="261">
        <f t="shared" si="6"/>
        <v>22900.36</v>
      </c>
      <c r="F38" s="279">
        <v>1</v>
      </c>
      <c r="G38" s="254">
        <f t="shared" si="7"/>
        <v>19244</v>
      </c>
      <c r="H38" s="280"/>
      <c r="I38" s="281"/>
      <c r="J38" s="282"/>
      <c r="K38" s="283">
        <f t="shared" si="3"/>
        <v>3</v>
      </c>
      <c r="L38" s="284"/>
      <c r="M38" s="285"/>
    </row>
    <row r="39" spans="1:13">
      <c r="A39" s="278" t="s">
        <v>301</v>
      </c>
      <c r="B39" s="279">
        <v>2</v>
      </c>
      <c r="C39" s="280">
        <f>45294/1.19</f>
        <v>38062.184873949584</v>
      </c>
      <c r="D39" s="254">
        <f t="shared" si="5"/>
        <v>7231.815126050421</v>
      </c>
      <c r="E39" s="261">
        <f t="shared" si="6"/>
        <v>45294.000000000007</v>
      </c>
      <c r="F39" s="279">
        <v>1</v>
      </c>
      <c r="G39" s="254">
        <f t="shared" si="7"/>
        <v>38062.184873949584</v>
      </c>
      <c r="H39" s="280"/>
      <c r="I39" s="281"/>
      <c r="J39" s="282"/>
      <c r="K39" s="283">
        <f t="shared" si="3"/>
        <v>3</v>
      </c>
      <c r="L39" s="284"/>
      <c r="M39" s="285"/>
    </row>
    <row r="40" spans="1:13" ht="16.5" thickBot="1">
      <c r="A40" s="286" t="s">
        <v>302</v>
      </c>
      <c r="B40" s="287">
        <v>4</v>
      </c>
      <c r="C40" s="288">
        <f>73900/1.19</f>
        <v>62100.840336134454</v>
      </c>
      <c r="D40" s="288">
        <f t="shared" si="5"/>
        <v>11799.159663865546</v>
      </c>
      <c r="E40" s="289">
        <f t="shared" si="6"/>
        <v>73900</v>
      </c>
      <c r="F40" s="287">
        <v>2</v>
      </c>
      <c r="G40" s="288">
        <f t="shared" si="7"/>
        <v>124201.68067226891</v>
      </c>
      <c r="H40" s="288"/>
      <c r="I40" s="289"/>
      <c r="J40" s="290"/>
      <c r="K40" s="291">
        <f t="shared" si="3"/>
        <v>6</v>
      </c>
      <c r="L40" s="292"/>
      <c r="M40" s="293"/>
    </row>
    <row r="42" spans="1:13">
      <c r="A42" s="294"/>
    </row>
    <row r="43" spans="1:13">
      <c r="A43" s="294"/>
    </row>
    <row r="44" spans="1:13">
      <c r="A44" s="294"/>
    </row>
    <row r="45" spans="1:13">
      <c r="A45" s="294"/>
    </row>
    <row r="46" spans="1:13">
      <c r="A46" s="294"/>
    </row>
    <row r="47" spans="1:13">
      <c r="A47" s="294"/>
    </row>
    <row r="48" spans="1:13">
      <c r="A48" s="294"/>
    </row>
    <row r="49" spans="1:1">
      <c r="A49" s="294"/>
    </row>
    <row r="50" spans="1:1">
      <c r="A50" s="294"/>
    </row>
    <row r="51" spans="1:1">
      <c r="A51" s="294"/>
    </row>
    <row r="52" spans="1:1">
      <c r="A52" s="294"/>
    </row>
    <row r="53" spans="1:1">
      <c r="A53" s="294"/>
    </row>
    <row r="54" spans="1:1">
      <c r="A54" s="294"/>
    </row>
    <row r="55" spans="1:1">
      <c r="A55" s="294"/>
    </row>
    <row r="56" spans="1:1">
      <c r="A56" s="294"/>
    </row>
    <row r="57" spans="1:1">
      <c r="A57" s="294"/>
    </row>
    <row r="58" spans="1:1">
      <c r="A58" s="294"/>
    </row>
    <row r="59" spans="1:1">
      <c r="A59" s="294"/>
    </row>
    <row r="60" spans="1:1">
      <c r="A60" s="294"/>
    </row>
    <row r="61" spans="1:1">
      <c r="A61" s="294"/>
    </row>
    <row r="62" spans="1:1">
      <c r="A62" s="294"/>
    </row>
    <row r="63" spans="1:1">
      <c r="A63" s="294"/>
    </row>
    <row r="64" spans="1:1">
      <c r="A64" s="294"/>
    </row>
    <row r="65" spans="1:1">
      <c r="A65" s="294"/>
    </row>
    <row r="66" spans="1:1">
      <c r="A66" s="294"/>
    </row>
    <row r="67" spans="1:1">
      <c r="A67" s="294"/>
    </row>
    <row r="68" spans="1:1">
      <c r="A68" s="294"/>
    </row>
    <row r="69" spans="1:1">
      <c r="A69" s="294"/>
    </row>
    <row r="70" spans="1:1">
      <c r="A70" s="294"/>
    </row>
    <row r="71" spans="1:1">
      <c r="A71" s="294"/>
    </row>
    <row r="72" spans="1:1">
      <c r="A72" s="294"/>
    </row>
    <row r="73" spans="1:1">
      <c r="A73" s="294"/>
    </row>
    <row r="74" spans="1:1">
      <c r="A74" s="294"/>
    </row>
    <row r="75" spans="1:1">
      <c r="A75" s="294"/>
    </row>
    <row r="76" spans="1:1">
      <c r="A76" s="294"/>
    </row>
    <row r="77" spans="1:1">
      <c r="A77" s="294"/>
    </row>
    <row r="78" spans="1:1">
      <c r="A78" s="294"/>
    </row>
    <row r="79" spans="1:1">
      <c r="A79" s="294"/>
    </row>
    <row r="80" spans="1:1">
      <c r="A80" s="294"/>
    </row>
    <row r="81" spans="1:1">
      <c r="A81" s="294"/>
    </row>
    <row r="82" spans="1:1">
      <c r="A82" s="294"/>
    </row>
    <row r="83" spans="1:1">
      <c r="A83" s="294"/>
    </row>
    <row r="84" spans="1:1">
      <c r="A84" s="294"/>
    </row>
    <row r="85" spans="1:1">
      <c r="A85" s="294"/>
    </row>
    <row r="86" spans="1:1">
      <c r="A86" s="294"/>
    </row>
    <row r="87" spans="1:1">
      <c r="A87" s="294"/>
    </row>
    <row r="88" spans="1:1">
      <c r="A88" s="294"/>
    </row>
    <row r="89" spans="1:1">
      <c r="A89" s="294"/>
    </row>
    <row r="90" spans="1:1">
      <c r="A90" s="294"/>
    </row>
    <row r="91" spans="1:1">
      <c r="A91" s="294"/>
    </row>
    <row r="92" spans="1:1">
      <c r="A92" s="294"/>
    </row>
    <row r="93" spans="1:1">
      <c r="A93" s="294"/>
    </row>
    <row r="94" spans="1:1">
      <c r="A94" s="294"/>
    </row>
    <row r="95" spans="1:1">
      <c r="A95" s="294"/>
    </row>
    <row r="96" spans="1:1">
      <c r="A96" s="294"/>
    </row>
    <row r="97" spans="1:1">
      <c r="A97" s="294"/>
    </row>
    <row r="98" spans="1:1">
      <c r="A98" s="294"/>
    </row>
    <row r="99" spans="1:1">
      <c r="A99" s="294"/>
    </row>
    <row r="100" spans="1:1">
      <c r="A100" s="294"/>
    </row>
    <row r="101" spans="1:1">
      <c r="A101" s="294"/>
    </row>
    <row r="102" spans="1:1">
      <c r="A102" s="294"/>
    </row>
    <row r="103" spans="1:1">
      <c r="A103" s="294"/>
    </row>
    <row r="104" spans="1:1">
      <c r="A104" s="294"/>
    </row>
    <row r="105" spans="1:1">
      <c r="A105" s="294"/>
    </row>
    <row r="106" spans="1:1">
      <c r="A106" s="294"/>
    </row>
    <row r="107" spans="1:1">
      <c r="A107" s="294"/>
    </row>
    <row r="108" spans="1:1">
      <c r="A108" s="294"/>
    </row>
    <row r="109" spans="1:1">
      <c r="A109" s="294"/>
    </row>
    <row r="110" spans="1:1">
      <c r="A110" s="294"/>
    </row>
    <row r="111" spans="1:1">
      <c r="A111" s="294"/>
    </row>
    <row r="112" spans="1:1">
      <c r="A112" s="294"/>
    </row>
    <row r="113" spans="1:1">
      <c r="A113" s="294"/>
    </row>
    <row r="114" spans="1:1">
      <c r="A114" s="294"/>
    </row>
    <row r="115" spans="1:1">
      <c r="A115" s="294"/>
    </row>
    <row r="116" spans="1:1">
      <c r="A116" s="294"/>
    </row>
    <row r="117" spans="1:1">
      <c r="A117" s="294"/>
    </row>
    <row r="118" spans="1:1">
      <c r="A118" s="294"/>
    </row>
    <row r="119" spans="1:1">
      <c r="A119" s="294"/>
    </row>
    <row r="120" spans="1:1">
      <c r="A120" s="294"/>
    </row>
    <row r="121" spans="1:1">
      <c r="A121" s="294"/>
    </row>
    <row r="122" spans="1:1">
      <c r="A122" s="294"/>
    </row>
    <row r="123" spans="1:1">
      <c r="A123" s="294"/>
    </row>
    <row r="124" spans="1:1">
      <c r="A124" s="294"/>
    </row>
    <row r="125" spans="1:1">
      <c r="A125" s="294"/>
    </row>
    <row r="126" spans="1:1">
      <c r="A126" s="294"/>
    </row>
    <row r="127" spans="1:1">
      <c r="A127" s="294"/>
    </row>
    <row r="128" spans="1:1">
      <c r="A128" s="294"/>
    </row>
    <row r="129" spans="1:1">
      <c r="A129" s="294"/>
    </row>
    <row r="130" spans="1:1">
      <c r="A130" s="294"/>
    </row>
    <row r="131" spans="1:1">
      <c r="A131" s="294"/>
    </row>
    <row r="132" spans="1:1">
      <c r="A132" s="294"/>
    </row>
    <row r="133" spans="1:1">
      <c r="A133" s="294"/>
    </row>
    <row r="134" spans="1:1">
      <c r="A134" s="294"/>
    </row>
    <row r="135" spans="1:1">
      <c r="A135" s="294"/>
    </row>
    <row r="136" spans="1:1">
      <c r="A136" s="294"/>
    </row>
  </sheetData>
  <mergeCells count="6">
    <mergeCell ref="M2:M3"/>
    <mergeCell ref="B2:E2"/>
    <mergeCell ref="F2:I2"/>
    <mergeCell ref="J2:J3"/>
    <mergeCell ref="K2:K3"/>
    <mergeCell ref="L2:L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V56"/>
  <sheetViews>
    <sheetView zoomScale="80" zoomScaleNormal="80" workbookViewId="0">
      <selection activeCell="J10" sqref="J10"/>
    </sheetView>
  </sheetViews>
  <sheetFormatPr baseColWidth="10" defaultColWidth="11.42578125" defaultRowHeight="14.25"/>
  <cols>
    <col min="1" max="1" width="25.7109375" style="12" bestFit="1" customWidth="1"/>
    <col min="2" max="2" width="17.42578125" style="12" bestFit="1" customWidth="1"/>
    <col min="3" max="5" width="18" style="12" customWidth="1"/>
    <col min="6" max="8" width="18" style="13" customWidth="1"/>
    <col min="9" max="9" width="12.28515625" style="13" customWidth="1"/>
    <col min="10" max="10" width="15" style="13" bestFit="1" customWidth="1"/>
    <col min="11" max="11" width="16.28515625" style="13" bestFit="1" customWidth="1"/>
    <col min="12" max="12" width="16.42578125" style="13" customWidth="1"/>
    <col min="13" max="13" width="14.5703125" style="13" customWidth="1"/>
    <col min="14" max="14" width="26.7109375" style="13" customWidth="1"/>
    <col min="15" max="15" width="20.7109375" style="13" customWidth="1"/>
    <col min="16" max="16" width="5.7109375" style="13" bestFit="1" customWidth="1"/>
    <col min="17" max="17" width="17.28515625" style="13" bestFit="1" customWidth="1"/>
    <col min="18" max="18" width="13.5703125" style="13" bestFit="1" customWidth="1"/>
    <col min="19" max="19" width="27.5703125" style="13" bestFit="1" customWidth="1"/>
    <col min="20" max="20" width="17.7109375" style="13" bestFit="1" customWidth="1"/>
    <col min="21" max="22" width="11.42578125" style="13"/>
    <col min="23" max="16384" width="11.42578125" style="12"/>
  </cols>
  <sheetData>
    <row r="3" spans="1:22"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2" ht="15" thickBot="1"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2" s="16" customFormat="1" ht="40.5" customHeight="1" thickBot="1">
      <c r="A5" s="14" t="s">
        <v>93</v>
      </c>
      <c r="B5" s="557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99</v>
      </c>
      <c r="H5" s="14" t="s">
        <v>100</v>
      </c>
      <c r="I5" s="559" t="s">
        <v>101</v>
      </c>
      <c r="J5" s="560"/>
      <c r="K5" s="561"/>
      <c r="L5" s="14" t="s">
        <v>102</v>
      </c>
      <c r="M5" s="14" t="s">
        <v>103</v>
      </c>
      <c r="N5" s="15" t="s">
        <v>104</v>
      </c>
      <c r="O5" s="557" t="s">
        <v>105</v>
      </c>
      <c r="U5" s="17"/>
      <c r="V5" s="17"/>
    </row>
    <row r="6" spans="1:22" s="16" customFormat="1" ht="33.75" customHeight="1" thickBot="1">
      <c r="A6" s="14" t="s">
        <v>106</v>
      </c>
      <c r="B6" s="558"/>
      <c r="C6" s="18">
        <v>8.3299999999999999E-2</v>
      </c>
      <c r="D6" s="19">
        <v>0.01</v>
      </c>
      <c r="E6" s="18">
        <v>4.1700000000000001E-2</v>
      </c>
      <c r="F6" s="18">
        <v>8.3299999999999999E-2</v>
      </c>
      <c r="G6" s="18">
        <v>8.5000000000000006E-2</v>
      </c>
      <c r="H6" s="19">
        <v>0.12</v>
      </c>
      <c r="I6" s="20" t="s">
        <v>107</v>
      </c>
      <c r="J6" s="21" t="s">
        <v>106</v>
      </c>
      <c r="K6" s="22" t="s">
        <v>108</v>
      </c>
      <c r="L6" s="19">
        <v>0.04</v>
      </c>
      <c r="M6" s="18">
        <v>3.5000000000000003E-2</v>
      </c>
      <c r="N6" s="18" t="s">
        <v>109</v>
      </c>
      <c r="O6" s="558"/>
      <c r="U6" s="17"/>
      <c r="V6" s="17"/>
    </row>
    <row r="7" spans="1:22" ht="15">
      <c r="A7" s="23" t="s">
        <v>110</v>
      </c>
      <c r="B7" s="24">
        <v>2200000</v>
      </c>
      <c r="C7" s="25">
        <f>+B7*$C$6</f>
        <v>183260</v>
      </c>
      <c r="D7" s="26">
        <f>+B7*$D$6</f>
        <v>22000</v>
      </c>
      <c r="E7" s="26">
        <f>+B7*$E$6</f>
        <v>91740</v>
      </c>
      <c r="F7" s="26">
        <f>+B7*$F$6</f>
        <v>183260</v>
      </c>
      <c r="G7" s="26">
        <f>+B7*$G$6</f>
        <v>187000</v>
      </c>
      <c r="H7" s="27">
        <f>+B7*$H$6</f>
        <v>264000</v>
      </c>
      <c r="I7" s="25" t="s">
        <v>111</v>
      </c>
      <c r="J7" s="26" t="str">
        <f>+LOOKUP(I7,A36:A40,B36:B40)</f>
        <v>6.960%</v>
      </c>
      <c r="K7" s="27">
        <f t="shared" ref="K7:K17" si="0">+B7*J7</f>
        <v>153120000</v>
      </c>
      <c r="L7" s="25">
        <f>+B7*$L$6</f>
        <v>88000</v>
      </c>
      <c r="M7" s="27">
        <f>+B7*$M$6</f>
        <v>77000.000000000015</v>
      </c>
      <c r="N7" s="25">
        <v>0</v>
      </c>
      <c r="O7" s="28">
        <f>+B7+C7+D7+E7+F7+G7+H7+K7+L7+M7</f>
        <v>156416260</v>
      </c>
      <c r="P7" s="12"/>
      <c r="Q7" s="12"/>
      <c r="R7" s="12"/>
      <c r="S7" s="12"/>
      <c r="T7" s="12"/>
    </row>
    <row r="8" spans="1:22" ht="15">
      <c r="A8" s="29" t="s">
        <v>56</v>
      </c>
      <c r="B8" s="30">
        <v>2200000</v>
      </c>
      <c r="C8" s="31">
        <f t="shared" ref="C8:C15" si="1">+B8*$C$6</f>
        <v>183260</v>
      </c>
      <c r="D8" s="32">
        <f t="shared" ref="D8:D15" si="2">+B8*$D$6</f>
        <v>22000</v>
      </c>
      <c r="E8" s="32">
        <f t="shared" ref="E8:E15" si="3">+B8*$E$6</f>
        <v>91740</v>
      </c>
      <c r="F8" s="32">
        <f t="shared" ref="F8:F17" si="4">+B8*$F$6</f>
        <v>183260</v>
      </c>
      <c r="G8" s="32">
        <f t="shared" ref="G8:G17" si="5">+B8*$G$6</f>
        <v>187000</v>
      </c>
      <c r="H8" s="33">
        <f t="shared" ref="H8:H17" si="6">+B8*$H$6</f>
        <v>264000</v>
      </c>
      <c r="I8" s="31" t="s">
        <v>111</v>
      </c>
      <c r="J8" s="32" t="str">
        <f>+LOOKUP(I8,A37:A41,B37:B41)</f>
        <v>6.960%</v>
      </c>
      <c r="K8" s="33">
        <f t="shared" si="0"/>
        <v>153120000</v>
      </c>
      <c r="L8" s="31">
        <f t="shared" ref="L8:L17" si="7">+B8*$L$6</f>
        <v>88000</v>
      </c>
      <c r="M8" s="33">
        <f t="shared" ref="M8:M17" si="8">+B8*$M$6</f>
        <v>77000.000000000015</v>
      </c>
      <c r="N8" s="31">
        <v>0</v>
      </c>
      <c r="O8" s="34">
        <f>+B8+C8+D8+E8+F8+G8+H8+K8+L8+M8</f>
        <v>156416260</v>
      </c>
      <c r="P8" s="12"/>
      <c r="Q8" s="12"/>
      <c r="R8" s="12"/>
      <c r="S8" s="12"/>
      <c r="T8" s="12"/>
    </row>
    <row r="9" spans="1:22" ht="15">
      <c r="A9" s="29" t="s">
        <v>112</v>
      </c>
      <c r="B9" s="30">
        <v>1600000</v>
      </c>
      <c r="C9" s="31">
        <f t="shared" si="1"/>
        <v>133280</v>
      </c>
      <c r="D9" s="32">
        <f t="shared" si="2"/>
        <v>16000</v>
      </c>
      <c r="E9" s="32">
        <f t="shared" si="3"/>
        <v>66720</v>
      </c>
      <c r="F9" s="32">
        <f t="shared" si="4"/>
        <v>133280</v>
      </c>
      <c r="G9" s="32">
        <f t="shared" si="5"/>
        <v>136000</v>
      </c>
      <c r="H9" s="33">
        <f t="shared" si="6"/>
        <v>192000</v>
      </c>
      <c r="I9" s="31" t="s">
        <v>111</v>
      </c>
      <c r="J9" s="32" t="str">
        <f t="shared" ref="J9:J17" si="9">+LOOKUP(I9,$A$36:$A$40,$B$36:$B$40)</f>
        <v>6.960%</v>
      </c>
      <c r="K9" s="33">
        <f t="shared" si="0"/>
        <v>111359999.99999999</v>
      </c>
      <c r="L9" s="31">
        <f t="shared" si="7"/>
        <v>64000</v>
      </c>
      <c r="M9" s="33">
        <f t="shared" si="8"/>
        <v>56000.000000000007</v>
      </c>
      <c r="N9" s="31">
        <v>102853</v>
      </c>
      <c r="O9" s="34">
        <f>+B9+C9+D9+E9+F9+G9+H9+K9+L9+M9+N9</f>
        <v>113860132.99999999</v>
      </c>
      <c r="P9" s="12"/>
      <c r="Q9" s="12"/>
      <c r="R9" s="12"/>
      <c r="S9" s="12"/>
      <c r="T9" s="12"/>
    </row>
    <row r="10" spans="1:22" ht="15">
      <c r="A10" s="29" t="s">
        <v>113</v>
      </c>
      <c r="B10" s="30">
        <v>1000000</v>
      </c>
      <c r="C10" s="31">
        <f t="shared" si="1"/>
        <v>83300</v>
      </c>
      <c r="D10" s="32">
        <f t="shared" si="2"/>
        <v>10000</v>
      </c>
      <c r="E10" s="32">
        <f t="shared" si="3"/>
        <v>41700</v>
      </c>
      <c r="F10" s="32">
        <f t="shared" si="4"/>
        <v>83300</v>
      </c>
      <c r="G10" s="32">
        <f t="shared" si="5"/>
        <v>85000</v>
      </c>
      <c r="H10" s="33">
        <f t="shared" si="6"/>
        <v>120000</v>
      </c>
      <c r="I10" s="31" t="s">
        <v>114</v>
      </c>
      <c r="J10" s="32" t="str">
        <f t="shared" si="9"/>
        <v>0.522%</v>
      </c>
      <c r="K10" s="33" t="e">
        <f t="shared" si="0"/>
        <v>#VALUE!</v>
      </c>
      <c r="L10" s="31">
        <f t="shared" si="7"/>
        <v>40000</v>
      </c>
      <c r="M10" s="33">
        <f t="shared" si="8"/>
        <v>35000</v>
      </c>
      <c r="N10" s="31">
        <v>102853</v>
      </c>
      <c r="O10" s="34" t="e">
        <f>+B10+C10+D10+E10+F10+G10+H10+K10+L10+M10+N10</f>
        <v>#VALUE!</v>
      </c>
      <c r="P10" s="12"/>
      <c r="Q10" s="12"/>
      <c r="R10" s="12"/>
      <c r="S10" s="12"/>
      <c r="T10" s="12"/>
    </row>
    <row r="11" spans="1:22" ht="15">
      <c r="A11" s="29" t="s">
        <v>32</v>
      </c>
      <c r="B11" s="30">
        <v>2200000</v>
      </c>
      <c r="C11" s="31">
        <f t="shared" si="1"/>
        <v>183260</v>
      </c>
      <c r="D11" s="32">
        <f t="shared" si="2"/>
        <v>22000</v>
      </c>
      <c r="E11" s="32">
        <f t="shared" si="3"/>
        <v>91740</v>
      </c>
      <c r="F11" s="32">
        <f t="shared" si="4"/>
        <v>183260</v>
      </c>
      <c r="G11" s="32">
        <f t="shared" si="5"/>
        <v>187000</v>
      </c>
      <c r="H11" s="33">
        <f t="shared" si="6"/>
        <v>264000</v>
      </c>
      <c r="I11" s="31" t="s">
        <v>114</v>
      </c>
      <c r="J11" s="32" t="str">
        <f t="shared" si="9"/>
        <v>0.522%</v>
      </c>
      <c r="K11" s="33" t="e">
        <f t="shared" si="0"/>
        <v>#VALUE!</v>
      </c>
      <c r="L11" s="31">
        <f t="shared" si="7"/>
        <v>88000</v>
      </c>
      <c r="M11" s="33">
        <f t="shared" si="8"/>
        <v>77000.000000000015</v>
      </c>
      <c r="N11" s="31">
        <v>0</v>
      </c>
      <c r="O11" s="34" t="e">
        <f>+B11+C11+D11+E11+F11+G11+H11+K11+L11+M11</f>
        <v>#VALUE!</v>
      </c>
      <c r="P11" s="12"/>
      <c r="Q11" s="12"/>
      <c r="R11" s="12"/>
      <c r="S11" s="12"/>
      <c r="T11" s="12"/>
    </row>
    <row r="12" spans="1:22" ht="15">
      <c r="A12" s="35" t="s">
        <v>33</v>
      </c>
      <c r="B12" s="30">
        <v>1200000</v>
      </c>
      <c r="C12" s="31">
        <f t="shared" si="1"/>
        <v>99960</v>
      </c>
      <c r="D12" s="32">
        <f t="shared" si="2"/>
        <v>12000</v>
      </c>
      <c r="E12" s="32">
        <f t="shared" si="3"/>
        <v>50040</v>
      </c>
      <c r="F12" s="32">
        <f t="shared" si="4"/>
        <v>99960</v>
      </c>
      <c r="G12" s="32">
        <f t="shared" si="5"/>
        <v>102000.00000000001</v>
      </c>
      <c r="H12" s="33">
        <f t="shared" si="6"/>
        <v>144000</v>
      </c>
      <c r="I12" s="31" t="s">
        <v>114</v>
      </c>
      <c r="J12" s="32" t="str">
        <f t="shared" si="9"/>
        <v>0.522%</v>
      </c>
      <c r="K12" s="33" t="e">
        <f t="shared" si="0"/>
        <v>#VALUE!</v>
      </c>
      <c r="L12" s="31">
        <f t="shared" si="7"/>
        <v>48000</v>
      </c>
      <c r="M12" s="33">
        <f t="shared" si="8"/>
        <v>42000.000000000007</v>
      </c>
      <c r="N12" s="31">
        <v>102853</v>
      </c>
      <c r="O12" s="34" t="e">
        <f t="shared" ref="O12:O17" si="10">+B12+C12+D12+E12+F12+G12+H12+K12+L12+M12+N12</f>
        <v>#VALUE!</v>
      </c>
      <c r="P12" s="12"/>
      <c r="Q12" s="12"/>
      <c r="R12" s="12"/>
      <c r="S12" s="12"/>
      <c r="T12" s="12"/>
    </row>
    <row r="13" spans="1:22" ht="15">
      <c r="A13" s="35" t="s">
        <v>34</v>
      </c>
      <c r="B13" s="30">
        <v>950000</v>
      </c>
      <c r="C13" s="31">
        <f t="shared" si="1"/>
        <v>79135</v>
      </c>
      <c r="D13" s="32">
        <f t="shared" si="2"/>
        <v>9500</v>
      </c>
      <c r="E13" s="32">
        <f t="shared" si="3"/>
        <v>39615</v>
      </c>
      <c r="F13" s="32">
        <f t="shared" si="4"/>
        <v>79135</v>
      </c>
      <c r="G13" s="32">
        <f t="shared" si="5"/>
        <v>80750</v>
      </c>
      <c r="H13" s="33">
        <f t="shared" si="6"/>
        <v>114000</v>
      </c>
      <c r="I13" s="31" t="s">
        <v>114</v>
      </c>
      <c r="J13" s="32" t="str">
        <f t="shared" si="9"/>
        <v>0.522%</v>
      </c>
      <c r="K13" s="33" t="e">
        <f t="shared" si="0"/>
        <v>#VALUE!</v>
      </c>
      <c r="L13" s="31">
        <f t="shared" si="7"/>
        <v>38000</v>
      </c>
      <c r="M13" s="33">
        <f t="shared" si="8"/>
        <v>33250</v>
      </c>
      <c r="N13" s="31">
        <v>102853</v>
      </c>
      <c r="O13" s="34" t="e">
        <f t="shared" si="10"/>
        <v>#VALUE!</v>
      </c>
      <c r="P13" s="12"/>
      <c r="Q13" s="12"/>
      <c r="R13" s="12"/>
      <c r="S13" s="12"/>
      <c r="T13" s="12"/>
    </row>
    <row r="14" spans="1:22" ht="15">
      <c r="A14" s="29" t="s">
        <v>115</v>
      </c>
      <c r="B14" s="30">
        <v>877803</v>
      </c>
      <c r="C14" s="31">
        <f>+B14*$C$6</f>
        <v>73120.9899</v>
      </c>
      <c r="D14" s="32">
        <f>+B14*$D$6</f>
        <v>8778.0300000000007</v>
      </c>
      <c r="E14" s="32">
        <f>+B14*$E$6</f>
        <v>36604.3851</v>
      </c>
      <c r="F14" s="32">
        <f>+B14*$F$6</f>
        <v>73120.9899</v>
      </c>
      <c r="G14" s="32">
        <f>+B14*$G$6</f>
        <v>74613.255000000005</v>
      </c>
      <c r="H14" s="33">
        <f>+B14*$H$6</f>
        <v>105336.36</v>
      </c>
      <c r="I14" s="31" t="s">
        <v>114</v>
      </c>
      <c r="J14" s="32" t="str">
        <f t="shared" si="9"/>
        <v>0.522%</v>
      </c>
      <c r="K14" s="33" t="e">
        <f t="shared" si="0"/>
        <v>#VALUE!</v>
      </c>
      <c r="L14" s="31">
        <f>+B14*$L$6</f>
        <v>35112.120000000003</v>
      </c>
      <c r="M14" s="33">
        <f>+B14*$M$6</f>
        <v>30723.105000000003</v>
      </c>
      <c r="N14" s="31">
        <v>102853</v>
      </c>
      <c r="O14" s="34" t="e">
        <f t="shared" si="10"/>
        <v>#VALUE!</v>
      </c>
      <c r="P14" s="12"/>
      <c r="Q14" s="12"/>
      <c r="R14" s="12"/>
      <c r="S14" s="12"/>
      <c r="T14" s="12"/>
    </row>
    <row r="15" spans="1:22" ht="15.75" thickBot="1">
      <c r="A15" s="36" t="s">
        <v>57</v>
      </c>
      <c r="B15" s="30">
        <v>877803</v>
      </c>
      <c r="C15" s="31">
        <f t="shared" si="1"/>
        <v>73120.9899</v>
      </c>
      <c r="D15" s="32">
        <f t="shared" si="2"/>
        <v>8778.0300000000007</v>
      </c>
      <c r="E15" s="32">
        <f t="shared" si="3"/>
        <v>36604.3851</v>
      </c>
      <c r="F15" s="32">
        <f t="shared" si="4"/>
        <v>73120.9899</v>
      </c>
      <c r="G15" s="32">
        <f t="shared" si="5"/>
        <v>74613.255000000005</v>
      </c>
      <c r="H15" s="33">
        <f t="shared" si="6"/>
        <v>105336.36</v>
      </c>
      <c r="I15" s="31" t="s">
        <v>111</v>
      </c>
      <c r="J15" s="32" t="str">
        <f t="shared" si="9"/>
        <v>6.960%</v>
      </c>
      <c r="K15" s="33">
        <f t="shared" si="0"/>
        <v>61095088.799999997</v>
      </c>
      <c r="L15" s="31">
        <f t="shared" si="7"/>
        <v>35112.120000000003</v>
      </c>
      <c r="M15" s="33">
        <f t="shared" si="8"/>
        <v>30723.105000000003</v>
      </c>
      <c r="N15" s="31">
        <v>102853</v>
      </c>
      <c r="O15" s="34">
        <f t="shared" si="10"/>
        <v>62513154.034899995</v>
      </c>
      <c r="P15" s="12"/>
      <c r="Q15" s="12"/>
      <c r="R15" s="12"/>
      <c r="S15" s="12"/>
      <c r="T15" s="12"/>
    </row>
    <row r="16" spans="1:22" ht="15">
      <c r="A16" s="37" t="s">
        <v>31</v>
      </c>
      <c r="B16" s="38">
        <v>1500000</v>
      </c>
      <c r="C16" s="38">
        <f>+B16*$C$6</f>
        <v>124950</v>
      </c>
      <c r="D16" s="38">
        <f>+B16*$D$6</f>
        <v>15000</v>
      </c>
      <c r="E16" s="38">
        <f>+B16*$E$6</f>
        <v>62550</v>
      </c>
      <c r="F16" s="38">
        <f t="shared" si="4"/>
        <v>124950</v>
      </c>
      <c r="G16" s="38">
        <f t="shared" si="5"/>
        <v>127500.00000000001</v>
      </c>
      <c r="H16" s="38">
        <f t="shared" si="6"/>
        <v>180000</v>
      </c>
      <c r="I16" s="39" t="s">
        <v>111</v>
      </c>
      <c r="J16" s="40" t="str">
        <f t="shared" si="9"/>
        <v>6.960%</v>
      </c>
      <c r="K16" s="41">
        <f t="shared" si="0"/>
        <v>104399999.99999999</v>
      </c>
      <c r="L16" s="38">
        <f t="shared" si="7"/>
        <v>60000</v>
      </c>
      <c r="M16" s="38">
        <f t="shared" si="8"/>
        <v>52500.000000000007</v>
      </c>
      <c r="N16" s="38">
        <v>102853</v>
      </c>
      <c r="O16" s="42">
        <f t="shared" si="10"/>
        <v>106750302.99999999</v>
      </c>
      <c r="P16" s="12"/>
      <c r="Q16" s="12"/>
      <c r="R16" s="12"/>
      <c r="S16" s="12"/>
      <c r="T16" s="12"/>
    </row>
    <row r="17" spans="1:22" ht="15.75" thickBot="1">
      <c r="A17" s="43" t="s">
        <v>23</v>
      </c>
      <c r="B17" s="44">
        <v>877803</v>
      </c>
      <c r="C17" s="45">
        <f>+B17*$C$6</f>
        <v>73120.9899</v>
      </c>
      <c r="D17" s="45">
        <f>+B17*$D$6</f>
        <v>8778.0300000000007</v>
      </c>
      <c r="E17" s="45">
        <f>+B17*$E$6</f>
        <v>36604.3851</v>
      </c>
      <c r="F17" s="45">
        <f t="shared" si="4"/>
        <v>73120.9899</v>
      </c>
      <c r="G17" s="45">
        <f t="shared" si="5"/>
        <v>74613.255000000005</v>
      </c>
      <c r="H17" s="45">
        <f t="shared" si="6"/>
        <v>105336.36</v>
      </c>
      <c r="I17" s="46" t="s">
        <v>114</v>
      </c>
      <c r="J17" s="47" t="str">
        <f t="shared" si="9"/>
        <v>0.522%</v>
      </c>
      <c r="K17" s="48" t="e">
        <f t="shared" si="0"/>
        <v>#VALUE!</v>
      </c>
      <c r="L17" s="45">
        <f t="shared" si="7"/>
        <v>35112.120000000003</v>
      </c>
      <c r="M17" s="45">
        <f t="shared" si="8"/>
        <v>30723.105000000003</v>
      </c>
      <c r="N17" s="45">
        <v>102853</v>
      </c>
      <c r="O17" s="49" t="e">
        <f t="shared" si="10"/>
        <v>#VALUE!</v>
      </c>
      <c r="P17" s="12"/>
      <c r="Q17" s="12"/>
      <c r="R17" s="12"/>
      <c r="S17" s="12"/>
      <c r="T17" s="12"/>
    </row>
    <row r="18" spans="1:22" ht="34.5" customHeight="1" thickBot="1">
      <c r="F18" s="12"/>
    </row>
    <row r="19" spans="1:22" ht="15.75">
      <c r="A19" s="562" t="s">
        <v>116</v>
      </c>
      <c r="B19" s="563"/>
      <c r="C19" s="563"/>
      <c r="D19" s="564"/>
      <c r="F19" s="12"/>
    </row>
    <row r="20" spans="1:22" ht="15.75">
      <c r="A20" s="50" t="s">
        <v>117</v>
      </c>
      <c r="B20" s="51">
        <v>1656232</v>
      </c>
      <c r="C20" s="52" t="s">
        <v>118</v>
      </c>
      <c r="D20" s="53">
        <f>B20+1</f>
        <v>1656233</v>
      </c>
      <c r="F20" s="12"/>
    </row>
    <row r="21" spans="1:22" ht="15.75" thickBot="1">
      <c r="A21" s="54" t="s">
        <v>119</v>
      </c>
      <c r="B21" s="55" t="s">
        <v>120</v>
      </c>
      <c r="C21" s="55" t="s">
        <v>119</v>
      </c>
      <c r="D21" s="56" t="s">
        <v>120</v>
      </c>
      <c r="F21" s="12"/>
    </row>
    <row r="22" spans="1:22" s="61" customFormat="1" ht="28.5" customHeight="1">
      <c r="A22" s="57" t="s">
        <v>95</v>
      </c>
      <c r="B22" s="58">
        <v>8.3299999999999999E-2</v>
      </c>
      <c r="C22" s="59" t="s">
        <v>95</v>
      </c>
      <c r="D22" s="60">
        <v>8.3299999999999999E-2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 spans="1:22" s="61" customFormat="1" ht="33" customHeight="1">
      <c r="A23" s="63" t="s">
        <v>96</v>
      </c>
      <c r="B23" s="64">
        <v>0.01</v>
      </c>
      <c r="C23" s="65" t="s">
        <v>96</v>
      </c>
      <c r="D23" s="66">
        <v>0.01</v>
      </c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22" s="61" customFormat="1" ht="28.5" customHeight="1">
      <c r="A24" s="63" t="s">
        <v>97</v>
      </c>
      <c r="B24" s="67">
        <v>4.1700000000000001E-2</v>
      </c>
      <c r="C24" s="65" t="s">
        <v>97</v>
      </c>
      <c r="D24" s="68">
        <v>4.1700000000000001E-2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</row>
    <row r="25" spans="1:22" s="61" customFormat="1" ht="28.5" customHeight="1">
      <c r="A25" s="63" t="s">
        <v>98</v>
      </c>
      <c r="B25" s="67">
        <v>8.3299999999999999E-2</v>
      </c>
      <c r="C25" s="65" t="s">
        <v>98</v>
      </c>
      <c r="D25" s="68">
        <v>8.3299999999999999E-2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</row>
    <row r="26" spans="1:22" s="61" customFormat="1" ht="28.5" customHeight="1">
      <c r="A26" s="63" t="s">
        <v>99</v>
      </c>
      <c r="B26" s="67">
        <v>8.5000000000000006E-2</v>
      </c>
      <c r="C26" s="65" t="s">
        <v>99</v>
      </c>
      <c r="D26" s="68">
        <v>8.5000000000000006E-2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</row>
    <row r="27" spans="1:22" s="61" customFormat="1" ht="28.5" customHeight="1">
      <c r="A27" s="63" t="s">
        <v>100</v>
      </c>
      <c r="B27" s="64">
        <v>0.12</v>
      </c>
      <c r="C27" s="65" t="s">
        <v>100</v>
      </c>
      <c r="D27" s="66">
        <v>0.12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 s="61" customFormat="1" ht="28.5" customHeight="1">
      <c r="A28" s="63" t="s">
        <v>101</v>
      </c>
      <c r="B28" s="67">
        <v>6.9599999999999995E-2</v>
      </c>
      <c r="C28" s="65" t="s">
        <v>101</v>
      </c>
      <c r="D28" s="68">
        <v>6.9599999999999995E-2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s="61" customFormat="1" ht="28.5" customHeight="1">
      <c r="A29" s="63" t="s">
        <v>102</v>
      </c>
      <c r="B29" s="64">
        <v>0.04</v>
      </c>
      <c r="C29" s="65" t="s">
        <v>102</v>
      </c>
      <c r="D29" s="66">
        <v>0.04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 s="61" customFormat="1" ht="28.5" customHeight="1">
      <c r="A30" s="63" t="s">
        <v>103</v>
      </c>
      <c r="B30" s="67">
        <v>3.5000000000000003E-2</v>
      </c>
      <c r="C30" s="65" t="s">
        <v>103</v>
      </c>
      <c r="D30" s="68">
        <v>3.5000000000000003E-2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</row>
    <row r="31" spans="1:22" s="61" customFormat="1" ht="28.5" customHeight="1" thickBot="1">
      <c r="A31" s="69" t="s">
        <v>121</v>
      </c>
      <c r="B31" s="70"/>
      <c r="C31" s="71" t="s">
        <v>121</v>
      </c>
      <c r="D31" s="72">
        <v>0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</row>
    <row r="32" spans="1:22" ht="16.5" thickBot="1">
      <c r="A32" s="73" t="s">
        <v>8</v>
      </c>
      <c r="B32" s="74">
        <f>SUM(B22:B31)</f>
        <v>0.56790000000000007</v>
      </c>
      <c r="C32" s="75" t="s">
        <v>8</v>
      </c>
      <c r="D32" s="76">
        <f>SUM(D22:D31)</f>
        <v>0.56790000000000007</v>
      </c>
    </row>
    <row r="33" spans="1:8" ht="16.5" thickBot="1">
      <c r="A33" s="77"/>
      <c r="B33" s="78"/>
      <c r="C33" s="77"/>
      <c r="D33" s="78"/>
    </row>
    <row r="34" spans="1:8" ht="29.25" customHeight="1">
      <c r="A34" s="79" t="s">
        <v>122</v>
      </c>
      <c r="B34" s="565" t="s">
        <v>123</v>
      </c>
      <c r="C34" s="566"/>
      <c r="D34" s="80"/>
    </row>
    <row r="35" spans="1:8" s="13" customFormat="1" ht="15.75">
      <c r="A35" s="81" t="s">
        <v>107</v>
      </c>
      <c r="B35" s="82" t="s">
        <v>124</v>
      </c>
      <c r="C35" s="83" t="s">
        <v>125</v>
      </c>
      <c r="D35" s="78"/>
      <c r="E35" s="12"/>
    </row>
    <row r="36" spans="1:8" s="13" customFormat="1" ht="15.75">
      <c r="A36" s="81" t="s">
        <v>114</v>
      </c>
      <c r="B36" s="84" t="s">
        <v>126</v>
      </c>
      <c r="C36" s="85" t="s">
        <v>127</v>
      </c>
      <c r="D36" s="78"/>
      <c r="E36" s="12"/>
    </row>
    <row r="37" spans="1:8" s="13" customFormat="1" ht="15.75">
      <c r="A37" s="81" t="s">
        <v>128</v>
      </c>
      <c r="B37" s="84" t="s">
        <v>129</v>
      </c>
      <c r="C37" s="85" t="s">
        <v>130</v>
      </c>
      <c r="D37" s="78"/>
      <c r="E37" s="12"/>
    </row>
    <row r="38" spans="1:8" s="13" customFormat="1" ht="15.75">
      <c r="A38" s="81" t="s">
        <v>131</v>
      </c>
      <c r="B38" s="84" t="s">
        <v>132</v>
      </c>
      <c r="C38" s="85" t="s">
        <v>133</v>
      </c>
      <c r="D38" s="78"/>
      <c r="E38" s="12"/>
    </row>
    <row r="39" spans="1:8" s="13" customFormat="1" ht="15.75">
      <c r="A39" s="81" t="s">
        <v>134</v>
      </c>
      <c r="B39" s="84" t="s">
        <v>135</v>
      </c>
      <c r="C39" s="85" t="s">
        <v>136</v>
      </c>
      <c r="D39" s="78"/>
      <c r="E39" s="12"/>
    </row>
    <row r="40" spans="1:8" s="13" customFormat="1" ht="16.5" thickBot="1">
      <c r="A40" s="86" t="s">
        <v>111</v>
      </c>
      <c r="B40" s="87" t="s">
        <v>137</v>
      </c>
      <c r="C40" s="88" t="s">
        <v>138</v>
      </c>
      <c r="D40" s="78"/>
      <c r="E40" s="12"/>
    </row>
    <row r="41" spans="1:8" s="13" customFormat="1" ht="16.5" thickBot="1">
      <c r="A41" s="78"/>
      <c r="B41" s="77"/>
      <c r="C41" s="78"/>
      <c r="D41" s="78"/>
      <c r="E41" s="12"/>
    </row>
    <row r="42" spans="1:8" s="13" customFormat="1" ht="15.75">
      <c r="A42" s="89" t="s">
        <v>139</v>
      </c>
      <c r="B42" s="90">
        <v>877803</v>
      </c>
      <c r="C42" s="78"/>
      <c r="D42" s="78"/>
      <c r="E42" s="12"/>
    </row>
    <row r="43" spans="1:8" s="13" customFormat="1" ht="16.5" thickBot="1">
      <c r="A43" s="54" t="s">
        <v>140</v>
      </c>
      <c r="B43" s="91">
        <v>102854</v>
      </c>
      <c r="C43" s="77"/>
      <c r="D43" s="78"/>
      <c r="E43" s="12"/>
    </row>
    <row r="45" spans="1:8" s="13" customFormat="1" ht="15" thickBot="1">
      <c r="A45" s="12"/>
      <c r="B45" s="12"/>
      <c r="C45" s="12"/>
      <c r="D45" s="12"/>
      <c r="E45" s="12"/>
    </row>
    <row r="46" spans="1:8" s="93" customFormat="1" ht="24.75" customHeight="1" thickBot="1">
      <c r="A46" s="554" t="s">
        <v>141</v>
      </c>
      <c r="B46" s="555"/>
      <c r="C46" s="556"/>
      <c r="D46" s="92"/>
      <c r="E46" s="92"/>
      <c r="F46" s="92"/>
      <c r="G46" s="92"/>
      <c r="H46" s="92"/>
    </row>
    <row r="47" spans="1:8" s="97" customFormat="1" ht="50.25" customHeight="1" thickBot="1">
      <c r="A47" s="94" t="s">
        <v>39</v>
      </c>
      <c r="B47" s="95" t="s">
        <v>142</v>
      </c>
      <c r="C47" s="96" t="s">
        <v>143</v>
      </c>
    </row>
    <row r="48" spans="1:8" s="93" customFormat="1" ht="19.5" customHeight="1">
      <c r="A48" s="98" t="s">
        <v>144</v>
      </c>
      <c r="B48" s="99">
        <v>12</v>
      </c>
      <c r="C48" s="100">
        <v>5</v>
      </c>
      <c r="E48" s="101"/>
      <c r="F48" s="102"/>
    </row>
    <row r="49" spans="1:6" s="93" customFormat="1" ht="19.5" customHeight="1">
      <c r="A49" s="103" t="s">
        <v>145</v>
      </c>
      <c r="B49" s="104">
        <v>150</v>
      </c>
      <c r="C49" s="105">
        <v>360</v>
      </c>
      <c r="E49" s="101"/>
      <c r="F49" s="102"/>
    </row>
    <row r="50" spans="1:6" s="13" customFormat="1">
      <c r="A50" s="106" t="s">
        <v>146</v>
      </c>
      <c r="B50" s="107">
        <v>33000</v>
      </c>
      <c r="C50" s="108">
        <v>33000</v>
      </c>
    </row>
    <row r="51" spans="1:6">
      <c r="A51" s="103" t="s">
        <v>147</v>
      </c>
      <c r="B51" s="107">
        <f>+B50/B49/B48</f>
        <v>18.333333333333332</v>
      </c>
      <c r="C51" s="108">
        <f>+C50/C49/C48</f>
        <v>18.333333333333336</v>
      </c>
    </row>
    <row r="52" spans="1:6">
      <c r="A52" s="106" t="s">
        <v>148</v>
      </c>
      <c r="B52" s="109">
        <v>650</v>
      </c>
      <c r="C52" s="110">
        <v>120</v>
      </c>
    </row>
    <row r="53" spans="1:6" ht="45.75" customHeight="1">
      <c r="A53" s="106" t="s">
        <v>149</v>
      </c>
      <c r="B53" s="109">
        <f>+B50*B52</f>
        <v>21450000</v>
      </c>
      <c r="C53" s="110">
        <f>+C50*C52</f>
        <v>3960000</v>
      </c>
    </row>
    <row r="54" spans="1:6">
      <c r="A54" s="106" t="s">
        <v>150</v>
      </c>
      <c r="B54" s="109">
        <v>280896.96000000002</v>
      </c>
      <c r="C54" s="110">
        <v>280896.96000000002</v>
      </c>
    </row>
    <row r="55" spans="1:6" ht="15" thickBot="1">
      <c r="A55" s="106" t="s">
        <v>151</v>
      </c>
      <c r="B55" s="109">
        <f>+B54*B48</f>
        <v>3370763.5200000005</v>
      </c>
      <c r="C55" s="110">
        <f>+C54*C48</f>
        <v>1404484.8</v>
      </c>
    </row>
    <row r="56" spans="1:6" ht="27" customHeight="1" thickBot="1">
      <c r="A56" s="111" t="s">
        <v>8</v>
      </c>
      <c r="B56" s="112">
        <f>+B53+B55</f>
        <v>24820763.52</v>
      </c>
      <c r="C56" s="113">
        <f>+C53+C55</f>
        <v>5364484.8</v>
      </c>
    </row>
  </sheetData>
  <mergeCells count="6">
    <mergeCell ref="A46:C46"/>
    <mergeCell ref="B5:B6"/>
    <mergeCell ref="I5:K5"/>
    <mergeCell ref="O5:O6"/>
    <mergeCell ref="A19:D19"/>
    <mergeCell ref="B34:C34"/>
  </mergeCells>
  <conditionalFormatting sqref="F27:F28 A7:A15">
    <cfRule type="duplicateValues" dxfId="1" priority="2"/>
  </conditionalFormatting>
  <conditionalFormatting sqref="A16:A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Q28"/>
  <sheetViews>
    <sheetView topLeftCell="A10" workbookViewId="0">
      <selection activeCell="J10" sqref="J10"/>
    </sheetView>
  </sheetViews>
  <sheetFormatPr baseColWidth="10" defaultRowHeight="15"/>
  <sheetData>
    <row r="1" spans="2:17" ht="15.75" thickBot="1"/>
    <row r="2" spans="2:17">
      <c r="B2" s="164"/>
      <c r="C2" s="165"/>
      <c r="D2" s="165"/>
      <c r="E2" s="165"/>
      <c r="F2" s="165"/>
      <c r="G2" s="165"/>
      <c r="H2" s="165"/>
      <c r="I2" s="166"/>
      <c r="J2" s="164"/>
      <c r="K2" s="165"/>
      <c r="L2" s="165"/>
      <c r="M2" s="165"/>
      <c r="N2" s="165"/>
      <c r="O2" s="165"/>
      <c r="P2" s="165"/>
      <c r="Q2" s="166"/>
    </row>
    <row r="3" spans="2:17">
      <c r="B3" s="167"/>
      <c r="C3" s="168"/>
      <c r="D3" s="168"/>
      <c r="E3" s="168"/>
      <c r="F3" s="168"/>
      <c r="G3" s="168"/>
      <c r="H3" s="168"/>
      <c r="I3" s="169"/>
      <c r="J3" s="167"/>
      <c r="K3" s="168"/>
      <c r="L3" s="168"/>
      <c r="M3" s="168"/>
      <c r="N3" s="168"/>
      <c r="O3" s="168"/>
      <c r="P3" s="168"/>
      <c r="Q3" s="169"/>
    </row>
    <row r="4" spans="2:17">
      <c r="B4" s="167"/>
      <c r="C4" s="168"/>
      <c r="D4" s="168"/>
      <c r="E4" s="168"/>
      <c r="F4" s="168"/>
      <c r="G4" s="168"/>
      <c r="H4" s="168"/>
      <c r="I4" s="169"/>
      <c r="J4" s="167"/>
      <c r="K4" s="168"/>
      <c r="L4" s="168"/>
      <c r="M4" s="168"/>
      <c r="N4" s="168"/>
      <c r="O4" s="168"/>
      <c r="P4" s="168"/>
      <c r="Q4" s="169"/>
    </row>
    <row r="5" spans="2:17">
      <c r="B5" s="167"/>
      <c r="C5" s="168"/>
      <c r="D5" s="168"/>
      <c r="E5" s="168"/>
      <c r="F5" s="168"/>
      <c r="G5" s="168"/>
      <c r="H5" s="168"/>
      <c r="I5" s="169"/>
      <c r="J5" s="167"/>
      <c r="K5" s="168"/>
      <c r="L5" s="168"/>
      <c r="M5" s="168"/>
      <c r="N5" s="168"/>
      <c r="O5" s="168"/>
      <c r="P5" s="168"/>
      <c r="Q5" s="169"/>
    </row>
    <row r="6" spans="2:17">
      <c r="B6" s="167"/>
      <c r="C6" s="168"/>
      <c r="D6" s="168"/>
      <c r="E6" s="168"/>
      <c r="F6" s="168"/>
      <c r="G6" s="168"/>
      <c r="H6" s="168"/>
      <c r="I6" s="169"/>
      <c r="J6" s="167"/>
      <c r="K6" s="168"/>
      <c r="L6" s="168"/>
      <c r="M6" s="168"/>
      <c r="N6" s="168"/>
      <c r="O6" s="168"/>
      <c r="P6" s="168"/>
      <c r="Q6" s="169"/>
    </row>
    <row r="7" spans="2:17">
      <c r="B7" s="167"/>
      <c r="C7" s="168"/>
      <c r="D7" s="168"/>
      <c r="E7" s="168"/>
      <c r="F7" s="168"/>
      <c r="G7" s="168"/>
      <c r="H7" s="168"/>
      <c r="I7" s="169"/>
      <c r="J7" s="167"/>
      <c r="K7" s="168"/>
      <c r="L7" s="168"/>
      <c r="M7" s="168"/>
      <c r="N7" s="168"/>
      <c r="O7" s="168"/>
      <c r="P7" s="168"/>
      <c r="Q7" s="169"/>
    </row>
    <row r="8" spans="2:17">
      <c r="B8" s="167"/>
      <c r="C8" s="168"/>
      <c r="D8" s="168"/>
      <c r="E8" s="168"/>
      <c r="F8" s="168"/>
      <c r="G8" s="168"/>
      <c r="H8" s="168"/>
      <c r="I8" s="169"/>
      <c r="J8" s="167"/>
      <c r="K8" s="168"/>
      <c r="L8" s="168"/>
      <c r="M8" s="168"/>
      <c r="N8" s="168"/>
      <c r="O8" s="168"/>
      <c r="P8" s="168"/>
      <c r="Q8" s="169"/>
    </row>
    <row r="9" spans="2:17">
      <c r="B9" s="167"/>
      <c r="C9" s="168"/>
      <c r="D9" s="168"/>
      <c r="E9" s="168"/>
      <c r="F9" s="168"/>
      <c r="G9" s="168"/>
      <c r="H9" s="168"/>
      <c r="I9" s="169"/>
      <c r="J9" s="167"/>
      <c r="K9" s="168"/>
      <c r="L9" s="168"/>
      <c r="M9" s="168"/>
      <c r="N9" s="168"/>
      <c r="O9" s="168"/>
      <c r="P9" s="168"/>
      <c r="Q9" s="169"/>
    </row>
    <row r="10" spans="2:17">
      <c r="B10" s="167"/>
      <c r="C10" s="168"/>
      <c r="D10" s="168"/>
      <c r="E10" s="168"/>
      <c r="F10" s="168"/>
      <c r="G10" s="168"/>
      <c r="H10" s="168"/>
      <c r="I10" s="169"/>
      <c r="J10" s="167"/>
      <c r="K10" s="168"/>
      <c r="L10" s="168"/>
      <c r="M10" s="168"/>
      <c r="N10" s="168"/>
      <c r="O10" s="168"/>
      <c r="P10" s="168"/>
      <c r="Q10" s="169"/>
    </row>
    <row r="11" spans="2:17">
      <c r="B11" s="167"/>
      <c r="C11" s="168"/>
      <c r="D11" s="168"/>
      <c r="E11" s="168"/>
      <c r="F11" s="168"/>
      <c r="G11" s="168"/>
      <c r="H11" s="168"/>
      <c r="I11" s="169"/>
      <c r="J11" s="167"/>
      <c r="K11" s="168"/>
      <c r="L11" s="168"/>
      <c r="M11" s="168"/>
      <c r="N11" s="168"/>
      <c r="O11" s="168"/>
      <c r="P11" s="168"/>
      <c r="Q11" s="169"/>
    </row>
    <row r="12" spans="2:17">
      <c r="B12" s="167"/>
      <c r="C12" s="168"/>
      <c r="D12" s="168"/>
      <c r="E12" s="168"/>
      <c r="F12" s="168"/>
      <c r="G12" s="168"/>
      <c r="H12" s="168"/>
      <c r="I12" s="169"/>
      <c r="J12" s="167"/>
      <c r="K12" s="168"/>
      <c r="L12" s="168"/>
      <c r="M12" s="168"/>
      <c r="N12" s="168"/>
      <c r="O12" s="168"/>
      <c r="P12" s="168"/>
      <c r="Q12" s="169"/>
    </row>
    <row r="13" spans="2:17">
      <c r="B13" s="167"/>
      <c r="C13" s="168"/>
      <c r="D13" s="168"/>
      <c r="E13" s="168"/>
      <c r="F13" s="168"/>
      <c r="G13" s="168"/>
      <c r="H13" s="168"/>
      <c r="I13" s="169"/>
      <c r="J13" s="167"/>
      <c r="K13" s="168"/>
      <c r="L13" s="168"/>
      <c r="M13" s="168"/>
      <c r="N13" s="168"/>
      <c r="O13" s="168"/>
      <c r="P13" s="168"/>
      <c r="Q13" s="169"/>
    </row>
    <row r="14" spans="2:17">
      <c r="B14" s="167"/>
      <c r="C14" s="168"/>
      <c r="D14" s="168"/>
      <c r="E14" s="168"/>
      <c r="F14" s="168"/>
      <c r="G14" s="168"/>
      <c r="H14" s="168"/>
      <c r="I14" s="169"/>
      <c r="J14" s="167"/>
      <c r="K14" s="168"/>
      <c r="L14" s="168"/>
      <c r="M14" s="168"/>
      <c r="N14" s="168"/>
      <c r="O14" s="168"/>
      <c r="P14" s="168"/>
      <c r="Q14" s="169"/>
    </row>
    <row r="15" spans="2:17">
      <c r="B15" s="167"/>
      <c r="C15" s="168"/>
      <c r="D15" s="168"/>
      <c r="E15" s="168"/>
      <c r="F15" s="168"/>
      <c r="G15" s="168"/>
      <c r="H15" s="168"/>
      <c r="I15" s="169"/>
      <c r="J15" s="167"/>
      <c r="K15" s="168"/>
      <c r="L15" s="168"/>
      <c r="M15" s="168"/>
      <c r="N15" s="168"/>
      <c r="O15" s="168"/>
      <c r="P15" s="168"/>
      <c r="Q15" s="169"/>
    </row>
    <row r="16" spans="2:17">
      <c r="B16" s="167"/>
      <c r="C16" s="168"/>
      <c r="D16" s="168"/>
      <c r="E16" s="168"/>
      <c r="F16" s="168"/>
      <c r="G16" s="168"/>
      <c r="H16" s="168"/>
      <c r="I16" s="169"/>
      <c r="J16" s="167"/>
      <c r="K16" s="168"/>
      <c r="L16" s="168"/>
      <c r="M16" s="168"/>
      <c r="N16" s="168"/>
      <c r="O16" s="168"/>
      <c r="P16" s="168"/>
      <c r="Q16" s="169"/>
    </row>
    <row r="17" spans="2:17">
      <c r="B17" s="167"/>
      <c r="C17" s="168"/>
      <c r="D17" s="168"/>
      <c r="E17" s="168"/>
      <c r="F17" s="168"/>
      <c r="G17" s="168"/>
      <c r="H17" s="168"/>
      <c r="I17" s="169"/>
      <c r="J17" s="167"/>
      <c r="K17" s="168"/>
      <c r="L17" s="168"/>
      <c r="M17" s="168"/>
      <c r="N17" s="168"/>
      <c r="O17" s="168"/>
      <c r="P17" s="168"/>
      <c r="Q17" s="169"/>
    </row>
    <row r="18" spans="2:17">
      <c r="B18" s="167"/>
      <c r="C18" s="168"/>
      <c r="D18" s="168"/>
      <c r="E18" s="168"/>
      <c r="F18" s="168"/>
      <c r="G18" s="168"/>
      <c r="H18" s="168"/>
      <c r="I18" s="169"/>
      <c r="J18" s="167"/>
      <c r="K18" s="168"/>
      <c r="L18" s="168"/>
      <c r="M18" s="168"/>
      <c r="N18" s="168"/>
      <c r="O18" s="168"/>
      <c r="P18" s="168"/>
      <c r="Q18" s="169"/>
    </row>
    <row r="19" spans="2:17">
      <c r="B19" s="167"/>
      <c r="C19" s="168"/>
      <c r="D19" s="168"/>
      <c r="E19" s="168"/>
      <c r="F19" s="168"/>
      <c r="G19" s="168"/>
      <c r="H19" s="168"/>
      <c r="I19" s="169"/>
      <c r="J19" s="167"/>
      <c r="K19" s="168"/>
      <c r="L19" s="168"/>
      <c r="M19" s="168"/>
      <c r="N19" s="168"/>
      <c r="O19" s="168"/>
      <c r="P19" s="168"/>
      <c r="Q19" s="169"/>
    </row>
    <row r="20" spans="2:17">
      <c r="B20" s="167"/>
      <c r="C20" s="168"/>
      <c r="D20" s="168"/>
      <c r="E20" s="168"/>
      <c r="F20" s="168"/>
      <c r="G20" s="168"/>
      <c r="H20" s="168"/>
      <c r="I20" s="169"/>
      <c r="J20" s="167"/>
      <c r="K20" s="168"/>
      <c r="L20" s="168"/>
      <c r="M20" s="168"/>
      <c r="N20" s="168"/>
      <c r="O20" s="168"/>
      <c r="P20" s="168"/>
      <c r="Q20" s="169"/>
    </row>
    <row r="21" spans="2:17">
      <c r="B21" s="167"/>
      <c r="C21" s="168"/>
      <c r="D21" s="168"/>
      <c r="E21" s="168"/>
      <c r="F21" s="168"/>
      <c r="G21" s="168"/>
      <c r="H21" s="168"/>
      <c r="I21" s="169"/>
      <c r="J21" s="167"/>
      <c r="K21" s="168"/>
      <c r="L21" s="168"/>
      <c r="M21" s="168"/>
      <c r="N21" s="168"/>
      <c r="O21" s="168"/>
      <c r="P21" s="168"/>
      <c r="Q21" s="169"/>
    </row>
    <row r="22" spans="2:17">
      <c r="B22" s="167"/>
      <c r="C22" s="168"/>
      <c r="D22" s="168"/>
      <c r="E22" s="168"/>
      <c r="F22" s="168"/>
      <c r="G22" s="168"/>
      <c r="H22" s="168"/>
      <c r="I22" s="169"/>
      <c r="J22" s="167"/>
      <c r="K22" s="168"/>
      <c r="L22" s="168"/>
      <c r="M22" s="168"/>
      <c r="N22" s="168"/>
      <c r="O22" s="168"/>
      <c r="P22" s="168"/>
      <c r="Q22" s="169"/>
    </row>
    <row r="23" spans="2:17">
      <c r="B23" s="167"/>
      <c r="C23" s="168"/>
      <c r="D23" s="168"/>
      <c r="E23" s="168"/>
      <c r="F23" s="168"/>
      <c r="G23" s="168"/>
      <c r="H23" s="168"/>
      <c r="I23" s="169"/>
      <c r="J23" s="167"/>
      <c r="K23" s="168"/>
      <c r="L23" s="168"/>
      <c r="M23" s="168"/>
      <c r="N23" s="168"/>
      <c r="O23" s="168"/>
      <c r="P23" s="168"/>
      <c r="Q23" s="169"/>
    </row>
    <row r="24" spans="2:17">
      <c r="B24" s="167"/>
      <c r="C24" s="168"/>
      <c r="D24" s="168"/>
      <c r="E24" s="168"/>
      <c r="F24" s="168"/>
      <c r="G24" s="168"/>
      <c r="H24" s="168"/>
      <c r="I24" s="169"/>
      <c r="J24" s="167"/>
      <c r="K24" s="168"/>
      <c r="L24" s="168"/>
      <c r="M24" s="168"/>
      <c r="N24" s="168"/>
      <c r="O24" s="168"/>
      <c r="P24" s="168"/>
      <c r="Q24" s="169"/>
    </row>
    <row r="25" spans="2:17">
      <c r="B25" s="167"/>
      <c r="C25" s="168"/>
      <c r="D25" s="168"/>
      <c r="E25" s="168"/>
      <c r="F25" s="168"/>
      <c r="G25" s="168"/>
      <c r="H25" s="168"/>
      <c r="I25" s="169"/>
      <c r="J25" s="167"/>
      <c r="K25" s="168"/>
      <c r="L25" s="168"/>
      <c r="M25" s="168"/>
      <c r="N25" s="168"/>
      <c r="O25" s="168"/>
      <c r="P25" s="168"/>
      <c r="Q25" s="169"/>
    </row>
    <row r="26" spans="2:17">
      <c r="B26" s="167"/>
      <c r="C26" s="168"/>
      <c r="D26" s="168"/>
      <c r="E26" s="168"/>
      <c r="F26" s="168"/>
      <c r="G26" s="168"/>
      <c r="H26" s="168"/>
      <c r="I26" s="169"/>
      <c r="J26" s="167"/>
      <c r="K26" s="168"/>
      <c r="L26" s="168"/>
      <c r="M26" s="168"/>
      <c r="N26" s="168"/>
      <c r="O26" s="168"/>
      <c r="P26" s="168"/>
      <c r="Q26" s="169"/>
    </row>
    <row r="27" spans="2:17">
      <c r="B27" s="167"/>
      <c r="C27" s="168"/>
      <c r="D27" s="168"/>
      <c r="E27" s="168"/>
      <c r="F27" s="168"/>
      <c r="G27" s="168"/>
      <c r="H27" s="168"/>
      <c r="I27" s="169"/>
      <c r="J27" s="167"/>
      <c r="K27" s="168"/>
      <c r="L27" s="168"/>
      <c r="M27" s="168"/>
      <c r="N27" s="168"/>
      <c r="O27" s="168"/>
      <c r="P27" s="168"/>
      <c r="Q27" s="169"/>
    </row>
    <row r="28" spans="2:17" ht="15.75" thickBot="1">
      <c r="B28" s="170"/>
      <c r="C28" s="171"/>
      <c r="D28" s="171"/>
      <c r="E28" s="171"/>
      <c r="F28" s="171"/>
      <c r="G28" s="171"/>
      <c r="H28" s="171"/>
      <c r="I28" s="172"/>
      <c r="J28" s="170"/>
      <c r="K28" s="171"/>
      <c r="L28" s="171"/>
      <c r="M28" s="171"/>
      <c r="N28" s="171"/>
      <c r="O28" s="171"/>
      <c r="P28" s="171"/>
      <c r="Q28" s="17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28"/>
  <sheetViews>
    <sheetView topLeftCell="B202" workbookViewId="0">
      <selection activeCell="F228" sqref="F228"/>
    </sheetView>
  </sheetViews>
  <sheetFormatPr baseColWidth="10" defaultRowHeight="15"/>
  <cols>
    <col min="3" max="3" width="51.85546875" customWidth="1"/>
    <col min="4" max="4" width="11.42578125" style="424"/>
    <col min="6" max="6" width="12.85546875" style="304" customWidth="1"/>
  </cols>
  <sheetData>
    <row r="2" spans="2:6">
      <c r="B2" t="s">
        <v>392</v>
      </c>
      <c r="C2" s="421" t="s">
        <v>393</v>
      </c>
      <c r="D2" s="422" t="s">
        <v>394</v>
      </c>
      <c r="E2" s="421" t="s">
        <v>5</v>
      </c>
      <c r="F2" s="423" t="s">
        <v>395</v>
      </c>
    </row>
    <row r="3" spans="2:6" s="315" customFormat="1">
      <c r="C3" s="315" t="s">
        <v>642</v>
      </c>
      <c r="D3" s="424" t="s">
        <v>642</v>
      </c>
      <c r="E3" s="315" t="s">
        <v>642</v>
      </c>
      <c r="F3" s="316">
        <v>0</v>
      </c>
    </row>
    <row r="4" spans="2:6" s="315" customFormat="1">
      <c r="C4" s="301" t="s">
        <v>693</v>
      </c>
      <c r="D4" s="425">
        <v>149</v>
      </c>
      <c r="E4" s="315" t="s">
        <v>64</v>
      </c>
      <c r="F4" s="316">
        <v>135000</v>
      </c>
    </row>
    <row r="5" spans="2:6">
      <c r="C5" s="301" t="s">
        <v>477</v>
      </c>
      <c r="D5" s="425">
        <v>151</v>
      </c>
      <c r="E5" t="s">
        <v>64</v>
      </c>
      <c r="F5" s="304">
        <v>45000</v>
      </c>
    </row>
    <row r="6" spans="2:6">
      <c r="C6" s="301" t="s">
        <v>478</v>
      </c>
      <c r="D6" s="425">
        <v>153</v>
      </c>
      <c r="E6" t="s">
        <v>64</v>
      </c>
      <c r="F6" s="304">
        <v>45000</v>
      </c>
    </row>
    <row r="7" spans="2:6">
      <c r="C7" s="301" t="s">
        <v>479</v>
      </c>
      <c r="D7" s="425">
        <v>156</v>
      </c>
      <c r="E7" t="s">
        <v>64</v>
      </c>
      <c r="F7" s="304">
        <v>6406</v>
      </c>
    </row>
    <row r="8" spans="2:6">
      <c r="C8" s="301" t="s">
        <v>379</v>
      </c>
      <c r="D8" s="425">
        <v>148</v>
      </c>
      <c r="E8" t="s">
        <v>64</v>
      </c>
      <c r="F8" s="304">
        <v>2250</v>
      </c>
    </row>
    <row r="9" spans="2:6">
      <c r="C9" s="298" t="s">
        <v>535</v>
      </c>
      <c r="D9" s="425">
        <v>10165</v>
      </c>
      <c r="E9" t="s">
        <v>64</v>
      </c>
      <c r="F9" s="304">
        <v>0</v>
      </c>
    </row>
    <row r="10" spans="2:6">
      <c r="C10" s="298" t="s">
        <v>480</v>
      </c>
      <c r="D10" s="425">
        <v>9614</v>
      </c>
      <c r="E10" t="s">
        <v>64</v>
      </c>
      <c r="F10" s="304">
        <v>1600</v>
      </c>
    </row>
    <row r="11" spans="2:6">
      <c r="C11" s="298" t="s">
        <v>481</v>
      </c>
      <c r="D11" s="425">
        <v>176</v>
      </c>
      <c r="E11" t="s">
        <v>64</v>
      </c>
      <c r="F11" s="304">
        <v>0</v>
      </c>
    </row>
    <row r="12" spans="2:6">
      <c r="C12" s="298" t="s">
        <v>482</v>
      </c>
      <c r="D12" s="425">
        <v>8809</v>
      </c>
      <c r="E12" t="s">
        <v>64</v>
      </c>
      <c r="F12" s="304">
        <v>46.22</v>
      </c>
    </row>
    <row r="13" spans="2:6">
      <c r="C13" s="298" t="s">
        <v>483</v>
      </c>
      <c r="D13" s="425">
        <v>9647</v>
      </c>
      <c r="E13" t="s">
        <v>64</v>
      </c>
      <c r="F13" s="304">
        <v>68</v>
      </c>
    </row>
    <row r="14" spans="2:6">
      <c r="C14" s="298" t="s">
        <v>484</v>
      </c>
      <c r="D14" s="425">
        <v>8808</v>
      </c>
      <c r="E14" t="s">
        <v>64</v>
      </c>
      <c r="F14" s="304">
        <v>81.93</v>
      </c>
    </row>
    <row r="15" spans="2:6">
      <c r="C15" s="298" t="s">
        <v>490</v>
      </c>
      <c r="D15" s="425">
        <v>272</v>
      </c>
      <c r="E15" t="s">
        <v>64</v>
      </c>
      <c r="F15" s="304">
        <v>621</v>
      </c>
    </row>
    <row r="16" spans="2:6">
      <c r="C16" s="298" t="s">
        <v>491</v>
      </c>
      <c r="D16" s="425">
        <v>276</v>
      </c>
      <c r="E16" t="s">
        <v>64</v>
      </c>
      <c r="F16" s="304">
        <v>3631</v>
      </c>
    </row>
    <row r="17" spans="3:6">
      <c r="C17" s="298" t="s">
        <v>485</v>
      </c>
      <c r="D17" s="425">
        <v>4279</v>
      </c>
      <c r="E17" t="s">
        <v>64</v>
      </c>
      <c r="F17" s="304">
        <v>224.77</v>
      </c>
    </row>
    <row r="18" spans="3:6">
      <c r="C18" s="298" t="s">
        <v>487</v>
      </c>
      <c r="D18" s="425">
        <v>4280</v>
      </c>
      <c r="E18" t="s">
        <v>64</v>
      </c>
      <c r="F18" s="304">
        <v>150</v>
      </c>
    </row>
    <row r="19" spans="3:6">
      <c r="C19" s="298" t="s">
        <v>486</v>
      </c>
      <c r="D19" s="425">
        <v>4286</v>
      </c>
      <c r="E19" t="s">
        <v>64</v>
      </c>
      <c r="F19" s="304">
        <v>237.61</v>
      </c>
    </row>
    <row r="20" spans="3:6">
      <c r="C20" s="298" t="s">
        <v>488</v>
      </c>
      <c r="D20" s="425">
        <v>288</v>
      </c>
      <c r="E20" t="s">
        <v>64</v>
      </c>
      <c r="F20" s="304">
        <v>800</v>
      </c>
    </row>
    <row r="21" spans="3:6">
      <c r="C21" s="298" t="s">
        <v>489</v>
      </c>
      <c r="D21" s="425">
        <v>4297</v>
      </c>
      <c r="E21" t="s">
        <v>64</v>
      </c>
      <c r="F21" s="304">
        <v>276.45</v>
      </c>
    </row>
    <row r="22" spans="3:6">
      <c r="C22" s="298" t="s">
        <v>350</v>
      </c>
      <c r="D22" s="425">
        <v>372</v>
      </c>
      <c r="E22" t="s">
        <v>64</v>
      </c>
      <c r="F22" s="304">
        <v>4100</v>
      </c>
    </row>
    <row r="23" spans="3:6">
      <c r="C23" s="298" t="s">
        <v>536</v>
      </c>
      <c r="D23" s="425">
        <v>10168</v>
      </c>
      <c r="E23" t="s">
        <v>64</v>
      </c>
      <c r="F23" s="304">
        <v>65000</v>
      </c>
    </row>
    <row r="24" spans="3:6">
      <c r="C24" s="298" t="s">
        <v>407</v>
      </c>
      <c r="D24" s="425">
        <v>7172</v>
      </c>
      <c r="E24" t="s">
        <v>64</v>
      </c>
      <c r="F24" s="304">
        <v>23400</v>
      </c>
    </row>
    <row r="25" spans="3:6" s="315" customFormat="1">
      <c r="C25" s="298" t="s">
        <v>492</v>
      </c>
      <c r="D25" s="425">
        <v>7173</v>
      </c>
      <c r="E25" s="315" t="s">
        <v>64</v>
      </c>
      <c r="F25" s="316">
        <v>30300</v>
      </c>
    </row>
    <row r="26" spans="3:6" ht="30">
      <c r="C26" s="440" t="s">
        <v>704</v>
      </c>
      <c r="D26" s="425">
        <v>11381</v>
      </c>
      <c r="E26" t="s">
        <v>64</v>
      </c>
      <c r="F26" s="304">
        <f>247350*1.19</f>
        <v>294346.5</v>
      </c>
    </row>
    <row r="27" spans="3:6">
      <c r="C27" s="301" t="s">
        <v>476</v>
      </c>
      <c r="D27" s="425">
        <v>7240</v>
      </c>
      <c r="E27" t="s">
        <v>64</v>
      </c>
      <c r="F27" s="304">
        <v>8490</v>
      </c>
    </row>
    <row r="28" spans="3:6">
      <c r="C28" s="301" t="s">
        <v>471</v>
      </c>
      <c r="D28" s="425">
        <v>5553</v>
      </c>
      <c r="E28" t="s">
        <v>64</v>
      </c>
      <c r="F28" s="304">
        <v>12876</v>
      </c>
    </row>
    <row r="29" spans="3:6">
      <c r="C29" s="301" t="s">
        <v>475</v>
      </c>
      <c r="D29" s="425">
        <v>490</v>
      </c>
      <c r="E29" t="s">
        <v>64</v>
      </c>
      <c r="F29" s="304">
        <v>22100</v>
      </c>
    </row>
    <row r="30" spans="3:6">
      <c r="C30" s="301" t="s">
        <v>474</v>
      </c>
      <c r="D30" s="425">
        <v>491</v>
      </c>
      <c r="E30" t="s">
        <v>64</v>
      </c>
      <c r="F30" s="304">
        <v>22100</v>
      </c>
    </row>
    <row r="31" spans="3:6">
      <c r="C31" s="301" t="s">
        <v>472</v>
      </c>
      <c r="D31" s="425">
        <v>495</v>
      </c>
      <c r="E31" t="s">
        <v>64</v>
      </c>
      <c r="F31" s="304">
        <v>37805</v>
      </c>
    </row>
    <row r="32" spans="3:6">
      <c r="C32" s="301" t="s">
        <v>473</v>
      </c>
      <c r="D32" s="425">
        <v>496</v>
      </c>
      <c r="E32" t="s">
        <v>64</v>
      </c>
      <c r="F32" s="304">
        <v>37805</v>
      </c>
    </row>
    <row r="33" spans="3:6">
      <c r="C33" s="301" t="s">
        <v>538</v>
      </c>
      <c r="D33" s="425">
        <v>7220</v>
      </c>
      <c r="E33" t="s">
        <v>396</v>
      </c>
      <c r="F33" s="304">
        <v>6250</v>
      </c>
    </row>
    <row r="34" spans="3:6">
      <c r="C34" s="301" t="s">
        <v>539</v>
      </c>
      <c r="D34" s="425">
        <v>687</v>
      </c>
      <c r="E34" t="s">
        <v>396</v>
      </c>
      <c r="F34" s="304">
        <v>3160</v>
      </c>
    </row>
    <row r="35" spans="3:6">
      <c r="C35" s="301" t="s">
        <v>552</v>
      </c>
      <c r="D35" s="425">
        <v>10543</v>
      </c>
      <c r="E35" t="s">
        <v>396</v>
      </c>
      <c r="F35" s="304">
        <v>2773.17</v>
      </c>
    </row>
    <row r="36" spans="3:6">
      <c r="C36" s="301" t="s">
        <v>541</v>
      </c>
      <c r="D36" s="425">
        <v>662</v>
      </c>
      <c r="E36" t="s">
        <v>396</v>
      </c>
      <c r="F36" s="304">
        <v>1335</v>
      </c>
    </row>
    <row r="37" spans="3:6">
      <c r="C37" s="301" t="s">
        <v>540</v>
      </c>
      <c r="D37" s="425">
        <v>6438</v>
      </c>
      <c r="E37" t="s">
        <v>396</v>
      </c>
      <c r="F37" s="304">
        <v>1250</v>
      </c>
    </row>
    <row r="38" spans="3:6" s="315" customFormat="1">
      <c r="C38" s="301" t="s">
        <v>733</v>
      </c>
      <c r="D38" s="425" t="s">
        <v>734</v>
      </c>
      <c r="E38" s="315" t="s">
        <v>396</v>
      </c>
      <c r="F38" s="316">
        <v>9400</v>
      </c>
    </row>
    <row r="39" spans="3:6" s="315" customFormat="1">
      <c r="C39" s="301" t="s">
        <v>732</v>
      </c>
      <c r="D39" s="425" t="s">
        <v>735</v>
      </c>
      <c r="E39" s="315" t="s">
        <v>396</v>
      </c>
      <c r="F39" s="316">
        <v>7600</v>
      </c>
    </row>
    <row r="40" spans="3:6" s="315" customFormat="1">
      <c r="C40" s="301" t="s">
        <v>705</v>
      </c>
      <c r="D40" s="425" t="s">
        <v>736</v>
      </c>
      <c r="E40" s="315" t="s">
        <v>396</v>
      </c>
      <c r="F40" s="316">
        <v>5900</v>
      </c>
    </row>
    <row r="41" spans="3:6">
      <c r="C41" s="301" t="s">
        <v>408</v>
      </c>
      <c r="D41" s="425">
        <v>9032</v>
      </c>
      <c r="E41" t="s">
        <v>396</v>
      </c>
      <c r="F41" s="304">
        <v>2243.4</v>
      </c>
    </row>
    <row r="42" spans="3:6">
      <c r="C42" s="301" t="s">
        <v>409</v>
      </c>
      <c r="D42" s="425">
        <v>10264</v>
      </c>
      <c r="E42" t="s">
        <v>396</v>
      </c>
      <c r="F42" s="304">
        <v>1800</v>
      </c>
    </row>
    <row r="43" spans="3:6">
      <c r="C43" s="301" t="s">
        <v>367</v>
      </c>
      <c r="D43" s="425">
        <v>4341</v>
      </c>
      <c r="E43" t="s">
        <v>396</v>
      </c>
      <c r="F43" s="304">
        <v>862</v>
      </c>
    </row>
    <row r="44" spans="3:6">
      <c r="C44" s="301" t="s">
        <v>415</v>
      </c>
      <c r="D44" s="425">
        <v>9490</v>
      </c>
      <c r="E44" t="s">
        <v>396</v>
      </c>
      <c r="F44" s="304">
        <v>10950</v>
      </c>
    </row>
    <row r="45" spans="3:6">
      <c r="C45" s="301" t="s">
        <v>410</v>
      </c>
      <c r="D45" s="425">
        <v>9613</v>
      </c>
      <c r="E45" t="s">
        <v>396</v>
      </c>
      <c r="F45" s="304">
        <v>8650</v>
      </c>
    </row>
    <row r="46" spans="3:6">
      <c r="C46" s="301" t="s">
        <v>560</v>
      </c>
      <c r="D46" s="425">
        <v>10169</v>
      </c>
      <c r="E46" t="s">
        <v>396</v>
      </c>
      <c r="F46" s="304">
        <v>1668</v>
      </c>
    </row>
    <row r="47" spans="3:6">
      <c r="C47" s="301" t="s">
        <v>537</v>
      </c>
      <c r="D47" s="425">
        <v>710</v>
      </c>
      <c r="E47" t="s">
        <v>396</v>
      </c>
      <c r="F47" s="304">
        <v>2050</v>
      </c>
    </row>
    <row r="48" spans="3:6">
      <c r="C48" s="301" t="s">
        <v>493</v>
      </c>
      <c r="D48" s="425">
        <v>5385</v>
      </c>
      <c r="E48" t="s">
        <v>396</v>
      </c>
      <c r="F48" s="304">
        <v>8835</v>
      </c>
    </row>
    <row r="49" spans="3:6">
      <c r="C49" s="301" t="s">
        <v>494</v>
      </c>
      <c r="D49" s="425">
        <v>7325</v>
      </c>
      <c r="E49" t="s">
        <v>396</v>
      </c>
      <c r="F49" s="304">
        <v>2349</v>
      </c>
    </row>
    <row r="50" spans="3:6">
      <c r="C50" s="301" t="s">
        <v>359</v>
      </c>
      <c r="D50" s="425">
        <v>700</v>
      </c>
      <c r="E50" t="s">
        <v>396</v>
      </c>
      <c r="F50" s="304">
        <v>9580</v>
      </c>
    </row>
    <row r="51" spans="3:6">
      <c r="C51" s="301" t="s">
        <v>358</v>
      </c>
      <c r="D51" s="425">
        <v>701</v>
      </c>
      <c r="E51" t="s">
        <v>396</v>
      </c>
      <c r="F51" s="304">
        <v>5462</v>
      </c>
    </row>
    <row r="52" spans="3:6">
      <c r="C52" s="301" t="s">
        <v>355</v>
      </c>
      <c r="D52" s="425">
        <v>6734</v>
      </c>
      <c r="E52" t="s">
        <v>396</v>
      </c>
      <c r="F52" s="304">
        <v>3800</v>
      </c>
    </row>
    <row r="53" spans="3:6" s="315" customFormat="1">
      <c r="C53" s="301" t="s">
        <v>411</v>
      </c>
      <c r="D53" s="425">
        <v>704</v>
      </c>
      <c r="E53" s="315" t="s">
        <v>396</v>
      </c>
      <c r="F53" s="316">
        <v>16200</v>
      </c>
    </row>
    <row r="54" spans="3:6">
      <c r="C54" s="301" t="s">
        <v>692</v>
      </c>
      <c r="D54" s="425">
        <v>698</v>
      </c>
      <c r="E54" t="s">
        <v>396</v>
      </c>
      <c r="F54" s="304">
        <v>1650</v>
      </c>
    </row>
    <row r="55" spans="3:6">
      <c r="C55" s="301" t="s">
        <v>542</v>
      </c>
      <c r="D55" s="425">
        <v>709</v>
      </c>
      <c r="E55" t="s">
        <v>396</v>
      </c>
      <c r="F55" s="304">
        <v>1200</v>
      </c>
    </row>
    <row r="56" spans="3:6">
      <c r="C56" s="301" t="s">
        <v>412</v>
      </c>
      <c r="D56" s="425">
        <v>667</v>
      </c>
      <c r="E56" t="s">
        <v>396</v>
      </c>
      <c r="F56" s="304">
        <v>0</v>
      </c>
    </row>
    <row r="57" spans="3:6">
      <c r="C57" s="299" t="s">
        <v>413</v>
      </c>
      <c r="D57" s="426">
        <v>719</v>
      </c>
      <c r="E57" t="s">
        <v>396</v>
      </c>
      <c r="F57" s="304">
        <v>7178</v>
      </c>
    </row>
    <row r="58" spans="3:6">
      <c r="C58" s="299" t="s">
        <v>414</v>
      </c>
      <c r="D58" s="426">
        <v>670</v>
      </c>
      <c r="E58" t="s">
        <v>396</v>
      </c>
      <c r="F58" s="304">
        <v>5000</v>
      </c>
    </row>
    <row r="59" spans="3:6">
      <c r="C59" s="299" t="s">
        <v>385</v>
      </c>
      <c r="D59" s="426">
        <v>6233</v>
      </c>
      <c r="E59" t="s">
        <v>64</v>
      </c>
      <c r="F59" s="304">
        <v>81000</v>
      </c>
    </row>
    <row r="60" spans="3:6">
      <c r="C60" s="299" t="s">
        <v>416</v>
      </c>
      <c r="D60" s="426">
        <v>10971</v>
      </c>
      <c r="E60" t="s">
        <v>64</v>
      </c>
      <c r="F60" s="304">
        <v>133000</v>
      </c>
    </row>
    <row r="61" spans="3:6">
      <c r="C61" s="299" t="s">
        <v>496</v>
      </c>
      <c r="D61" s="426">
        <v>731</v>
      </c>
      <c r="E61" t="s">
        <v>64</v>
      </c>
      <c r="F61" s="304">
        <v>0</v>
      </c>
    </row>
    <row r="62" spans="3:6">
      <c r="C62" s="299" t="s">
        <v>495</v>
      </c>
      <c r="D62" s="426">
        <v>734</v>
      </c>
      <c r="E62" t="s">
        <v>64</v>
      </c>
      <c r="F62" s="304">
        <v>0</v>
      </c>
    </row>
    <row r="63" spans="3:6" s="315" customFormat="1">
      <c r="C63" s="299" t="s">
        <v>665</v>
      </c>
      <c r="D63" s="426">
        <v>6180</v>
      </c>
      <c r="E63" s="315" t="s">
        <v>64</v>
      </c>
      <c r="F63" s="316">
        <v>180000</v>
      </c>
    </row>
    <row r="64" spans="3:6">
      <c r="C64" s="299" t="s">
        <v>388</v>
      </c>
      <c r="D64" s="426">
        <v>9994</v>
      </c>
      <c r="E64" t="s">
        <v>64</v>
      </c>
      <c r="F64" s="304">
        <v>5244</v>
      </c>
    </row>
    <row r="65" spans="3:6">
      <c r="C65" s="299" t="s">
        <v>418</v>
      </c>
      <c r="D65" s="426">
        <v>809</v>
      </c>
      <c r="E65" t="s">
        <v>64</v>
      </c>
      <c r="F65" s="304">
        <v>2100</v>
      </c>
    </row>
    <row r="66" spans="3:6">
      <c r="C66" s="299" t="s">
        <v>417</v>
      </c>
      <c r="D66" s="426">
        <v>808</v>
      </c>
      <c r="E66" t="s">
        <v>64</v>
      </c>
      <c r="F66" s="304">
        <v>9374</v>
      </c>
    </row>
    <row r="67" spans="3:6">
      <c r="C67" s="299" t="s">
        <v>419</v>
      </c>
      <c r="D67" s="426">
        <v>807</v>
      </c>
      <c r="E67" t="s">
        <v>64</v>
      </c>
      <c r="F67" s="304">
        <v>2069</v>
      </c>
    </row>
    <row r="68" spans="3:6">
      <c r="C68" s="302" t="s">
        <v>420</v>
      </c>
      <c r="D68" s="425">
        <v>971</v>
      </c>
      <c r="E68" t="s">
        <v>86</v>
      </c>
      <c r="F68" s="304">
        <v>32100</v>
      </c>
    </row>
    <row r="69" spans="3:6">
      <c r="C69" s="302" t="s">
        <v>85</v>
      </c>
      <c r="D69" s="425">
        <v>968</v>
      </c>
      <c r="E69" t="s">
        <v>86</v>
      </c>
      <c r="F69" s="304">
        <v>14000</v>
      </c>
    </row>
    <row r="70" spans="3:6">
      <c r="C70" s="302" t="s">
        <v>422</v>
      </c>
      <c r="D70" s="425">
        <v>1004</v>
      </c>
      <c r="E70" t="s">
        <v>86</v>
      </c>
      <c r="F70" s="304">
        <v>2745.5</v>
      </c>
    </row>
    <row r="71" spans="3:6">
      <c r="C71" s="302" t="s">
        <v>421</v>
      </c>
      <c r="D71" s="425">
        <v>1007</v>
      </c>
      <c r="E71" t="s">
        <v>86</v>
      </c>
      <c r="F71" s="304">
        <v>2745.5</v>
      </c>
    </row>
    <row r="72" spans="3:6">
      <c r="C72" s="302" t="s">
        <v>423</v>
      </c>
      <c r="D72" s="425">
        <v>1008</v>
      </c>
      <c r="E72" t="s">
        <v>86</v>
      </c>
      <c r="F72" s="304">
        <v>2745</v>
      </c>
    </row>
    <row r="73" spans="3:6">
      <c r="C73" s="299" t="s">
        <v>353</v>
      </c>
      <c r="D73" s="425">
        <v>7324</v>
      </c>
      <c r="E73" t="s">
        <v>396</v>
      </c>
      <c r="F73" s="304">
        <v>1446.03</v>
      </c>
    </row>
    <row r="74" spans="3:6">
      <c r="C74" s="299" t="s">
        <v>376</v>
      </c>
      <c r="D74" s="425">
        <v>972</v>
      </c>
      <c r="E74" t="s">
        <v>396</v>
      </c>
      <c r="F74" s="304">
        <v>2614</v>
      </c>
    </row>
    <row r="75" spans="3:6">
      <c r="C75" s="299" t="s">
        <v>424</v>
      </c>
      <c r="D75" s="425">
        <v>973</v>
      </c>
      <c r="E75" t="s">
        <v>396</v>
      </c>
      <c r="F75" s="304">
        <v>1750</v>
      </c>
    </row>
    <row r="76" spans="3:6">
      <c r="C76" s="302" t="s">
        <v>554</v>
      </c>
      <c r="D76" s="425">
        <v>6445</v>
      </c>
      <c r="E76" t="s">
        <v>396</v>
      </c>
      <c r="F76" s="304">
        <v>7441</v>
      </c>
    </row>
    <row r="77" spans="3:6">
      <c r="C77" s="302" t="s">
        <v>739</v>
      </c>
      <c r="D77" s="425">
        <v>998</v>
      </c>
      <c r="E77" t="s">
        <v>86</v>
      </c>
      <c r="F77" s="304">
        <v>17000</v>
      </c>
    </row>
    <row r="78" spans="3:6">
      <c r="C78" s="299" t="s">
        <v>543</v>
      </c>
      <c r="D78" s="425">
        <v>5633</v>
      </c>
      <c r="E78" t="s">
        <v>64</v>
      </c>
      <c r="F78" s="304">
        <v>12900</v>
      </c>
    </row>
    <row r="79" spans="3:6">
      <c r="C79" s="302" t="s">
        <v>425</v>
      </c>
      <c r="D79" s="425">
        <v>6740</v>
      </c>
      <c r="E79" t="s">
        <v>64</v>
      </c>
      <c r="F79" s="304">
        <v>12050</v>
      </c>
    </row>
    <row r="80" spans="3:6">
      <c r="C80" s="302" t="s">
        <v>426</v>
      </c>
      <c r="D80" s="425">
        <v>5360</v>
      </c>
      <c r="E80" t="s">
        <v>64</v>
      </c>
      <c r="F80" s="304">
        <v>11800</v>
      </c>
    </row>
    <row r="81" spans="3:6">
      <c r="C81" s="299" t="s">
        <v>88</v>
      </c>
      <c r="D81" s="425">
        <v>9604</v>
      </c>
      <c r="E81" t="s">
        <v>64</v>
      </c>
      <c r="F81" s="304">
        <v>13380</v>
      </c>
    </row>
    <row r="82" spans="3:6">
      <c r="C82" s="299" t="s">
        <v>427</v>
      </c>
      <c r="D82" s="425">
        <v>9607</v>
      </c>
      <c r="E82" t="s">
        <v>64</v>
      </c>
      <c r="F82" s="304">
        <v>12900</v>
      </c>
    </row>
    <row r="83" spans="3:6">
      <c r="C83" s="299" t="s">
        <v>89</v>
      </c>
      <c r="D83" s="425">
        <v>7446</v>
      </c>
      <c r="E83" t="s">
        <v>64</v>
      </c>
      <c r="F83" s="304">
        <v>13500</v>
      </c>
    </row>
    <row r="84" spans="3:6">
      <c r="C84" s="299" t="s">
        <v>428</v>
      </c>
      <c r="D84" s="425">
        <v>1124</v>
      </c>
      <c r="E84" t="s">
        <v>64</v>
      </c>
      <c r="F84" s="304">
        <v>13395</v>
      </c>
    </row>
    <row r="85" spans="3:6">
      <c r="C85" s="299" t="s">
        <v>90</v>
      </c>
      <c r="D85" s="425">
        <v>7447</v>
      </c>
      <c r="E85" t="s">
        <v>64</v>
      </c>
      <c r="F85" s="304">
        <v>15200</v>
      </c>
    </row>
    <row r="86" spans="3:6">
      <c r="C86" s="299" t="s">
        <v>429</v>
      </c>
      <c r="D86" s="425">
        <v>1125</v>
      </c>
      <c r="E86" t="s">
        <v>64</v>
      </c>
      <c r="F86" s="304">
        <v>14900</v>
      </c>
    </row>
    <row r="87" spans="3:6">
      <c r="C87" s="299" t="s">
        <v>534</v>
      </c>
      <c r="D87" s="425">
        <v>1134</v>
      </c>
      <c r="E87" t="s">
        <v>64</v>
      </c>
      <c r="F87" s="304">
        <v>23200</v>
      </c>
    </row>
    <row r="88" spans="3:6">
      <c r="C88" s="302" t="s">
        <v>444</v>
      </c>
      <c r="D88" s="425">
        <v>1167</v>
      </c>
      <c r="E88" t="s">
        <v>64</v>
      </c>
      <c r="F88" s="304">
        <v>18333</v>
      </c>
    </row>
    <row r="89" spans="3:6">
      <c r="C89" s="302" t="s">
        <v>440</v>
      </c>
      <c r="D89" s="425">
        <v>1163</v>
      </c>
      <c r="E89" t="s">
        <v>64</v>
      </c>
      <c r="F89" s="304">
        <v>19200</v>
      </c>
    </row>
    <row r="90" spans="3:6">
      <c r="C90" s="302" t="s">
        <v>450</v>
      </c>
      <c r="D90" s="425">
        <v>1170</v>
      </c>
      <c r="E90" t="s">
        <v>64</v>
      </c>
      <c r="F90" s="304">
        <v>5300</v>
      </c>
    </row>
    <row r="91" spans="3:6">
      <c r="C91" s="302" t="s">
        <v>447</v>
      </c>
      <c r="D91" s="425">
        <v>1180</v>
      </c>
      <c r="E91" t="s">
        <v>64</v>
      </c>
      <c r="F91" s="304">
        <v>15000</v>
      </c>
    </row>
    <row r="92" spans="3:6">
      <c r="C92" s="302" t="s">
        <v>446</v>
      </c>
      <c r="D92" s="425">
        <v>10299</v>
      </c>
      <c r="E92" t="s">
        <v>64</v>
      </c>
      <c r="F92" s="304">
        <v>18333</v>
      </c>
    </row>
    <row r="93" spans="3:6">
      <c r="C93" s="302" t="s">
        <v>442</v>
      </c>
      <c r="D93" s="425">
        <v>5596</v>
      </c>
      <c r="E93" t="s">
        <v>64</v>
      </c>
      <c r="F93" s="304">
        <v>19200</v>
      </c>
    </row>
    <row r="94" spans="3:6">
      <c r="C94" s="302" t="s">
        <v>441</v>
      </c>
      <c r="D94" s="425">
        <v>1164</v>
      </c>
      <c r="E94" t="s">
        <v>64</v>
      </c>
      <c r="F94" s="304">
        <v>19200</v>
      </c>
    </row>
    <row r="95" spans="3:6">
      <c r="C95" s="302" t="s">
        <v>443</v>
      </c>
      <c r="D95" s="425">
        <v>5600</v>
      </c>
      <c r="E95" t="s">
        <v>64</v>
      </c>
      <c r="F95" s="304">
        <v>19200</v>
      </c>
    </row>
    <row r="96" spans="3:6">
      <c r="C96" s="302" t="s">
        <v>445</v>
      </c>
      <c r="D96" s="425">
        <v>4397</v>
      </c>
      <c r="E96" t="s">
        <v>64</v>
      </c>
      <c r="F96" s="304">
        <v>18333</v>
      </c>
    </row>
    <row r="97" spans="3:6">
      <c r="C97" s="302" t="s">
        <v>451</v>
      </c>
      <c r="D97" s="425">
        <v>1175</v>
      </c>
      <c r="E97" t="s">
        <v>64</v>
      </c>
      <c r="F97" s="304">
        <v>5300</v>
      </c>
    </row>
    <row r="98" spans="3:6">
      <c r="C98" s="302" t="s">
        <v>452</v>
      </c>
      <c r="D98" s="425">
        <v>1172</v>
      </c>
      <c r="E98" t="s">
        <v>64</v>
      </c>
      <c r="F98" s="304">
        <v>5300</v>
      </c>
    </row>
    <row r="99" spans="3:6">
      <c r="C99" s="302" t="s">
        <v>448</v>
      </c>
      <c r="D99" s="425">
        <v>1182</v>
      </c>
      <c r="E99" t="s">
        <v>64</v>
      </c>
      <c r="F99" s="304">
        <v>15000</v>
      </c>
    </row>
    <row r="100" spans="3:6">
      <c r="C100" s="302" t="s">
        <v>449</v>
      </c>
      <c r="D100" s="425">
        <v>1181</v>
      </c>
      <c r="E100" t="s">
        <v>64</v>
      </c>
      <c r="F100" s="304">
        <v>15000</v>
      </c>
    </row>
    <row r="101" spans="3:6">
      <c r="C101" s="302" t="s">
        <v>453</v>
      </c>
      <c r="D101" s="425">
        <v>1185</v>
      </c>
      <c r="E101" t="s">
        <v>64</v>
      </c>
      <c r="F101" s="304">
        <v>15000</v>
      </c>
    </row>
    <row r="102" spans="3:6">
      <c r="C102" s="302" t="s">
        <v>454</v>
      </c>
      <c r="D102" s="425">
        <v>1587</v>
      </c>
      <c r="E102" t="s">
        <v>64</v>
      </c>
      <c r="F102" s="304">
        <v>13100</v>
      </c>
    </row>
    <row r="103" spans="3:6">
      <c r="C103" s="302" t="s">
        <v>456</v>
      </c>
      <c r="D103" s="425">
        <v>1194</v>
      </c>
      <c r="E103" t="s">
        <v>64</v>
      </c>
      <c r="F103" s="304">
        <v>5600</v>
      </c>
    </row>
    <row r="104" spans="3:6">
      <c r="C104" s="299" t="s">
        <v>375</v>
      </c>
      <c r="D104" s="425">
        <v>6742</v>
      </c>
      <c r="E104" t="s">
        <v>64</v>
      </c>
      <c r="F104" s="304">
        <v>8700</v>
      </c>
    </row>
    <row r="105" spans="3:6">
      <c r="C105" s="299" t="s">
        <v>374</v>
      </c>
      <c r="D105" s="425">
        <v>1193</v>
      </c>
      <c r="E105" t="s">
        <v>64</v>
      </c>
      <c r="F105" s="304">
        <v>5630</v>
      </c>
    </row>
    <row r="106" spans="3:6" s="315" customFormat="1">
      <c r="C106" s="299" t="s">
        <v>661</v>
      </c>
      <c r="D106" s="425" t="s">
        <v>668</v>
      </c>
      <c r="E106" s="315" t="s">
        <v>64</v>
      </c>
      <c r="F106" s="316">
        <v>15600</v>
      </c>
    </row>
    <row r="107" spans="3:6" s="315" customFormat="1">
      <c r="C107" s="299" t="s">
        <v>662</v>
      </c>
      <c r="D107" s="425"/>
      <c r="E107" s="315" t="s">
        <v>64</v>
      </c>
      <c r="F107" s="316"/>
    </row>
    <row r="108" spans="3:6">
      <c r="C108" s="299" t="s">
        <v>371</v>
      </c>
      <c r="D108" s="425">
        <v>6555</v>
      </c>
      <c r="E108" t="s">
        <v>64</v>
      </c>
      <c r="F108" s="304">
        <v>1300</v>
      </c>
    </row>
    <row r="109" spans="3:6">
      <c r="C109" s="299" t="s">
        <v>372</v>
      </c>
      <c r="D109" s="425">
        <v>1209</v>
      </c>
      <c r="E109" t="s">
        <v>64</v>
      </c>
      <c r="F109" s="304">
        <v>1600</v>
      </c>
    </row>
    <row r="110" spans="3:6" s="315" customFormat="1">
      <c r="C110" s="302" t="s">
        <v>430</v>
      </c>
      <c r="D110" s="425">
        <v>6735</v>
      </c>
      <c r="E110" s="315" t="s">
        <v>64</v>
      </c>
      <c r="F110" s="316">
        <v>22697</v>
      </c>
    </row>
    <row r="111" spans="3:6">
      <c r="C111" s="302" t="s">
        <v>706</v>
      </c>
      <c r="D111" s="425">
        <v>11489</v>
      </c>
      <c r="E111" t="s">
        <v>64</v>
      </c>
      <c r="F111" s="304">
        <v>42000</v>
      </c>
    </row>
    <row r="112" spans="3:6">
      <c r="C112" s="302" t="s">
        <v>458</v>
      </c>
      <c r="D112" s="425">
        <v>7205</v>
      </c>
      <c r="E112" t="s">
        <v>64</v>
      </c>
      <c r="F112" s="304">
        <v>0</v>
      </c>
    </row>
    <row r="113" spans="3:6">
      <c r="C113" s="302" t="s">
        <v>459</v>
      </c>
      <c r="D113" s="425">
        <v>7207</v>
      </c>
      <c r="E113" t="s">
        <v>64</v>
      </c>
      <c r="F113" s="304">
        <v>1200</v>
      </c>
    </row>
    <row r="114" spans="3:6">
      <c r="C114" s="302" t="s">
        <v>457</v>
      </c>
      <c r="D114" s="425">
        <v>8213</v>
      </c>
      <c r="E114" t="s">
        <v>64</v>
      </c>
      <c r="F114" s="304">
        <v>0</v>
      </c>
    </row>
    <row r="115" spans="3:6">
      <c r="C115" s="302" t="s">
        <v>460</v>
      </c>
      <c r="D115" s="425">
        <v>7203</v>
      </c>
      <c r="E115" t="s">
        <v>64</v>
      </c>
      <c r="F115" s="304">
        <v>0</v>
      </c>
    </row>
    <row r="116" spans="3:6">
      <c r="C116" s="302" t="s">
        <v>435</v>
      </c>
      <c r="D116" s="425">
        <v>1203</v>
      </c>
      <c r="E116" t="s">
        <v>64</v>
      </c>
      <c r="F116" s="304">
        <v>6710</v>
      </c>
    </row>
    <row r="117" spans="3:6" s="315" customFormat="1">
      <c r="C117" s="302" t="s">
        <v>434</v>
      </c>
      <c r="D117" s="425">
        <v>1202</v>
      </c>
      <c r="E117" s="315" t="s">
        <v>64</v>
      </c>
      <c r="F117" s="316">
        <v>4550</v>
      </c>
    </row>
    <row r="118" spans="3:6">
      <c r="C118" s="302" t="s">
        <v>690</v>
      </c>
      <c r="D118" s="425">
        <v>10500</v>
      </c>
      <c r="E118" t="s">
        <v>64</v>
      </c>
      <c r="F118" s="304">
        <v>4550</v>
      </c>
    </row>
    <row r="119" spans="3:6">
      <c r="C119" s="302" t="s">
        <v>347</v>
      </c>
      <c r="D119" s="425">
        <v>1221</v>
      </c>
      <c r="E119" t="s">
        <v>64</v>
      </c>
      <c r="F119" s="304">
        <v>163</v>
      </c>
    </row>
    <row r="120" spans="3:6">
      <c r="C120" s="302" t="s">
        <v>461</v>
      </c>
      <c r="D120" s="425">
        <v>9617</v>
      </c>
      <c r="E120" t="s">
        <v>64</v>
      </c>
      <c r="F120" s="304">
        <v>900</v>
      </c>
    </row>
    <row r="121" spans="3:6">
      <c r="C121" s="302" t="s">
        <v>455</v>
      </c>
      <c r="D121" s="425">
        <v>8653</v>
      </c>
      <c r="E121" t="s">
        <v>64</v>
      </c>
      <c r="F121" s="304">
        <v>3500</v>
      </c>
    </row>
    <row r="122" spans="3:6">
      <c r="C122" s="302" t="s">
        <v>544</v>
      </c>
      <c r="D122" s="425">
        <v>6733</v>
      </c>
      <c r="E122" t="s">
        <v>64</v>
      </c>
      <c r="F122" s="304">
        <v>12000</v>
      </c>
    </row>
    <row r="123" spans="3:6">
      <c r="C123" s="302" t="s">
        <v>436</v>
      </c>
      <c r="D123" s="425">
        <v>1249</v>
      </c>
      <c r="E123" t="s">
        <v>396</v>
      </c>
      <c r="F123" s="304">
        <v>9500</v>
      </c>
    </row>
    <row r="124" spans="3:6" s="315" customFormat="1">
      <c r="C124" s="302" t="s">
        <v>437</v>
      </c>
      <c r="D124" s="425">
        <v>1251</v>
      </c>
      <c r="E124" s="315" t="s">
        <v>396</v>
      </c>
      <c r="F124" s="316">
        <v>5900</v>
      </c>
    </row>
    <row r="125" spans="3:6">
      <c r="C125" s="302" t="s">
        <v>689</v>
      </c>
      <c r="D125" s="425">
        <v>1250</v>
      </c>
      <c r="E125" t="s">
        <v>396</v>
      </c>
      <c r="F125" s="304">
        <v>4600</v>
      </c>
    </row>
    <row r="126" spans="3:6">
      <c r="C126" s="302" t="s">
        <v>691</v>
      </c>
      <c r="D126" s="425">
        <v>1268</v>
      </c>
      <c r="E126" t="s">
        <v>64</v>
      </c>
      <c r="F126" s="304">
        <v>300000</v>
      </c>
    </row>
    <row r="127" spans="3:6">
      <c r="C127" s="302" t="s">
        <v>439</v>
      </c>
      <c r="D127" s="425">
        <v>9282</v>
      </c>
      <c r="E127" t="s">
        <v>64</v>
      </c>
      <c r="F127" s="304">
        <v>33950</v>
      </c>
    </row>
    <row r="128" spans="3:6">
      <c r="C128" s="302" t="s">
        <v>438</v>
      </c>
      <c r="D128" s="425">
        <v>1288</v>
      </c>
      <c r="E128" t="s">
        <v>64</v>
      </c>
      <c r="F128" s="304">
        <v>138655.5</v>
      </c>
    </row>
    <row r="129" spans="3:6">
      <c r="C129" s="299" t="s">
        <v>386</v>
      </c>
      <c r="D129" s="425">
        <v>1312</v>
      </c>
      <c r="E129" t="s">
        <v>64</v>
      </c>
      <c r="F129" s="304">
        <v>0</v>
      </c>
    </row>
    <row r="130" spans="3:6">
      <c r="C130" s="299" t="s">
        <v>432</v>
      </c>
      <c r="D130" s="425">
        <v>1314</v>
      </c>
      <c r="E130" t="s">
        <v>64</v>
      </c>
      <c r="F130" s="304">
        <v>850</v>
      </c>
    </row>
    <row r="131" spans="3:6">
      <c r="C131" s="299" t="s">
        <v>431</v>
      </c>
      <c r="D131" s="425">
        <v>1316</v>
      </c>
      <c r="E131" t="s">
        <v>64</v>
      </c>
      <c r="F131" s="304">
        <v>0</v>
      </c>
    </row>
    <row r="132" spans="3:6">
      <c r="C132" s="299" t="s">
        <v>433</v>
      </c>
      <c r="D132" s="425">
        <v>1318</v>
      </c>
      <c r="E132" t="s">
        <v>64</v>
      </c>
      <c r="F132" s="304">
        <v>960</v>
      </c>
    </row>
    <row r="133" spans="3:6">
      <c r="C133" s="299" t="s">
        <v>466</v>
      </c>
      <c r="D133" s="425">
        <v>9487</v>
      </c>
      <c r="E133" t="s">
        <v>64</v>
      </c>
      <c r="F133" s="304">
        <v>103750</v>
      </c>
    </row>
    <row r="134" spans="3:6">
      <c r="C134" s="299" t="s">
        <v>352</v>
      </c>
      <c r="D134" s="427">
        <v>10970</v>
      </c>
      <c r="E134" t="s">
        <v>64</v>
      </c>
      <c r="F134" s="304">
        <v>0</v>
      </c>
    </row>
    <row r="135" spans="3:6">
      <c r="C135" s="299" t="s">
        <v>462</v>
      </c>
      <c r="D135" s="425">
        <v>1549</v>
      </c>
      <c r="E135" t="s">
        <v>64</v>
      </c>
      <c r="F135" s="304">
        <v>5600</v>
      </c>
    </row>
    <row r="136" spans="3:6">
      <c r="C136" s="299" t="s">
        <v>463</v>
      </c>
      <c r="D136" s="425">
        <v>1550</v>
      </c>
      <c r="E136" t="s">
        <v>64</v>
      </c>
      <c r="F136" s="304">
        <v>1</v>
      </c>
    </row>
    <row r="137" spans="3:6" s="315" customFormat="1">
      <c r="C137" s="299" t="s">
        <v>660</v>
      </c>
      <c r="D137" s="425" t="s">
        <v>669</v>
      </c>
      <c r="E137" s="315" t="s">
        <v>64</v>
      </c>
      <c r="F137" s="316">
        <v>500000</v>
      </c>
    </row>
    <row r="138" spans="3:6">
      <c r="C138" s="302" t="s">
        <v>346</v>
      </c>
      <c r="D138" s="425">
        <v>1700</v>
      </c>
      <c r="E138" t="s">
        <v>64</v>
      </c>
      <c r="F138" s="304">
        <v>8800</v>
      </c>
    </row>
    <row r="139" spans="3:6">
      <c r="C139" s="303" t="s">
        <v>464</v>
      </c>
      <c r="D139" s="425">
        <v>1716</v>
      </c>
      <c r="E139" t="s">
        <v>64</v>
      </c>
      <c r="F139" s="304">
        <v>10200</v>
      </c>
    </row>
    <row r="140" spans="3:6">
      <c r="C140" s="302" t="s">
        <v>465</v>
      </c>
      <c r="D140" s="425">
        <v>1714</v>
      </c>
      <c r="E140" t="s">
        <v>64</v>
      </c>
      <c r="F140" s="304">
        <v>11000</v>
      </c>
    </row>
    <row r="141" spans="3:6" s="315" customFormat="1">
      <c r="C141" s="302" t="s">
        <v>688</v>
      </c>
      <c r="D141" s="425">
        <v>10501</v>
      </c>
      <c r="E141" s="315" t="s">
        <v>64</v>
      </c>
      <c r="F141" s="316">
        <v>716</v>
      </c>
    </row>
    <row r="142" spans="3:6" s="315" customFormat="1">
      <c r="C142" s="302" t="s">
        <v>663</v>
      </c>
      <c r="D142" s="425">
        <v>1774</v>
      </c>
      <c r="E142" s="315" t="s">
        <v>64</v>
      </c>
      <c r="F142" s="316">
        <v>1100</v>
      </c>
    </row>
    <row r="143" spans="3:6">
      <c r="C143" s="302" t="s">
        <v>467</v>
      </c>
      <c r="D143" s="425">
        <v>1798</v>
      </c>
      <c r="E143" t="s">
        <v>64</v>
      </c>
      <c r="F143" s="304">
        <v>31000</v>
      </c>
    </row>
    <row r="144" spans="3:6">
      <c r="C144" s="302" t="s">
        <v>557</v>
      </c>
      <c r="D144" s="425"/>
      <c r="E144" t="s">
        <v>64</v>
      </c>
      <c r="F144" s="304">
        <v>8800</v>
      </c>
    </row>
    <row r="145" spans="3:6">
      <c r="C145" s="302" t="s">
        <v>547</v>
      </c>
      <c r="D145" s="425">
        <v>1811</v>
      </c>
      <c r="E145" t="s">
        <v>64</v>
      </c>
      <c r="F145" s="304">
        <v>10924.33</v>
      </c>
    </row>
    <row r="146" spans="3:6">
      <c r="C146" s="302" t="s">
        <v>468</v>
      </c>
      <c r="D146" s="425">
        <v>1837</v>
      </c>
      <c r="E146" t="s">
        <v>64</v>
      </c>
      <c r="F146" s="304">
        <v>1112</v>
      </c>
    </row>
    <row r="147" spans="3:6">
      <c r="C147" s="299" t="s">
        <v>354</v>
      </c>
      <c r="D147" s="425">
        <v>6124</v>
      </c>
      <c r="E147" t="s">
        <v>64</v>
      </c>
      <c r="F147" s="304">
        <v>354</v>
      </c>
    </row>
    <row r="148" spans="3:6">
      <c r="C148" s="299" t="s">
        <v>377</v>
      </c>
      <c r="D148" s="425">
        <v>1851</v>
      </c>
      <c r="E148" t="s">
        <v>64</v>
      </c>
      <c r="F148" s="304">
        <v>480</v>
      </c>
    </row>
    <row r="149" spans="3:6">
      <c r="C149" s="299" t="s">
        <v>469</v>
      </c>
      <c r="D149" s="425">
        <v>1852</v>
      </c>
      <c r="E149" t="s">
        <v>64</v>
      </c>
      <c r="F149" s="304">
        <v>540</v>
      </c>
    </row>
    <row r="150" spans="3:6">
      <c r="C150" s="299" t="s">
        <v>548</v>
      </c>
      <c r="D150" s="425">
        <v>1965</v>
      </c>
      <c r="E150" t="s">
        <v>64</v>
      </c>
      <c r="F150" s="304">
        <v>152500</v>
      </c>
    </row>
    <row r="151" spans="3:6">
      <c r="C151" s="302" t="s">
        <v>561</v>
      </c>
      <c r="D151" s="425">
        <v>5399</v>
      </c>
      <c r="E151" t="s">
        <v>64</v>
      </c>
      <c r="F151" s="304">
        <v>2353577</v>
      </c>
    </row>
    <row r="152" spans="3:6">
      <c r="C152" s="302" t="s">
        <v>562</v>
      </c>
      <c r="D152" s="425">
        <v>5400</v>
      </c>
      <c r="E152" t="s">
        <v>64</v>
      </c>
      <c r="F152" s="304">
        <v>2353577</v>
      </c>
    </row>
    <row r="153" spans="3:6" s="315" customFormat="1">
      <c r="C153" s="299" t="s">
        <v>672</v>
      </c>
      <c r="D153" s="428" t="s">
        <v>673</v>
      </c>
      <c r="E153" s="315" t="s">
        <v>64</v>
      </c>
      <c r="F153" s="316">
        <f>2410000*1.19</f>
        <v>2867900</v>
      </c>
    </row>
    <row r="154" spans="3:6">
      <c r="C154" s="299" t="s">
        <v>497</v>
      </c>
      <c r="D154" s="428">
        <v>9508</v>
      </c>
      <c r="E154" t="s">
        <v>64</v>
      </c>
      <c r="F154" s="304">
        <v>0</v>
      </c>
    </row>
    <row r="155" spans="3:6">
      <c r="C155" s="299" t="s">
        <v>51</v>
      </c>
      <c r="D155" s="428">
        <v>5404</v>
      </c>
      <c r="E155" t="s">
        <v>64</v>
      </c>
      <c r="F155" s="304">
        <v>1401484</v>
      </c>
    </row>
    <row r="156" spans="3:6">
      <c r="C156" s="299" t="s">
        <v>498</v>
      </c>
      <c r="D156" s="428">
        <v>9509</v>
      </c>
      <c r="E156" t="s">
        <v>64</v>
      </c>
      <c r="F156" s="304">
        <f>146*3900*1.19*1.8</f>
        <v>1219654.8</v>
      </c>
    </row>
    <row r="157" spans="3:6">
      <c r="C157" s="299" t="s">
        <v>470</v>
      </c>
      <c r="D157" s="428">
        <v>4966</v>
      </c>
      <c r="E157" t="s">
        <v>64</v>
      </c>
      <c r="F157" s="304">
        <v>1510425</v>
      </c>
    </row>
    <row r="158" spans="3:6">
      <c r="C158" s="302" t="s">
        <v>348</v>
      </c>
      <c r="D158" s="425">
        <v>4962</v>
      </c>
      <c r="E158" t="s">
        <v>64</v>
      </c>
      <c r="F158" s="304">
        <v>981031</v>
      </c>
    </row>
    <row r="159" spans="3:6">
      <c r="C159" s="302" t="s">
        <v>345</v>
      </c>
      <c r="D159" s="425">
        <v>5402</v>
      </c>
      <c r="E159" t="s">
        <v>64</v>
      </c>
      <c r="F159" s="304">
        <v>1000068</v>
      </c>
    </row>
    <row r="160" spans="3:6">
      <c r="C160" s="302" t="s">
        <v>349</v>
      </c>
      <c r="D160" s="425">
        <v>4964</v>
      </c>
      <c r="E160" t="s">
        <v>64</v>
      </c>
      <c r="F160" s="304">
        <v>1144875</v>
      </c>
    </row>
    <row r="161" spans="3:6">
      <c r="C161" s="302" t="s">
        <v>545</v>
      </c>
      <c r="D161" s="425">
        <v>8991</v>
      </c>
      <c r="E161" t="s">
        <v>64</v>
      </c>
      <c r="F161" s="304">
        <v>650252</v>
      </c>
    </row>
    <row r="162" spans="3:6">
      <c r="C162" s="302" t="s">
        <v>546</v>
      </c>
      <c r="D162" s="425">
        <v>2513</v>
      </c>
      <c r="E162" t="s">
        <v>64</v>
      </c>
      <c r="F162" s="304">
        <v>810000</v>
      </c>
    </row>
    <row r="163" spans="3:6">
      <c r="C163" s="299" t="s">
        <v>378</v>
      </c>
      <c r="D163" s="425">
        <v>2757</v>
      </c>
      <c r="E163" t="s">
        <v>64</v>
      </c>
      <c r="F163" s="304">
        <v>4911</v>
      </c>
    </row>
    <row r="164" spans="3:6">
      <c r="C164" s="299" t="s">
        <v>501</v>
      </c>
      <c r="D164" s="425">
        <v>2784</v>
      </c>
      <c r="E164" t="s">
        <v>64</v>
      </c>
      <c r="F164" s="304">
        <v>5286</v>
      </c>
    </row>
    <row r="165" spans="3:6">
      <c r="C165" s="299" t="s">
        <v>549</v>
      </c>
      <c r="D165" s="425">
        <v>2796</v>
      </c>
      <c r="E165" t="s">
        <v>64</v>
      </c>
      <c r="F165" s="304">
        <v>6096</v>
      </c>
    </row>
    <row r="166" spans="3:6">
      <c r="C166" s="299" t="s">
        <v>500</v>
      </c>
      <c r="D166" s="425">
        <v>9659</v>
      </c>
      <c r="E166" t="s">
        <v>64</v>
      </c>
      <c r="F166" s="304">
        <v>1937</v>
      </c>
    </row>
    <row r="167" spans="3:6">
      <c r="C167" s="299" t="s">
        <v>499</v>
      </c>
      <c r="D167" s="425">
        <v>10948</v>
      </c>
      <c r="E167" t="s">
        <v>64</v>
      </c>
      <c r="F167" s="304">
        <v>10200</v>
      </c>
    </row>
    <row r="168" spans="3:6">
      <c r="C168" s="299" t="s">
        <v>351</v>
      </c>
      <c r="D168" s="425">
        <v>10969</v>
      </c>
      <c r="E168" t="s">
        <v>64</v>
      </c>
      <c r="F168" s="304">
        <v>0</v>
      </c>
    </row>
    <row r="169" spans="3:6">
      <c r="C169" s="299" t="s">
        <v>553</v>
      </c>
      <c r="D169" s="425">
        <v>2902</v>
      </c>
      <c r="E169" t="s">
        <v>64</v>
      </c>
      <c r="F169" s="304">
        <v>11200</v>
      </c>
    </row>
    <row r="170" spans="3:6">
      <c r="C170" s="299" t="s">
        <v>510</v>
      </c>
      <c r="D170" s="425">
        <v>10740</v>
      </c>
      <c r="E170" t="s">
        <v>64</v>
      </c>
      <c r="F170" s="304">
        <v>990000</v>
      </c>
    </row>
    <row r="171" spans="3:6">
      <c r="C171" s="299" t="s">
        <v>391</v>
      </c>
      <c r="D171" s="425">
        <v>10974</v>
      </c>
      <c r="E171" t="s">
        <v>64</v>
      </c>
      <c r="F171" s="304">
        <v>0</v>
      </c>
    </row>
    <row r="172" spans="3:6">
      <c r="C172" s="299" t="s">
        <v>513</v>
      </c>
      <c r="D172" s="425">
        <v>10474</v>
      </c>
      <c r="E172" t="s">
        <v>64</v>
      </c>
      <c r="F172" s="304">
        <v>1100000</v>
      </c>
    </row>
    <row r="173" spans="3:6">
      <c r="C173" s="299" t="s">
        <v>506</v>
      </c>
      <c r="D173" s="425">
        <v>5838</v>
      </c>
      <c r="E173" t="s">
        <v>64</v>
      </c>
      <c r="F173" s="304">
        <v>616000</v>
      </c>
    </row>
    <row r="174" spans="3:6">
      <c r="C174" s="299" t="s">
        <v>390</v>
      </c>
      <c r="D174" s="425"/>
      <c r="E174" t="s">
        <v>64</v>
      </c>
      <c r="F174" s="304">
        <v>0</v>
      </c>
    </row>
    <row r="175" spans="3:6">
      <c r="C175" s="299" t="s">
        <v>511</v>
      </c>
      <c r="D175" s="425">
        <v>10742</v>
      </c>
      <c r="E175" t="s">
        <v>64</v>
      </c>
      <c r="F175" s="304">
        <v>1350000</v>
      </c>
    </row>
    <row r="176" spans="3:6">
      <c r="C176" s="299" t="s">
        <v>508</v>
      </c>
      <c r="D176" s="425">
        <v>8709</v>
      </c>
      <c r="E176" t="s">
        <v>64</v>
      </c>
      <c r="F176" s="304">
        <v>1045000</v>
      </c>
    </row>
    <row r="177" spans="3:6">
      <c r="C177" s="299" t="s">
        <v>509</v>
      </c>
      <c r="D177" s="425">
        <v>5839</v>
      </c>
      <c r="E177" t="s">
        <v>64</v>
      </c>
      <c r="F177" s="304">
        <v>1045000</v>
      </c>
    </row>
    <row r="178" spans="3:6" s="315" customFormat="1">
      <c r="C178" s="299" t="s">
        <v>709</v>
      </c>
      <c r="D178" s="425">
        <v>11372</v>
      </c>
      <c r="E178" s="315" t="s">
        <v>64</v>
      </c>
      <c r="F178" s="316">
        <v>1253952</v>
      </c>
    </row>
    <row r="179" spans="3:6">
      <c r="C179" s="299" t="s">
        <v>505</v>
      </c>
      <c r="D179" s="425">
        <v>7149</v>
      </c>
      <c r="E179" t="s">
        <v>64</v>
      </c>
      <c r="F179" s="304">
        <v>1103952</v>
      </c>
    </row>
    <row r="180" spans="3:6">
      <c r="C180" s="299" t="s">
        <v>503</v>
      </c>
      <c r="D180" s="425">
        <v>2976</v>
      </c>
      <c r="E180" t="s">
        <v>64</v>
      </c>
      <c r="F180" s="304">
        <v>0</v>
      </c>
    </row>
    <row r="181" spans="3:6">
      <c r="C181" s="299" t="s">
        <v>512</v>
      </c>
      <c r="D181" s="425">
        <v>10503</v>
      </c>
      <c r="E181" t="s">
        <v>64</v>
      </c>
      <c r="F181" s="316">
        <v>1400000</v>
      </c>
    </row>
    <row r="182" spans="3:6">
      <c r="C182" s="299" t="s">
        <v>507</v>
      </c>
      <c r="D182" s="425">
        <v>10162</v>
      </c>
      <c r="E182" t="s">
        <v>64</v>
      </c>
      <c r="F182" s="316">
        <v>980000</v>
      </c>
    </row>
    <row r="183" spans="3:6">
      <c r="C183" s="299" t="s">
        <v>504</v>
      </c>
      <c r="D183" s="425">
        <v>2977</v>
      </c>
      <c r="E183" t="s">
        <v>64</v>
      </c>
      <c r="F183" s="304">
        <v>0</v>
      </c>
    </row>
    <row r="184" spans="3:6">
      <c r="C184" s="299" t="s">
        <v>514</v>
      </c>
      <c r="D184" s="425">
        <v>9493</v>
      </c>
      <c r="E184" t="s">
        <v>64</v>
      </c>
      <c r="F184" s="304">
        <v>1473200</v>
      </c>
    </row>
    <row r="185" spans="3:6">
      <c r="C185" s="299" t="s">
        <v>380</v>
      </c>
      <c r="D185" s="425">
        <v>2978</v>
      </c>
      <c r="E185" t="s">
        <v>64</v>
      </c>
      <c r="F185" s="304">
        <v>0</v>
      </c>
    </row>
    <row r="186" spans="3:6">
      <c r="C186" s="299" t="s">
        <v>515</v>
      </c>
      <c r="D186" s="425">
        <v>2991</v>
      </c>
      <c r="E186" t="s">
        <v>64</v>
      </c>
      <c r="F186" s="304">
        <v>500</v>
      </c>
    </row>
    <row r="187" spans="3:6">
      <c r="C187" s="299" t="s">
        <v>516</v>
      </c>
      <c r="D187" s="425">
        <v>2992</v>
      </c>
      <c r="E187" t="s">
        <v>64</v>
      </c>
      <c r="F187" s="304">
        <v>1100</v>
      </c>
    </row>
    <row r="188" spans="3:6">
      <c r="C188" s="302" t="s">
        <v>318</v>
      </c>
      <c r="D188" s="425">
        <v>5408</v>
      </c>
      <c r="E188" t="s">
        <v>64</v>
      </c>
      <c r="F188" s="304">
        <v>1401484</v>
      </c>
    </row>
    <row r="189" spans="3:6">
      <c r="C189" s="302" t="s">
        <v>319</v>
      </c>
      <c r="D189" s="425">
        <v>5409</v>
      </c>
      <c r="E189" t="s">
        <v>64</v>
      </c>
      <c r="F189" s="304">
        <v>1991653</v>
      </c>
    </row>
    <row r="190" spans="3:6">
      <c r="C190" s="299" t="s">
        <v>502</v>
      </c>
      <c r="D190" s="425">
        <v>9515</v>
      </c>
      <c r="E190" t="s">
        <v>64</v>
      </c>
      <c r="F190" s="304">
        <v>0</v>
      </c>
    </row>
    <row r="191" spans="3:6">
      <c r="C191" s="299" t="s">
        <v>384</v>
      </c>
      <c r="D191" s="425">
        <v>4962</v>
      </c>
      <c r="E191" t="s">
        <v>64</v>
      </c>
      <c r="F191" s="304">
        <v>803122.19</v>
      </c>
    </row>
    <row r="192" spans="3:6">
      <c r="C192" s="299" t="s">
        <v>369</v>
      </c>
      <c r="D192" s="425">
        <v>9516</v>
      </c>
      <c r="E192" t="s">
        <v>64</v>
      </c>
      <c r="F192" s="304">
        <v>0</v>
      </c>
    </row>
    <row r="193" spans="3:6" s="315" customFormat="1">
      <c r="C193" s="299" t="s">
        <v>664</v>
      </c>
      <c r="D193" s="425">
        <v>8872</v>
      </c>
      <c r="E193" s="315" t="s">
        <v>64</v>
      </c>
      <c r="F193" s="316">
        <v>32000</v>
      </c>
    </row>
    <row r="194" spans="3:6">
      <c r="C194" s="299" t="s">
        <v>550</v>
      </c>
      <c r="D194" s="425">
        <v>3360</v>
      </c>
      <c r="E194" t="s">
        <v>64</v>
      </c>
      <c r="F194" s="304">
        <v>14000</v>
      </c>
    </row>
    <row r="195" spans="3:6">
      <c r="C195" s="299" t="s">
        <v>612</v>
      </c>
      <c r="D195" s="425" t="s">
        <v>667</v>
      </c>
      <c r="E195" t="s">
        <v>64</v>
      </c>
      <c r="F195" s="304">
        <v>65000</v>
      </c>
    </row>
    <row r="196" spans="3:6">
      <c r="C196" s="299" t="s">
        <v>556</v>
      </c>
      <c r="D196" s="425">
        <v>9491</v>
      </c>
      <c r="E196" t="s">
        <v>64</v>
      </c>
      <c r="F196" s="304">
        <v>0</v>
      </c>
    </row>
    <row r="197" spans="3:6">
      <c r="C197" s="299" t="s">
        <v>555</v>
      </c>
      <c r="D197" s="425">
        <v>9615</v>
      </c>
      <c r="E197" t="s">
        <v>64</v>
      </c>
      <c r="F197" s="304">
        <v>2500</v>
      </c>
    </row>
    <row r="198" spans="3:6">
      <c r="C198" s="299" t="s">
        <v>518</v>
      </c>
      <c r="D198" s="425">
        <v>3664</v>
      </c>
      <c r="E198" t="s">
        <v>64</v>
      </c>
      <c r="F198" s="304">
        <v>5600</v>
      </c>
    </row>
    <row r="199" spans="3:6">
      <c r="C199" s="299" t="s">
        <v>519</v>
      </c>
      <c r="D199" s="425">
        <v>10285</v>
      </c>
      <c r="E199" t="s">
        <v>64</v>
      </c>
      <c r="F199" s="304">
        <v>1680</v>
      </c>
    </row>
    <row r="200" spans="3:6">
      <c r="C200" s="299" t="s">
        <v>517</v>
      </c>
      <c r="D200" s="425">
        <v>3669</v>
      </c>
      <c r="E200" t="s">
        <v>64</v>
      </c>
      <c r="F200" s="304">
        <v>2500</v>
      </c>
    </row>
    <row r="201" spans="3:6">
      <c r="C201" s="299" t="s">
        <v>362</v>
      </c>
      <c r="D201" s="425">
        <v>5334</v>
      </c>
      <c r="E201" t="s">
        <v>64</v>
      </c>
      <c r="F201" s="304">
        <v>2293</v>
      </c>
    </row>
    <row r="202" spans="3:6">
      <c r="C202" s="299" t="s">
        <v>521</v>
      </c>
      <c r="D202" s="425">
        <v>3846</v>
      </c>
      <c r="E202" t="s">
        <v>64</v>
      </c>
      <c r="F202" s="304">
        <v>1760000</v>
      </c>
    </row>
    <row r="203" spans="3:6">
      <c r="C203" s="299" t="s">
        <v>522</v>
      </c>
      <c r="D203" s="425">
        <v>3849</v>
      </c>
      <c r="E203" t="s">
        <v>64</v>
      </c>
      <c r="F203" s="304">
        <v>2200000</v>
      </c>
    </row>
    <row r="204" spans="3:6">
      <c r="C204" s="299" t="s">
        <v>520</v>
      </c>
      <c r="D204" s="425">
        <v>3848</v>
      </c>
      <c r="E204" t="s">
        <v>64</v>
      </c>
      <c r="F204" s="304">
        <v>0</v>
      </c>
    </row>
    <row r="205" spans="3:6">
      <c r="C205" s="299" t="s">
        <v>387</v>
      </c>
      <c r="D205" s="425">
        <v>7150</v>
      </c>
      <c r="E205" t="s">
        <v>64</v>
      </c>
      <c r="F205" s="304">
        <v>64000</v>
      </c>
    </row>
    <row r="206" spans="3:6">
      <c r="C206" s="299" t="s">
        <v>524</v>
      </c>
      <c r="D206" s="425">
        <v>3905</v>
      </c>
      <c r="E206" t="s">
        <v>64</v>
      </c>
      <c r="F206" s="304">
        <v>41847.5</v>
      </c>
    </row>
    <row r="207" spans="3:6">
      <c r="C207" s="299" t="s">
        <v>523</v>
      </c>
      <c r="D207" s="425">
        <v>3907</v>
      </c>
      <c r="E207" t="s">
        <v>64</v>
      </c>
      <c r="F207" s="304">
        <v>165000</v>
      </c>
    </row>
    <row r="208" spans="3:6">
      <c r="C208" s="299" t="s">
        <v>525</v>
      </c>
      <c r="D208" s="425">
        <v>3908</v>
      </c>
      <c r="E208" t="s">
        <v>64</v>
      </c>
    </row>
    <row r="209" spans="3:6" s="315" customFormat="1">
      <c r="C209" s="299" t="s">
        <v>738</v>
      </c>
      <c r="D209" s="425" t="s">
        <v>737</v>
      </c>
      <c r="E209" s="315" t="s">
        <v>64</v>
      </c>
      <c r="F209" s="316">
        <v>52200</v>
      </c>
    </row>
    <row r="210" spans="3:6">
      <c r="C210" s="299" t="s">
        <v>528</v>
      </c>
      <c r="D210" s="425">
        <v>3961</v>
      </c>
      <c r="E210" t="s">
        <v>64</v>
      </c>
      <c r="F210" s="304">
        <v>9214</v>
      </c>
    </row>
    <row r="211" spans="3:6">
      <c r="C211" s="299" t="s">
        <v>527</v>
      </c>
      <c r="D211" s="425">
        <v>3963</v>
      </c>
      <c r="E211" t="s">
        <v>64</v>
      </c>
      <c r="F211" s="304">
        <v>6200</v>
      </c>
    </row>
    <row r="212" spans="3:6">
      <c r="C212" s="299" t="s">
        <v>529</v>
      </c>
      <c r="D212" s="425">
        <v>3965</v>
      </c>
      <c r="E212" t="s">
        <v>64</v>
      </c>
      <c r="F212" s="304">
        <v>20000</v>
      </c>
    </row>
    <row r="213" spans="3:6">
      <c r="C213" s="299" t="s">
        <v>526</v>
      </c>
      <c r="D213" s="425">
        <v>3967</v>
      </c>
      <c r="E213" t="s">
        <v>64</v>
      </c>
      <c r="F213" s="304">
        <v>2612</v>
      </c>
    </row>
    <row r="214" spans="3:6">
      <c r="C214" s="299" t="s">
        <v>389</v>
      </c>
      <c r="D214" s="426">
        <v>7148</v>
      </c>
      <c r="E214" t="s">
        <v>64</v>
      </c>
      <c r="F214" s="304">
        <v>3800</v>
      </c>
    </row>
    <row r="215" spans="3:6">
      <c r="C215" s="299" t="s">
        <v>551</v>
      </c>
      <c r="D215" s="426">
        <v>9494</v>
      </c>
      <c r="E215" t="s">
        <v>64</v>
      </c>
      <c r="F215" s="304">
        <v>1092.44</v>
      </c>
    </row>
    <row r="216" spans="3:6">
      <c r="C216" s="299" t="s">
        <v>533</v>
      </c>
      <c r="D216" s="426">
        <v>10167</v>
      </c>
      <c r="E216" t="s">
        <v>64</v>
      </c>
      <c r="F216" s="304">
        <v>17780</v>
      </c>
    </row>
    <row r="217" spans="3:6">
      <c r="C217" s="299" t="s">
        <v>531</v>
      </c>
      <c r="D217" s="426">
        <v>4118</v>
      </c>
      <c r="E217" t="s">
        <v>64</v>
      </c>
      <c r="F217" s="304">
        <v>109020.15</v>
      </c>
    </row>
    <row r="218" spans="3:6">
      <c r="C218" s="299" t="s">
        <v>532</v>
      </c>
      <c r="D218" s="426">
        <v>4796</v>
      </c>
      <c r="E218" t="s">
        <v>64</v>
      </c>
      <c r="F218" s="304">
        <v>7827</v>
      </c>
    </row>
    <row r="219" spans="3:6">
      <c r="C219" s="299" t="s">
        <v>530</v>
      </c>
      <c r="D219" s="426">
        <v>4798</v>
      </c>
      <c r="E219" t="s">
        <v>64</v>
      </c>
      <c r="F219" s="304">
        <v>7999</v>
      </c>
    </row>
    <row r="220" spans="3:6">
      <c r="C220" s="315" t="s">
        <v>752</v>
      </c>
      <c r="D220" s="424" t="s">
        <v>772</v>
      </c>
      <c r="E220" s="315" t="s">
        <v>714</v>
      </c>
      <c r="F220" s="316">
        <v>85000</v>
      </c>
    </row>
    <row r="221" spans="3:6">
      <c r="C221" s="315" t="s">
        <v>753</v>
      </c>
      <c r="D221" s="424" t="s">
        <v>775</v>
      </c>
      <c r="E221" s="315" t="s">
        <v>756</v>
      </c>
      <c r="F221" s="316">
        <v>25000</v>
      </c>
    </row>
    <row r="222" spans="3:6">
      <c r="C222" s="315" t="s">
        <v>754</v>
      </c>
      <c r="D222" s="424" t="s">
        <v>773</v>
      </c>
      <c r="E222" s="315" t="s">
        <v>714</v>
      </c>
      <c r="F222" s="316">
        <v>115000</v>
      </c>
    </row>
    <row r="223" spans="3:6">
      <c r="C223" s="315" t="s">
        <v>755</v>
      </c>
      <c r="D223" s="424" t="s">
        <v>774</v>
      </c>
      <c r="E223" s="315" t="s">
        <v>757</v>
      </c>
      <c r="F223" s="316">
        <v>19800</v>
      </c>
    </row>
    <row r="224" spans="3:6">
      <c r="C224" s="315" t="s">
        <v>759</v>
      </c>
      <c r="D224" s="424" t="s">
        <v>777</v>
      </c>
      <c r="E224" s="315" t="s">
        <v>396</v>
      </c>
      <c r="F224" s="316">
        <v>55600</v>
      </c>
    </row>
    <row r="225" spans="3:6">
      <c r="C225" s="315" t="s">
        <v>758</v>
      </c>
      <c r="D225" s="424" t="s">
        <v>778</v>
      </c>
      <c r="E225" s="315" t="s">
        <v>396</v>
      </c>
      <c r="F225" s="316">
        <v>117800</v>
      </c>
    </row>
    <row r="226" spans="3:6">
      <c r="C226" s="315" t="s">
        <v>760</v>
      </c>
      <c r="D226" s="424" t="s">
        <v>779</v>
      </c>
      <c r="E226" s="315" t="s">
        <v>396</v>
      </c>
      <c r="F226" s="316">
        <v>18000</v>
      </c>
    </row>
    <row r="227" spans="3:6">
      <c r="C227" s="315" t="s">
        <v>761</v>
      </c>
      <c r="D227" s="424" t="s">
        <v>780</v>
      </c>
      <c r="E227" s="315" t="s">
        <v>768</v>
      </c>
      <c r="F227" s="316">
        <v>7268</v>
      </c>
    </row>
    <row r="228" spans="3:6">
      <c r="C228" t="s">
        <v>776</v>
      </c>
      <c r="D228" s="424" t="s">
        <v>781</v>
      </c>
      <c r="E228" t="s">
        <v>64</v>
      </c>
      <c r="F228" s="304">
        <v>350000</v>
      </c>
    </row>
  </sheetData>
  <autoFilter ref="B2:F2" xr:uid="{00000000-0009-0000-0000-000002000000}">
    <sortState xmlns:xlrd2="http://schemas.microsoft.com/office/spreadsheetml/2017/richdata2" ref="B3:F200">
      <sortCondition ref="C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633C-0240-429B-AFE3-7F8C5C218FB7}">
  <dimension ref="A1:P19"/>
  <sheetViews>
    <sheetView workbookViewId="0">
      <selection activeCell="C14" sqref="C14"/>
    </sheetView>
  </sheetViews>
  <sheetFormatPr baseColWidth="10" defaultRowHeight="15"/>
  <cols>
    <col min="1" max="1" width="34.85546875" customWidth="1"/>
    <col min="8" max="8" width="14" customWidth="1"/>
    <col min="14" max="14" width="15.5703125" bestFit="1" customWidth="1"/>
    <col min="16" max="16" width="13" bestFit="1" customWidth="1"/>
  </cols>
  <sheetData>
    <row r="1" spans="1:16">
      <c r="A1" t="s">
        <v>748</v>
      </c>
      <c r="B1" t="s">
        <v>771</v>
      </c>
      <c r="G1" t="s">
        <v>769</v>
      </c>
      <c r="H1">
        <v>455</v>
      </c>
      <c r="L1" t="s">
        <v>770</v>
      </c>
    </row>
    <row r="2" spans="1:16">
      <c r="L2">
        <v>0.3</v>
      </c>
    </row>
    <row r="3" spans="1:16">
      <c r="A3" t="s">
        <v>749</v>
      </c>
      <c r="B3" t="s">
        <v>5</v>
      </c>
      <c r="C3" t="s">
        <v>750</v>
      </c>
      <c r="D3" t="s">
        <v>395</v>
      </c>
      <c r="E3" t="s">
        <v>751</v>
      </c>
    </row>
    <row r="4" spans="1:16">
      <c r="A4" t="s">
        <v>752</v>
      </c>
      <c r="B4" t="s">
        <v>714</v>
      </c>
      <c r="C4">
        <v>0.67</v>
      </c>
      <c r="D4" s="316">
        <v>85000</v>
      </c>
      <c r="E4" s="316">
        <f>D4*C4</f>
        <v>56950</v>
      </c>
      <c r="G4">
        <f>C4*$H$1</f>
        <v>304.85000000000002</v>
      </c>
      <c r="H4" s="316">
        <f>G4*D4</f>
        <v>25912250.000000004</v>
      </c>
      <c r="L4" s="460">
        <f>(C4*$L$2)/$C$10</f>
        <v>0.51538461538461544</v>
      </c>
      <c r="M4">
        <f>L4*$H$1</f>
        <v>234.50000000000003</v>
      </c>
      <c r="N4" s="316">
        <f>M4*D4</f>
        <v>19932500.000000004</v>
      </c>
      <c r="P4" s="316">
        <f>L4*D4</f>
        <v>43807.692307692312</v>
      </c>
    </row>
    <row r="5" spans="1:16">
      <c r="A5" t="s">
        <v>753</v>
      </c>
      <c r="B5" t="s">
        <v>756</v>
      </c>
      <c r="C5">
        <v>8.4</v>
      </c>
      <c r="D5" s="316">
        <v>25000</v>
      </c>
      <c r="E5" s="316">
        <f t="shared" ref="E5:E7" si="0">D5*C5</f>
        <v>210000</v>
      </c>
      <c r="G5" s="315">
        <f t="shared" ref="G5:G7" si="1">C5*$H$1</f>
        <v>3822</v>
      </c>
      <c r="H5" s="316">
        <f t="shared" ref="H5:H7" si="2">G5*D5</f>
        <v>95550000</v>
      </c>
      <c r="L5" s="460">
        <f t="shared" ref="L5:L7" si="3">(C5*$L$2)/$C$10</f>
        <v>6.4615384615384617</v>
      </c>
      <c r="M5" s="315">
        <f t="shared" ref="M5:M7" si="4">L5*$H$1</f>
        <v>2940</v>
      </c>
      <c r="N5" s="316">
        <f t="shared" ref="N5:N7" si="5">M5*D5</f>
        <v>73500000</v>
      </c>
      <c r="P5" s="316">
        <f t="shared" ref="P5:P7" si="6">L5*D5</f>
        <v>161538.46153846153</v>
      </c>
    </row>
    <row r="6" spans="1:16">
      <c r="A6" t="s">
        <v>754</v>
      </c>
      <c r="B6" t="s">
        <v>714</v>
      </c>
      <c r="C6">
        <v>0.67</v>
      </c>
      <c r="D6" s="316">
        <v>115000</v>
      </c>
      <c r="E6" s="316">
        <f t="shared" si="0"/>
        <v>77050</v>
      </c>
      <c r="G6" s="315">
        <f t="shared" si="1"/>
        <v>304.85000000000002</v>
      </c>
      <c r="H6" s="316">
        <f t="shared" si="2"/>
        <v>35057750</v>
      </c>
      <c r="L6" s="460">
        <f t="shared" si="3"/>
        <v>0.51538461538461544</v>
      </c>
      <c r="M6" s="315">
        <f t="shared" si="4"/>
        <v>234.50000000000003</v>
      </c>
      <c r="N6" s="316">
        <f t="shared" si="5"/>
        <v>26967500.000000004</v>
      </c>
      <c r="P6" s="316">
        <f t="shared" si="6"/>
        <v>59269.230769230773</v>
      </c>
    </row>
    <row r="7" spans="1:16">
      <c r="A7" t="s">
        <v>755</v>
      </c>
      <c r="B7" t="s">
        <v>757</v>
      </c>
      <c r="C7">
        <v>2.1</v>
      </c>
      <c r="D7" s="316">
        <v>19800</v>
      </c>
      <c r="E7" s="316">
        <f t="shared" si="0"/>
        <v>41580</v>
      </c>
      <c r="G7" s="315">
        <f t="shared" si="1"/>
        <v>955.5</v>
      </c>
      <c r="H7" s="316">
        <f t="shared" si="2"/>
        <v>18918900</v>
      </c>
      <c r="L7" s="460">
        <f t="shared" si="3"/>
        <v>1.6153846153846154</v>
      </c>
      <c r="M7" s="315">
        <f t="shared" si="4"/>
        <v>735</v>
      </c>
      <c r="N7" s="316">
        <f t="shared" si="5"/>
        <v>14553000</v>
      </c>
      <c r="P7" s="316">
        <f t="shared" si="6"/>
        <v>31984.615384615387</v>
      </c>
    </row>
    <row r="8" spans="1:16">
      <c r="D8" s="316"/>
      <c r="E8" s="316">
        <f>SUM(E4:E7)</f>
        <v>385580</v>
      </c>
      <c r="M8">
        <f>SUM(M4:M7)</f>
        <v>4144</v>
      </c>
      <c r="N8" s="451">
        <f>SUM(N4:N7)</f>
        <v>134953000</v>
      </c>
      <c r="P8" s="461">
        <f>SUM(P4:P7)</f>
        <v>296600</v>
      </c>
    </row>
    <row r="10" spans="1:16">
      <c r="A10" t="s">
        <v>748</v>
      </c>
      <c r="B10" t="s">
        <v>714</v>
      </c>
      <c r="C10" s="315">
        <v>0.39</v>
      </c>
      <c r="D10" s="316">
        <f>P8</f>
        <v>296600</v>
      </c>
      <c r="E10" s="316">
        <f>D10*C10</f>
        <v>115674</v>
      </c>
    </row>
    <row r="11" spans="1:16">
      <c r="A11" t="s">
        <v>759</v>
      </c>
      <c r="B11" s="315" t="s">
        <v>396</v>
      </c>
      <c r="C11" s="315">
        <v>0.47</v>
      </c>
      <c r="D11" s="316">
        <v>55600</v>
      </c>
      <c r="E11" s="316">
        <f t="shared" ref="E11:E19" si="7">D11*C11</f>
        <v>26132</v>
      </c>
      <c r="M11">
        <f>(C11*H1)/6</f>
        <v>35.641666666666666</v>
      </c>
    </row>
    <row r="12" spans="1:16">
      <c r="A12" t="s">
        <v>758</v>
      </c>
      <c r="B12" t="s">
        <v>396</v>
      </c>
      <c r="C12" s="315">
        <v>0.47</v>
      </c>
      <c r="D12" s="316">
        <v>117800</v>
      </c>
      <c r="E12" s="316">
        <f t="shared" si="7"/>
        <v>55366</v>
      </c>
      <c r="M12" s="315">
        <f>(C12*H1)/6</f>
        <v>35.641666666666666</v>
      </c>
    </row>
    <row r="13" spans="1:16">
      <c r="A13" t="s">
        <v>760</v>
      </c>
      <c r="B13" s="315" t="s">
        <v>396</v>
      </c>
      <c r="C13" s="315">
        <v>2</v>
      </c>
      <c r="D13" s="316">
        <v>18000</v>
      </c>
      <c r="E13" s="316">
        <f t="shared" si="7"/>
        <v>36000</v>
      </c>
      <c r="M13">
        <f>(C13*H1)/6</f>
        <v>151.66666666666666</v>
      </c>
    </row>
    <row r="14" spans="1:16">
      <c r="A14" t="s">
        <v>761</v>
      </c>
      <c r="B14" s="315" t="s">
        <v>768</v>
      </c>
      <c r="C14" s="315">
        <v>0.2</v>
      </c>
      <c r="D14" s="316">
        <v>7268</v>
      </c>
      <c r="E14" s="316">
        <f t="shared" si="7"/>
        <v>1453.6000000000001</v>
      </c>
      <c r="M14">
        <f>(C14*H1)</f>
        <v>91</v>
      </c>
    </row>
    <row r="15" spans="1:16">
      <c r="A15" t="s">
        <v>762</v>
      </c>
      <c r="B15" t="s">
        <v>768</v>
      </c>
      <c r="C15" s="315">
        <v>0.21</v>
      </c>
      <c r="D15" s="316">
        <v>11780</v>
      </c>
      <c r="E15" s="316">
        <f t="shared" si="7"/>
        <v>2473.7999999999997</v>
      </c>
    </row>
    <row r="16" spans="1:16">
      <c r="A16" t="s">
        <v>763</v>
      </c>
      <c r="B16" t="s">
        <v>64</v>
      </c>
      <c r="C16" s="315">
        <v>0.08</v>
      </c>
      <c r="D16" s="316">
        <v>5000</v>
      </c>
      <c r="E16" s="316">
        <f t="shared" si="7"/>
        <v>400</v>
      </c>
    </row>
    <row r="17" spans="1:5">
      <c r="A17" t="s">
        <v>764</v>
      </c>
      <c r="B17" t="s">
        <v>64</v>
      </c>
      <c r="C17" s="315">
        <v>0.13</v>
      </c>
      <c r="D17" s="316">
        <v>3500</v>
      </c>
      <c r="E17" s="316">
        <f t="shared" si="7"/>
        <v>455</v>
      </c>
    </row>
    <row r="18" spans="1:5">
      <c r="A18" t="s">
        <v>765</v>
      </c>
      <c r="B18" t="s">
        <v>767</v>
      </c>
      <c r="C18" s="315">
        <v>2.4</v>
      </c>
      <c r="D18" s="316">
        <v>62100</v>
      </c>
      <c r="E18" s="316">
        <f t="shared" si="7"/>
        <v>149040</v>
      </c>
    </row>
    <row r="19" spans="1:5">
      <c r="A19" t="s">
        <v>766</v>
      </c>
      <c r="B19" s="315" t="s">
        <v>64</v>
      </c>
      <c r="C19" s="315">
        <v>3.4</v>
      </c>
      <c r="D19" s="316">
        <v>16900</v>
      </c>
      <c r="E19" s="316">
        <f t="shared" si="7"/>
        <v>57460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65"/>
  <sheetViews>
    <sheetView topLeftCell="B28" workbookViewId="0">
      <selection activeCell="C35" sqref="C35"/>
    </sheetView>
  </sheetViews>
  <sheetFormatPr baseColWidth="10" defaultRowHeight="15"/>
  <cols>
    <col min="2" max="2" width="3.7109375" customWidth="1"/>
    <col min="3" max="3" width="62.140625" customWidth="1"/>
    <col min="6" max="6" width="10.5703125" style="316" customWidth="1"/>
  </cols>
  <sheetData>
    <row r="1" spans="2:6">
      <c r="C1" s="308"/>
      <c r="D1" s="308"/>
      <c r="E1" s="308"/>
    </row>
    <row r="2" spans="2:6">
      <c r="B2" t="s">
        <v>392</v>
      </c>
      <c r="C2" s="417" t="s">
        <v>393</v>
      </c>
      <c r="D2" s="417" t="s">
        <v>394</v>
      </c>
      <c r="E2" s="418" t="s">
        <v>5</v>
      </c>
      <c r="F2" s="419" t="s">
        <v>395</v>
      </c>
    </row>
    <row r="3" spans="2:6" s="315" customFormat="1">
      <c r="C3" s="417" t="s">
        <v>642</v>
      </c>
      <c r="D3" s="417" t="s">
        <v>642</v>
      </c>
      <c r="E3" s="418" t="s">
        <v>642</v>
      </c>
      <c r="F3" s="419"/>
    </row>
    <row r="4" spans="2:6" ht="15.75">
      <c r="C4" s="313" t="s">
        <v>624</v>
      </c>
      <c r="D4" s="312"/>
      <c r="E4" s="308"/>
      <c r="F4" s="420"/>
    </row>
    <row r="5" spans="2:6">
      <c r="C5" s="306" t="s">
        <v>406</v>
      </c>
      <c r="D5" s="307">
        <v>8701</v>
      </c>
      <c r="E5" s="308" t="s">
        <v>64</v>
      </c>
      <c r="F5" s="409">
        <v>10000</v>
      </c>
    </row>
    <row r="6" spans="2:6">
      <c r="C6" s="306" t="s">
        <v>382</v>
      </c>
      <c r="D6" s="307">
        <v>8701</v>
      </c>
      <c r="E6" s="308" t="s">
        <v>64</v>
      </c>
      <c r="F6" s="409">
        <v>10000</v>
      </c>
    </row>
    <row r="7" spans="2:6" ht="45">
      <c r="C7" s="306" t="s">
        <v>616</v>
      </c>
      <c r="D7" s="307">
        <v>7158</v>
      </c>
      <c r="E7" s="308" t="s">
        <v>64</v>
      </c>
      <c r="F7" s="409">
        <v>33000</v>
      </c>
    </row>
    <row r="8" spans="2:6" ht="45">
      <c r="C8" s="306" t="s">
        <v>615</v>
      </c>
      <c r="D8" s="307">
        <v>7158</v>
      </c>
      <c r="E8" s="308" t="s">
        <v>64</v>
      </c>
      <c r="F8" s="409">
        <v>23000</v>
      </c>
    </row>
    <row r="9" spans="2:6" ht="45">
      <c r="C9" s="306" t="s">
        <v>614</v>
      </c>
      <c r="D9" s="307">
        <v>7157</v>
      </c>
      <c r="E9" s="308" t="s">
        <v>64</v>
      </c>
      <c r="F9" s="409">
        <v>28000</v>
      </c>
    </row>
    <row r="10" spans="2:6" ht="45">
      <c r="C10" s="306" t="s">
        <v>613</v>
      </c>
      <c r="D10" s="307">
        <v>7157</v>
      </c>
      <c r="E10" s="308" t="s">
        <v>64</v>
      </c>
      <c r="F10" s="409">
        <v>32000</v>
      </c>
    </row>
    <row r="11" spans="2:6" ht="15.75">
      <c r="C11" s="313" t="s">
        <v>625</v>
      </c>
      <c r="D11" s="312"/>
      <c r="E11" s="308"/>
      <c r="F11" s="409"/>
    </row>
    <row r="12" spans="2:6">
      <c r="C12" s="306" t="s">
        <v>366</v>
      </c>
      <c r="D12" s="307">
        <v>10713</v>
      </c>
      <c r="E12" s="308" t="s">
        <v>631</v>
      </c>
      <c r="F12" s="409">
        <v>8000</v>
      </c>
    </row>
    <row r="13" spans="2:6" ht="45">
      <c r="C13" s="306" t="s">
        <v>363</v>
      </c>
      <c r="D13" s="307">
        <v>10713</v>
      </c>
      <c r="E13" s="308" t="s">
        <v>631</v>
      </c>
      <c r="F13" s="409">
        <v>8000</v>
      </c>
    </row>
    <row r="14" spans="2:6" ht="30">
      <c r="C14" s="306" t="s">
        <v>617</v>
      </c>
      <c r="D14" s="307">
        <v>10713</v>
      </c>
      <c r="E14" s="308" t="s">
        <v>631</v>
      </c>
      <c r="F14" s="409">
        <v>8000</v>
      </c>
    </row>
    <row r="15" spans="2:6" s="315" customFormat="1">
      <c r="C15" s="308" t="s">
        <v>731</v>
      </c>
      <c r="D15" s="307">
        <v>10713</v>
      </c>
      <c r="E15" s="308" t="s">
        <v>631</v>
      </c>
      <c r="F15" s="409">
        <v>5000</v>
      </c>
    </row>
    <row r="16" spans="2:6">
      <c r="C16" s="308" t="s">
        <v>620</v>
      </c>
      <c r="D16" s="307">
        <v>10713</v>
      </c>
      <c r="E16" s="308" t="s">
        <v>631</v>
      </c>
      <c r="F16" s="409">
        <v>3500</v>
      </c>
    </row>
    <row r="17" spans="3:6" s="315" customFormat="1" ht="30">
      <c r="C17" s="311" t="s">
        <v>699</v>
      </c>
      <c r="D17" s="410">
        <v>10713</v>
      </c>
      <c r="E17" s="308" t="s">
        <v>631</v>
      </c>
      <c r="F17" s="409">
        <v>7000</v>
      </c>
    </row>
    <row r="18" spans="3:6" s="315" customFormat="1" ht="30">
      <c r="C18" s="311" t="s">
        <v>728</v>
      </c>
      <c r="D18" s="410">
        <v>10713</v>
      </c>
      <c r="E18" s="308" t="s">
        <v>631</v>
      </c>
      <c r="F18" s="409">
        <v>6000</v>
      </c>
    </row>
    <row r="19" spans="3:6" s="315" customFormat="1" ht="30">
      <c r="C19" s="311" t="s">
        <v>729</v>
      </c>
      <c r="D19" s="410">
        <v>10713</v>
      </c>
      <c r="E19" s="308" t="s">
        <v>631</v>
      </c>
      <c r="F19" s="409">
        <v>8000</v>
      </c>
    </row>
    <row r="20" spans="3:6" ht="30">
      <c r="C20" s="311" t="s">
        <v>730</v>
      </c>
      <c r="D20" s="410">
        <v>10713</v>
      </c>
      <c r="E20" s="308" t="s">
        <v>631</v>
      </c>
      <c r="F20" s="409">
        <v>8000</v>
      </c>
    </row>
    <row r="21" spans="3:6">
      <c r="C21" s="308" t="s">
        <v>671</v>
      </c>
      <c r="D21" s="307">
        <v>10713</v>
      </c>
      <c r="E21" s="308" t="s">
        <v>631</v>
      </c>
      <c r="F21" s="409">
        <v>8000</v>
      </c>
    </row>
    <row r="22" spans="3:6" ht="30">
      <c r="C22" s="306" t="s">
        <v>397</v>
      </c>
      <c r="D22" s="307">
        <v>10713</v>
      </c>
      <c r="E22" s="308" t="s">
        <v>631</v>
      </c>
      <c r="F22" s="409">
        <v>3500</v>
      </c>
    </row>
    <row r="23" spans="3:6" ht="30">
      <c r="C23" s="306" t="s">
        <v>356</v>
      </c>
      <c r="D23" s="307">
        <v>10713</v>
      </c>
      <c r="E23" s="308" t="s">
        <v>631</v>
      </c>
      <c r="F23" s="409">
        <v>3500</v>
      </c>
    </row>
    <row r="24" spans="3:6" ht="30">
      <c r="C24" s="306" t="s">
        <v>687</v>
      </c>
      <c r="D24" s="307">
        <v>10713</v>
      </c>
      <c r="E24" s="308" t="s">
        <v>631</v>
      </c>
      <c r="F24" s="409">
        <v>2000</v>
      </c>
    </row>
    <row r="25" spans="3:6" ht="30">
      <c r="C25" s="306" t="s">
        <v>357</v>
      </c>
      <c r="D25" s="307">
        <v>10713</v>
      </c>
      <c r="E25" s="308" t="s">
        <v>631</v>
      </c>
      <c r="F25" s="409">
        <v>3500</v>
      </c>
    </row>
    <row r="26" spans="3:6" ht="30">
      <c r="C26" s="306" t="s">
        <v>360</v>
      </c>
      <c r="D26" s="307">
        <v>10713</v>
      </c>
      <c r="E26" s="308" t="s">
        <v>631</v>
      </c>
      <c r="F26" s="409">
        <v>3500</v>
      </c>
    </row>
    <row r="27" spans="3:6" ht="30">
      <c r="C27" s="306" t="s">
        <v>373</v>
      </c>
      <c r="D27" s="307">
        <v>10713</v>
      </c>
      <c r="E27" s="308" t="s">
        <v>631</v>
      </c>
      <c r="F27" s="409">
        <v>3500</v>
      </c>
    </row>
    <row r="28" spans="3:6">
      <c r="C28" s="306" t="s">
        <v>383</v>
      </c>
      <c r="D28" s="307">
        <v>10713</v>
      </c>
      <c r="E28" s="308" t="s">
        <v>631</v>
      </c>
      <c r="F28" s="409">
        <v>3500</v>
      </c>
    </row>
    <row r="29" spans="3:6" ht="30">
      <c r="C29" s="306" t="s">
        <v>402</v>
      </c>
      <c r="D29" s="307">
        <v>10713</v>
      </c>
      <c r="E29" s="308" t="s">
        <v>631</v>
      </c>
      <c r="F29" s="409">
        <v>3500</v>
      </c>
    </row>
    <row r="30" spans="3:6">
      <c r="C30" s="314" t="s">
        <v>626</v>
      </c>
      <c r="D30" s="307"/>
      <c r="E30" s="308"/>
      <c r="F30" s="409"/>
    </row>
    <row r="31" spans="3:6">
      <c r="C31" s="306" t="s">
        <v>702</v>
      </c>
      <c r="D31" s="308">
        <v>10712</v>
      </c>
      <c r="E31" s="308" t="s">
        <v>396</v>
      </c>
      <c r="F31" s="409">
        <v>10000</v>
      </c>
    </row>
    <row r="32" spans="3:6" ht="45">
      <c r="C32" s="306" t="s">
        <v>670</v>
      </c>
      <c r="D32" s="307">
        <v>10712</v>
      </c>
      <c r="E32" s="308" t="s">
        <v>396</v>
      </c>
      <c r="F32" s="409">
        <v>10000</v>
      </c>
    </row>
    <row r="33" spans="3:6" s="315" customFormat="1" ht="30">
      <c r="C33" s="306" t="s">
        <v>398</v>
      </c>
      <c r="D33" s="307">
        <v>10712</v>
      </c>
      <c r="E33" s="308" t="s">
        <v>396</v>
      </c>
      <c r="F33" s="409">
        <v>10000</v>
      </c>
    </row>
    <row r="34" spans="3:6">
      <c r="C34" s="306" t="s">
        <v>786</v>
      </c>
      <c r="D34" s="307">
        <v>10712</v>
      </c>
      <c r="E34" s="308" t="s">
        <v>396</v>
      </c>
      <c r="F34" s="409">
        <v>2000</v>
      </c>
    </row>
    <row r="35" spans="3:6">
      <c r="C35" s="314" t="s">
        <v>627</v>
      </c>
      <c r="D35" s="307"/>
      <c r="E35" s="308"/>
      <c r="F35" s="409"/>
    </row>
    <row r="36" spans="3:6" ht="30">
      <c r="C36" s="306" t="s">
        <v>365</v>
      </c>
      <c r="D36" s="309">
        <v>8702</v>
      </c>
      <c r="E36" s="308" t="s">
        <v>64</v>
      </c>
      <c r="F36" s="409">
        <v>100000</v>
      </c>
    </row>
    <row r="37" spans="3:6">
      <c r="C37" s="306" t="s">
        <v>381</v>
      </c>
      <c r="D37" s="307">
        <v>8702</v>
      </c>
      <c r="E37" s="308" t="s">
        <v>64</v>
      </c>
      <c r="F37" s="409">
        <v>100000</v>
      </c>
    </row>
    <row r="38" spans="3:6">
      <c r="C38" s="306" t="s">
        <v>364</v>
      </c>
      <c r="D38" s="307">
        <v>8702</v>
      </c>
      <c r="E38" s="308" t="s">
        <v>64</v>
      </c>
      <c r="F38" s="409">
        <v>100000</v>
      </c>
    </row>
    <row r="39" spans="3:6" ht="45">
      <c r="C39" s="311" t="s">
        <v>622</v>
      </c>
      <c r="D39" s="307">
        <v>5127</v>
      </c>
      <c r="E39" s="308" t="s">
        <v>64</v>
      </c>
      <c r="F39" s="409">
        <v>160000</v>
      </c>
    </row>
    <row r="40" spans="3:6" ht="30">
      <c r="C40" s="306" t="s">
        <v>403</v>
      </c>
      <c r="D40" s="307">
        <v>9484</v>
      </c>
      <c r="E40" s="308" t="s">
        <v>64</v>
      </c>
      <c r="F40" s="409">
        <v>180000</v>
      </c>
    </row>
    <row r="41" spans="3:6" ht="45">
      <c r="C41" s="311" t="s">
        <v>621</v>
      </c>
      <c r="D41" s="307">
        <v>9485</v>
      </c>
      <c r="E41" s="308" t="s">
        <v>64</v>
      </c>
      <c r="F41" s="409">
        <v>200000</v>
      </c>
    </row>
    <row r="42" spans="3:6" ht="45">
      <c r="C42" s="311" t="s">
        <v>619</v>
      </c>
      <c r="D42" s="307">
        <v>8702</v>
      </c>
      <c r="E42" s="308" t="s">
        <v>64</v>
      </c>
      <c r="F42" s="409">
        <v>100000</v>
      </c>
    </row>
    <row r="43" spans="3:6" ht="30">
      <c r="C43" s="311" t="s">
        <v>623</v>
      </c>
      <c r="D43" s="307">
        <v>8702</v>
      </c>
      <c r="E43" s="308" t="s">
        <v>64</v>
      </c>
      <c r="F43" s="409">
        <v>100000</v>
      </c>
    </row>
    <row r="44" spans="3:6" ht="45">
      <c r="C44" s="306" t="s">
        <v>404</v>
      </c>
      <c r="D44" s="307">
        <v>8702</v>
      </c>
      <c r="E44" s="308" t="s">
        <v>64</v>
      </c>
      <c r="F44" s="409">
        <v>100000</v>
      </c>
    </row>
    <row r="45" spans="3:6" s="315" customFormat="1">
      <c r="C45" s="306" t="s">
        <v>643</v>
      </c>
      <c r="D45" s="307">
        <v>10307</v>
      </c>
      <c r="E45" s="308" t="s">
        <v>64</v>
      </c>
      <c r="F45" s="409">
        <v>80000</v>
      </c>
    </row>
    <row r="46" spans="3:6" s="315" customFormat="1">
      <c r="C46" s="306" t="s">
        <v>683</v>
      </c>
      <c r="D46" s="307">
        <v>10307</v>
      </c>
      <c r="E46" s="308" t="s">
        <v>64</v>
      </c>
      <c r="F46" s="409">
        <v>80000</v>
      </c>
    </row>
    <row r="47" spans="3:6">
      <c r="C47" s="314" t="s">
        <v>628</v>
      </c>
      <c r="D47" s="307"/>
      <c r="E47" s="308"/>
      <c r="F47" s="409"/>
    </row>
    <row r="48" spans="3:6" ht="60">
      <c r="C48" s="306" t="s">
        <v>700</v>
      </c>
      <c r="D48" s="307">
        <v>8698</v>
      </c>
      <c r="E48" s="308" t="s">
        <v>64</v>
      </c>
      <c r="F48" s="409">
        <v>750000</v>
      </c>
    </row>
    <row r="49" spans="3:6" s="315" customFormat="1" ht="60">
      <c r="C49" s="306" t="s">
        <v>361</v>
      </c>
      <c r="D49" s="307">
        <v>8698</v>
      </c>
      <c r="E49" s="308" t="s">
        <v>64</v>
      </c>
      <c r="F49" s="409">
        <v>180000</v>
      </c>
    </row>
    <row r="50" spans="3:6">
      <c r="C50" s="308" t="s">
        <v>618</v>
      </c>
      <c r="D50" s="308"/>
      <c r="E50" s="308" t="s">
        <v>64</v>
      </c>
      <c r="F50" s="409">
        <v>180000</v>
      </c>
    </row>
    <row r="51" spans="3:6" s="315" customFormat="1">
      <c r="C51" s="306" t="s">
        <v>399</v>
      </c>
      <c r="D51" s="307">
        <v>8698</v>
      </c>
      <c r="E51" s="308" t="s">
        <v>64</v>
      </c>
      <c r="F51" s="409">
        <v>150000</v>
      </c>
    </row>
    <row r="52" spans="3:6" s="315" customFormat="1">
      <c r="C52" s="306" t="s">
        <v>701</v>
      </c>
      <c r="D52" s="307">
        <v>10807</v>
      </c>
      <c r="E52" s="308" t="s">
        <v>396</v>
      </c>
      <c r="F52" s="409">
        <v>180000</v>
      </c>
    </row>
    <row r="53" spans="3:6" s="315" customFormat="1">
      <c r="C53" s="306" t="s">
        <v>703</v>
      </c>
      <c r="D53" s="307">
        <v>9993</v>
      </c>
      <c r="E53" s="308" t="s">
        <v>64</v>
      </c>
      <c r="F53" s="409">
        <v>60000</v>
      </c>
    </row>
    <row r="54" spans="3:6" s="315" customFormat="1">
      <c r="C54" s="438" t="s">
        <v>713</v>
      </c>
      <c r="D54" s="439">
        <v>5122</v>
      </c>
      <c r="E54" s="308" t="s">
        <v>714</v>
      </c>
      <c r="F54" s="409">
        <v>4322</v>
      </c>
    </row>
    <row r="55" spans="3:6" s="315" customFormat="1">
      <c r="C55" s="438" t="s">
        <v>715</v>
      </c>
      <c r="D55" s="439">
        <v>5122</v>
      </c>
      <c r="E55" s="308" t="s">
        <v>64</v>
      </c>
      <c r="F55" s="409">
        <v>60141</v>
      </c>
    </row>
    <row r="56" spans="3:6" ht="30">
      <c r="C56" s="438" t="s">
        <v>727</v>
      </c>
      <c r="D56" s="439">
        <v>8699</v>
      </c>
      <c r="E56" s="308" t="s">
        <v>396</v>
      </c>
      <c r="F56" s="409">
        <v>5000</v>
      </c>
    </row>
    <row r="57" spans="3:6">
      <c r="C57" s="314" t="s">
        <v>629</v>
      </c>
      <c r="D57" s="307"/>
      <c r="E57" s="308"/>
      <c r="F57" s="409"/>
    </row>
    <row r="58" spans="3:6">
      <c r="C58" s="310" t="s">
        <v>633</v>
      </c>
      <c r="D58" s="307">
        <v>8696</v>
      </c>
      <c r="E58" s="308" t="s">
        <v>632</v>
      </c>
      <c r="F58" s="409">
        <v>50000</v>
      </c>
    </row>
    <row r="59" spans="3:6" ht="30">
      <c r="C59" s="310" t="s">
        <v>370</v>
      </c>
      <c r="D59" s="307">
        <v>8696</v>
      </c>
      <c r="E59" s="308" t="s">
        <v>632</v>
      </c>
      <c r="F59" s="409">
        <v>80000</v>
      </c>
    </row>
    <row r="60" spans="3:6" ht="30">
      <c r="C60" s="306" t="s">
        <v>401</v>
      </c>
      <c r="D60" s="307">
        <v>8694</v>
      </c>
      <c r="E60" s="308" t="s">
        <v>64</v>
      </c>
      <c r="F60" s="409">
        <v>350000</v>
      </c>
    </row>
    <row r="61" spans="3:6" ht="30">
      <c r="C61" s="310" t="s">
        <v>368</v>
      </c>
      <c r="D61" s="307">
        <v>8696</v>
      </c>
      <c r="E61" s="308" t="s">
        <v>64</v>
      </c>
      <c r="F61" s="409">
        <v>60000</v>
      </c>
    </row>
    <row r="62" spans="3:6" s="315" customFormat="1">
      <c r="C62" s="306" t="s">
        <v>405</v>
      </c>
      <c r="D62" s="307">
        <v>10715</v>
      </c>
      <c r="E62" s="308" t="s">
        <v>64</v>
      </c>
      <c r="F62" s="409">
        <v>100000</v>
      </c>
    </row>
    <row r="63" spans="3:6">
      <c r="C63" s="438" t="s">
        <v>684</v>
      </c>
      <c r="D63" s="439">
        <v>10716</v>
      </c>
      <c r="E63" s="308" t="s">
        <v>64</v>
      </c>
      <c r="F63" s="409">
        <v>600000</v>
      </c>
    </row>
    <row r="64" spans="3:6">
      <c r="C64" s="314" t="s">
        <v>630</v>
      </c>
      <c r="D64" s="308"/>
      <c r="E64" s="308"/>
      <c r="F64" s="409"/>
    </row>
    <row r="65" spans="3:6">
      <c r="C65" s="306" t="s">
        <v>400</v>
      </c>
      <c r="D65" s="307">
        <v>9482</v>
      </c>
      <c r="E65" s="308" t="s">
        <v>64</v>
      </c>
      <c r="F65" s="409">
        <v>110000</v>
      </c>
    </row>
  </sheetData>
  <autoFilter ref="B2:F2" xr:uid="{00000000-0009-0000-0000-000003000000}">
    <sortState xmlns:xlrd2="http://schemas.microsoft.com/office/spreadsheetml/2017/richdata2" ref="B3:F42">
      <sortCondition ref="C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23"/>
  <sheetViews>
    <sheetView topLeftCell="A16" workbookViewId="0">
      <selection activeCell="D30" sqref="D30"/>
    </sheetView>
  </sheetViews>
  <sheetFormatPr baseColWidth="10" defaultRowHeight="15"/>
  <cols>
    <col min="1" max="1" width="62.85546875" customWidth="1"/>
    <col min="3" max="3" width="14.5703125" bestFit="1" customWidth="1"/>
    <col min="4" max="4" width="14" style="300" customWidth="1"/>
  </cols>
  <sheetData>
    <row r="2" spans="1:4">
      <c r="A2" s="414" t="s">
        <v>393</v>
      </c>
      <c r="B2" s="415" t="s">
        <v>394</v>
      </c>
      <c r="C2" s="414" t="s">
        <v>5</v>
      </c>
      <c r="D2" s="416" t="s">
        <v>395</v>
      </c>
    </row>
    <row r="3" spans="1:4" s="315" customFormat="1">
      <c r="A3" s="414" t="s">
        <v>642</v>
      </c>
      <c r="B3" s="415" t="s">
        <v>642</v>
      </c>
      <c r="C3" s="414" t="s">
        <v>642</v>
      </c>
      <c r="D3" s="416">
        <v>0</v>
      </c>
    </row>
    <row r="4" spans="1:4" s="315" customFormat="1">
      <c r="A4" s="327" t="s">
        <v>55</v>
      </c>
      <c r="B4" s="123"/>
      <c r="C4" s="430"/>
      <c r="D4" s="431"/>
    </row>
    <row r="5" spans="1:4" s="315" customFormat="1">
      <c r="A5" s="432" t="s">
        <v>642</v>
      </c>
      <c r="B5" s="412" t="s">
        <v>642</v>
      </c>
      <c r="C5" s="410" t="s">
        <v>642</v>
      </c>
      <c r="D5" s="413">
        <v>0</v>
      </c>
    </row>
    <row r="6" spans="1:4" s="315" customFormat="1">
      <c r="A6" s="410" t="s">
        <v>743</v>
      </c>
      <c r="B6" s="412">
        <v>9501</v>
      </c>
      <c r="C6" s="410" t="s">
        <v>64</v>
      </c>
      <c r="D6" s="411">
        <v>3000</v>
      </c>
    </row>
    <row r="7" spans="1:4" s="315" customFormat="1">
      <c r="A7" s="410" t="s">
        <v>341</v>
      </c>
      <c r="B7" s="412">
        <v>9476</v>
      </c>
      <c r="C7" s="410" t="s">
        <v>5</v>
      </c>
      <c r="D7" s="411">
        <v>120000</v>
      </c>
    </row>
    <row r="8" spans="1:4" s="315" customFormat="1">
      <c r="A8" s="410" t="s">
        <v>563</v>
      </c>
      <c r="B8" s="412">
        <v>9661</v>
      </c>
      <c r="C8" s="410" t="s">
        <v>21</v>
      </c>
      <c r="D8" s="411">
        <v>2100000</v>
      </c>
    </row>
    <row r="9" spans="1:4" s="315" customFormat="1">
      <c r="A9" s="410" t="s">
        <v>564</v>
      </c>
      <c r="B9" s="412">
        <v>9476</v>
      </c>
      <c r="C9" s="410" t="s">
        <v>5</v>
      </c>
      <c r="D9" s="411">
        <v>165000</v>
      </c>
    </row>
    <row r="10" spans="1:4" s="315" customFormat="1">
      <c r="A10" s="410" t="s">
        <v>636</v>
      </c>
      <c r="B10" s="412">
        <v>9476</v>
      </c>
      <c r="C10" s="410" t="s">
        <v>5</v>
      </c>
      <c r="D10" s="411">
        <v>195000</v>
      </c>
    </row>
    <row r="11" spans="1:4" s="315" customFormat="1">
      <c r="A11" s="410" t="s">
        <v>634</v>
      </c>
      <c r="B11" s="412">
        <v>9476</v>
      </c>
      <c r="C11" s="410" t="s">
        <v>5</v>
      </c>
      <c r="D11" s="411">
        <v>195000</v>
      </c>
    </row>
    <row r="12" spans="1:4" s="315" customFormat="1">
      <c r="A12" s="410" t="s">
        <v>720</v>
      </c>
      <c r="B12" s="410">
        <v>9501</v>
      </c>
      <c r="C12" s="410" t="s">
        <v>5</v>
      </c>
      <c r="D12" s="411">
        <f>1117172*1.4</f>
        <v>1564040.7999999998</v>
      </c>
    </row>
    <row r="13" spans="1:4" s="315" customFormat="1">
      <c r="A13" s="410" t="s">
        <v>721</v>
      </c>
      <c r="B13" s="410">
        <v>9501</v>
      </c>
      <c r="C13" s="410" t="s">
        <v>5</v>
      </c>
      <c r="D13" s="411">
        <v>1400000</v>
      </c>
    </row>
    <row r="14" spans="1:4">
      <c r="A14" s="410" t="s">
        <v>56</v>
      </c>
      <c r="B14" s="410">
        <v>9501</v>
      </c>
      <c r="C14" s="410" t="s">
        <v>5</v>
      </c>
      <c r="D14" s="411">
        <v>3100000</v>
      </c>
    </row>
    <row r="15" spans="1:4" s="315" customFormat="1">
      <c r="A15" s="410" t="s">
        <v>635</v>
      </c>
      <c r="B15" s="410">
        <v>9501</v>
      </c>
      <c r="C15" s="410" t="s">
        <v>21</v>
      </c>
      <c r="D15" s="411">
        <f>1117172*1.4</f>
        <v>1564040.7999999998</v>
      </c>
    </row>
    <row r="16" spans="1:4" s="315" customFormat="1">
      <c r="A16" s="410" t="s">
        <v>724</v>
      </c>
      <c r="B16" s="410">
        <v>9501</v>
      </c>
      <c r="C16" s="410" t="s">
        <v>21</v>
      </c>
      <c r="D16" s="411">
        <v>1454850</v>
      </c>
    </row>
    <row r="17" spans="1:4">
      <c r="A17" s="410" t="s">
        <v>722</v>
      </c>
      <c r="B17" s="410">
        <v>9501</v>
      </c>
      <c r="C17" s="410" t="s">
        <v>640</v>
      </c>
      <c r="D17" s="411">
        <v>280000</v>
      </c>
    </row>
    <row r="18" spans="1:4" s="315" customFormat="1">
      <c r="A18" s="433"/>
      <c r="B18" s="410"/>
      <c r="C18" s="410"/>
      <c r="D18" s="411"/>
    </row>
    <row r="19" spans="1:4" s="315" customFormat="1">
      <c r="A19" s="327" t="s">
        <v>42</v>
      </c>
      <c r="B19" s="410"/>
      <c r="C19" s="410"/>
      <c r="D19" s="411"/>
    </row>
    <row r="20" spans="1:4" s="315" customFormat="1">
      <c r="A20" s="432" t="s">
        <v>642</v>
      </c>
      <c r="B20" s="412" t="s">
        <v>642</v>
      </c>
      <c r="C20" s="410" t="s">
        <v>642</v>
      </c>
      <c r="D20" s="413">
        <v>0</v>
      </c>
    </row>
    <row r="21" spans="1:4" s="315" customFormat="1">
      <c r="A21" s="410" t="s">
        <v>328</v>
      </c>
      <c r="B21" s="412">
        <v>7196</v>
      </c>
      <c r="C21" s="410" t="s">
        <v>329</v>
      </c>
      <c r="D21" s="413">
        <v>40000</v>
      </c>
    </row>
    <row r="22" spans="1:4" s="315" customFormat="1">
      <c r="A22" s="410" t="s">
        <v>330</v>
      </c>
      <c r="B22" s="412">
        <v>6199</v>
      </c>
      <c r="C22" s="410" t="s">
        <v>324</v>
      </c>
      <c r="D22" s="413">
        <v>9000</v>
      </c>
    </row>
    <row r="23" spans="1:4" s="315" customFormat="1">
      <c r="A23" s="410" t="s">
        <v>331</v>
      </c>
      <c r="B23" s="412">
        <v>8703</v>
      </c>
      <c r="C23" s="410" t="s">
        <v>5</v>
      </c>
      <c r="D23" s="413">
        <v>9000</v>
      </c>
    </row>
    <row r="24" spans="1:4" s="315" customFormat="1">
      <c r="A24" s="410" t="s">
        <v>742</v>
      </c>
      <c r="B24" s="412">
        <v>6044</v>
      </c>
      <c r="C24" s="410" t="s">
        <v>21</v>
      </c>
      <c r="D24" s="413">
        <f>80000</f>
        <v>80000</v>
      </c>
    </row>
    <row r="25" spans="1:4" s="315" customFormat="1">
      <c r="A25" s="410" t="s">
        <v>741</v>
      </c>
      <c r="B25" s="412">
        <v>6044</v>
      </c>
      <c r="C25" s="410" t="s">
        <v>632</v>
      </c>
      <c r="D25" s="413">
        <v>98000000</v>
      </c>
    </row>
    <row r="26" spans="1:4" s="315" customFormat="1">
      <c r="A26" s="410" t="s">
        <v>38</v>
      </c>
      <c r="B26" s="412">
        <v>5371</v>
      </c>
      <c r="C26" s="410" t="s">
        <v>5</v>
      </c>
      <c r="D26" s="411">
        <v>1900000</v>
      </c>
    </row>
    <row r="27" spans="1:4" s="315" customFormat="1">
      <c r="A27" s="410" t="s">
        <v>723</v>
      </c>
      <c r="B27" s="412">
        <v>5371</v>
      </c>
      <c r="C27" s="410" t="s">
        <v>5</v>
      </c>
      <c r="D27" s="411">
        <v>6139210</v>
      </c>
    </row>
    <row r="28" spans="1:4" s="315" customFormat="1">
      <c r="A28" s="410" t="s">
        <v>744</v>
      </c>
      <c r="B28" s="412">
        <v>10421</v>
      </c>
      <c r="C28" s="410" t="s">
        <v>5</v>
      </c>
      <c r="D28" s="411">
        <v>500000</v>
      </c>
    </row>
    <row r="29" spans="1:4" s="315" customFormat="1">
      <c r="A29" s="410" t="s">
        <v>790</v>
      </c>
      <c r="B29" s="412" t="s">
        <v>791</v>
      </c>
      <c r="C29" s="410" t="s">
        <v>5</v>
      </c>
      <c r="D29" s="411">
        <f>(79000*6)+(350000)+600000</f>
        <v>1424000</v>
      </c>
    </row>
    <row r="30" spans="1:4" s="315" customFormat="1">
      <c r="A30" s="433"/>
      <c r="B30" s="434"/>
      <c r="C30" s="433"/>
      <c r="D30" s="435"/>
    </row>
    <row r="31" spans="1:4">
      <c r="A31" s="327" t="s">
        <v>646</v>
      </c>
    </row>
    <row r="32" spans="1:4" s="315" customFormat="1">
      <c r="A32" s="432" t="s">
        <v>642</v>
      </c>
      <c r="B32" s="412" t="s">
        <v>642</v>
      </c>
      <c r="C32" s="410" t="s">
        <v>642</v>
      </c>
      <c r="D32" s="413">
        <v>0</v>
      </c>
    </row>
    <row r="33" spans="1:4" s="315" customFormat="1">
      <c r="A33" s="410" t="s">
        <v>568</v>
      </c>
      <c r="B33" s="410">
        <v>839</v>
      </c>
      <c r="C33" s="410" t="s">
        <v>5</v>
      </c>
      <c r="D33" s="411">
        <v>22900</v>
      </c>
    </row>
    <row r="34" spans="1:4" s="315" customFormat="1">
      <c r="A34" s="410" t="s">
        <v>569</v>
      </c>
      <c r="B34" s="410">
        <v>4649</v>
      </c>
      <c r="C34" s="410" t="s">
        <v>5</v>
      </c>
      <c r="D34" s="411">
        <v>4380</v>
      </c>
    </row>
    <row r="35" spans="1:4" s="315" customFormat="1">
      <c r="A35" s="410" t="s">
        <v>570</v>
      </c>
      <c r="B35" s="412">
        <v>791</v>
      </c>
      <c r="C35" s="410" t="s">
        <v>5</v>
      </c>
      <c r="D35" s="411">
        <v>30000</v>
      </c>
    </row>
    <row r="36" spans="1:4" s="315" customFormat="1">
      <c r="A36" s="410" t="s">
        <v>571</v>
      </c>
      <c r="B36" s="412">
        <v>2691</v>
      </c>
      <c r="C36" s="410" t="s">
        <v>5</v>
      </c>
      <c r="D36" s="411">
        <v>39900</v>
      </c>
    </row>
    <row r="37" spans="1:4">
      <c r="A37" s="410" t="s">
        <v>572</v>
      </c>
      <c r="B37" s="410">
        <v>6883</v>
      </c>
      <c r="C37" s="410" t="s">
        <v>5</v>
      </c>
      <c r="D37" s="411">
        <v>70000</v>
      </c>
    </row>
    <row r="38" spans="1:4">
      <c r="A38" s="410" t="s">
        <v>573</v>
      </c>
      <c r="B38" s="410">
        <v>1826</v>
      </c>
      <c r="C38" s="410" t="s">
        <v>5</v>
      </c>
      <c r="D38" s="411">
        <v>8900</v>
      </c>
    </row>
    <row r="39" spans="1:4" s="315" customFormat="1">
      <c r="A39" s="410" t="s">
        <v>647</v>
      </c>
      <c r="B39" s="410">
        <v>299</v>
      </c>
      <c r="C39" s="410" t="s">
        <v>5</v>
      </c>
      <c r="D39" s="411">
        <v>389900</v>
      </c>
    </row>
    <row r="40" spans="1:4" s="315" customFormat="1">
      <c r="A40" s="410" t="s">
        <v>648</v>
      </c>
      <c r="B40" s="410">
        <v>1537</v>
      </c>
      <c r="C40" s="410" t="s">
        <v>5</v>
      </c>
      <c r="D40" s="411">
        <v>119900</v>
      </c>
    </row>
    <row r="41" spans="1:4" s="315" customFormat="1">
      <c r="A41" s="433"/>
      <c r="B41" s="410"/>
      <c r="C41" s="410"/>
      <c r="D41" s="411"/>
    </row>
    <row r="42" spans="1:4" s="315" customFormat="1">
      <c r="A42" s="327" t="s">
        <v>559</v>
      </c>
      <c r="B42" s="410"/>
      <c r="C42" s="410"/>
      <c r="D42" s="411"/>
    </row>
    <row r="43" spans="1:4" s="315" customFormat="1">
      <c r="A43" s="432" t="s">
        <v>642</v>
      </c>
      <c r="B43" s="412" t="s">
        <v>642</v>
      </c>
      <c r="C43" s="410" t="s">
        <v>642</v>
      </c>
      <c r="D43" s="413">
        <v>0</v>
      </c>
    </row>
    <row r="44" spans="1:4">
      <c r="A44" s="410" t="s">
        <v>326</v>
      </c>
      <c r="B44" s="412">
        <v>9475</v>
      </c>
      <c r="C44" s="410" t="s">
        <v>21</v>
      </c>
      <c r="D44" s="413">
        <v>5000</v>
      </c>
    </row>
    <row r="45" spans="1:4" s="315" customFormat="1">
      <c r="A45" s="410"/>
      <c r="B45" s="412"/>
      <c r="C45" s="410"/>
      <c r="D45" s="413"/>
    </row>
    <row r="46" spans="1:4" s="315" customFormat="1">
      <c r="A46" s="327" t="s">
        <v>36</v>
      </c>
      <c r="B46" s="412"/>
      <c r="C46" s="410"/>
      <c r="D46" s="413"/>
    </row>
    <row r="47" spans="1:4" s="315" customFormat="1">
      <c r="A47" s="432" t="s">
        <v>642</v>
      </c>
      <c r="B47" s="412" t="s">
        <v>642</v>
      </c>
      <c r="C47" s="410" t="s">
        <v>642</v>
      </c>
      <c r="D47" s="413">
        <v>0</v>
      </c>
    </row>
    <row r="48" spans="1:4">
      <c r="A48" s="410" t="s">
        <v>575</v>
      </c>
      <c r="B48" s="412">
        <v>7179</v>
      </c>
      <c r="C48" s="410" t="s">
        <v>5</v>
      </c>
      <c r="D48" s="413">
        <v>8500</v>
      </c>
    </row>
    <row r="49" spans="1:4">
      <c r="A49" s="410" t="s">
        <v>645</v>
      </c>
      <c r="B49" s="410">
        <v>4948</v>
      </c>
      <c r="C49" s="410" t="s">
        <v>24</v>
      </c>
      <c r="D49" s="411">
        <v>750000</v>
      </c>
    </row>
    <row r="50" spans="1:4">
      <c r="A50" s="410" t="s">
        <v>327</v>
      </c>
      <c r="B50" s="412">
        <v>4948</v>
      </c>
      <c r="C50" s="410" t="s">
        <v>5</v>
      </c>
      <c r="D50" s="413">
        <v>100000</v>
      </c>
    </row>
    <row r="51" spans="1:4" s="315" customFormat="1">
      <c r="A51" s="410"/>
      <c r="B51" s="412"/>
      <c r="C51" s="410"/>
      <c r="D51" s="413"/>
    </row>
    <row r="52" spans="1:4" s="315" customFormat="1">
      <c r="A52" s="327" t="s">
        <v>558</v>
      </c>
      <c r="B52" s="412"/>
      <c r="C52" s="410"/>
      <c r="D52" s="413"/>
    </row>
    <row r="53" spans="1:4" s="315" customFormat="1">
      <c r="A53" s="432" t="s">
        <v>642</v>
      </c>
      <c r="B53" s="412" t="s">
        <v>642</v>
      </c>
      <c r="C53" s="410" t="s">
        <v>642</v>
      </c>
      <c r="D53" s="413">
        <v>0</v>
      </c>
    </row>
    <row r="54" spans="1:4" s="315" customFormat="1">
      <c r="A54" s="410" t="s">
        <v>323</v>
      </c>
      <c r="B54" s="412">
        <v>7482</v>
      </c>
      <c r="C54" s="410" t="s">
        <v>24</v>
      </c>
      <c r="D54" s="411"/>
    </row>
    <row r="55" spans="1:4" s="315" customFormat="1">
      <c r="A55" s="410"/>
      <c r="B55" s="412"/>
      <c r="C55" s="410"/>
      <c r="D55" s="411"/>
    </row>
    <row r="56" spans="1:4" s="315" customFormat="1">
      <c r="A56" s="327" t="s">
        <v>649</v>
      </c>
      <c r="B56" s="412"/>
      <c r="C56" s="410"/>
      <c r="D56" s="411"/>
    </row>
    <row r="57" spans="1:4" s="315" customFormat="1">
      <c r="A57" s="432" t="s">
        <v>642</v>
      </c>
      <c r="B57" s="412" t="s">
        <v>642</v>
      </c>
      <c r="C57" s="410" t="s">
        <v>642</v>
      </c>
      <c r="D57" s="413">
        <v>0</v>
      </c>
    </row>
    <row r="58" spans="1:4">
      <c r="A58" s="410" t="s">
        <v>343</v>
      </c>
      <c r="B58" s="412">
        <v>3274</v>
      </c>
      <c r="C58" s="410" t="s">
        <v>5</v>
      </c>
      <c r="D58" s="413">
        <v>75000</v>
      </c>
    </row>
    <row r="59" spans="1:4" s="315" customFormat="1">
      <c r="A59" s="433"/>
      <c r="B59" s="434"/>
      <c r="C59" s="433"/>
      <c r="D59" s="436"/>
    </row>
    <row r="60" spans="1:4" s="315" customFormat="1">
      <c r="A60" s="327" t="s">
        <v>650</v>
      </c>
      <c r="B60" s="412"/>
      <c r="C60" s="410"/>
      <c r="D60" s="411"/>
    </row>
    <row r="61" spans="1:4">
      <c r="A61" s="432" t="s">
        <v>642</v>
      </c>
      <c r="B61" s="412" t="s">
        <v>642</v>
      </c>
      <c r="C61" s="410" t="s">
        <v>642</v>
      </c>
      <c r="D61" s="413">
        <v>0</v>
      </c>
    </row>
    <row r="62" spans="1:4">
      <c r="A62" s="410" t="s">
        <v>62</v>
      </c>
      <c r="B62" s="412">
        <v>5580</v>
      </c>
      <c r="C62" s="410" t="s">
        <v>5</v>
      </c>
      <c r="D62" s="413">
        <v>50000</v>
      </c>
    </row>
    <row r="63" spans="1:4">
      <c r="A63" s="410" t="s">
        <v>303</v>
      </c>
      <c r="B63" s="412">
        <v>5580</v>
      </c>
      <c r="C63" s="410" t="s">
        <v>5</v>
      </c>
      <c r="D63" s="413">
        <v>3000</v>
      </c>
    </row>
    <row r="64" spans="1:4">
      <c r="A64" s="410" t="s">
        <v>332</v>
      </c>
      <c r="B64" s="412">
        <v>5581</v>
      </c>
      <c r="C64" s="410" t="s">
        <v>5</v>
      </c>
      <c r="D64" s="413">
        <v>50000</v>
      </c>
    </row>
    <row r="65" spans="1:5">
      <c r="A65" s="410" t="s">
        <v>214</v>
      </c>
      <c r="B65" s="412">
        <v>5580</v>
      </c>
      <c r="C65" s="410" t="s">
        <v>5</v>
      </c>
      <c r="D65" s="413">
        <v>20000</v>
      </c>
    </row>
    <row r="66" spans="1:5">
      <c r="A66" s="410" t="s">
        <v>320</v>
      </c>
      <c r="B66" s="412">
        <v>5582</v>
      </c>
      <c r="C66" s="410" t="s">
        <v>5</v>
      </c>
      <c r="D66" s="413">
        <v>60000</v>
      </c>
    </row>
    <row r="68" spans="1:5">
      <c r="A68" s="327" t="s">
        <v>651</v>
      </c>
      <c r="B68" s="412"/>
      <c r="C68" s="410"/>
      <c r="D68" s="411"/>
    </row>
    <row r="69" spans="1:5">
      <c r="A69" s="432" t="s">
        <v>642</v>
      </c>
      <c r="B69" s="412" t="s">
        <v>642</v>
      </c>
      <c r="C69" s="410" t="s">
        <v>642</v>
      </c>
      <c r="D69" s="413">
        <v>0</v>
      </c>
    </row>
    <row r="70" spans="1:5">
      <c r="A70" s="410" t="s">
        <v>565</v>
      </c>
      <c r="B70" s="412">
        <v>9478</v>
      </c>
      <c r="C70" s="410" t="s">
        <v>24</v>
      </c>
      <c r="D70" s="411">
        <v>38905265</v>
      </c>
    </row>
    <row r="71" spans="1:5">
      <c r="A71" s="410" t="s">
        <v>566</v>
      </c>
      <c r="B71" s="412">
        <v>9480</v>
      </c>
      <c r="C71" s="410" t="s">
        <v>24</v>
      </c>
      <c r="D71" s="411">
        <f>1050000*14</f>
        <v>14700000</v>
      </c>
    </row>
    <row r="72" spans="1:5">
      <c r="A72" s="410" t="s">
        <v>567</v>
      </c>
      <c r="B72" s="412">
        <v>9481</v>
      </c>
      <c r="C72" s="410" t="s">
        <v>24</v>
      </c>
      <c r="D72" s="411">
        <v>15120000</v>
      </c>
    </row>
    <row r="73" spans="1:5">
      <c r="A73" s="410"/>
      <c r="B73" s="412"/>
      <c r="C73" s="410"/>
      <c r="D73" s="411"/>
    </row>
    <row r="74" spans="1:5">
      <c r="A74" s="410"/>
      <c r="B74" s="412"/>
      <c r="C74" s="410"/>
      <c r="D74" s="411"/>
    </row>
    <row r="75" spans="1:5">
      <c r="D75" s="300" t="s">
        <v>395</v>
      </c>
    </row>
    <row r="76" spans="1:5">
      <c r="B76" t="s">
        <v>712</v>
      </c>
      <c r="C76">
        <v>14</v>
      </c>
      <c r="D76" s="300">
        <v>700000</v>
      </c>
      <c r="E76">
        <f>D76*C76</f>
        <v>9800000</v>
      </c>
    </row>
    <row r="77" spans="1:5">
      <c r="B77" t="s">
        <v>710</v>
      </c>
      <c r="C77">
        <v>14539</v>
      </c>
      <c r="D77" s="300">
        <v>500</v>
      </c>
      <c r="E77" s="315">
        <f>D77*C77</f>
        <v>7269500</v>
      </c>
    </row>
    <row r="78" spans="1:5">
      <c r="B78" t="s">
        <v>711</v>
      </c>
      <c r="C78">
        <v>504</v>
      </c>
      <c r="D78" s="300">
        <v>31000</v>
      </c>
      <c r="E78" s="315">
        <f>D78*C78</f>
        <v>15624000</v>
      </c>
    </row>
    <row r="79" spans="1:5">
      <c r="E79">
        <f>SUM(E76:E78)</f>
        <v>32693500</v>
      </c>
    </row>
    <row r="80" spans="1:5">
      <c r="E80">
        <f>E79*1.19</f>
        <v>38905265</v>
      </c>
    </row>
    <row r="81" spans="1:7" s="315" customFormat="1">
      <c r="A81" s="410" t="s">
        <v>645</v>
      </c>
      <c r="B81" s="410">
        <v>4948</v>
      </c>
      <c r="C81" s="410" t="s">
        <v>24</v>
      </c>
      <c r="D81" s="411">
        <v>750000</v>
      </c>
    </row>
    <row r="82" spans="1:7">
      <c r="A82" s="410" t="s">
        <v>574</v>
      </c>
      <c r="B82" s="410">
        <v>5725</v>
      </c>
      <c r="C82" s="410" t="s">
        <v>24</v>
      </c>
      <c r="D82" s="411">
        <v>180000</v>
      </c>
    </row>
    <row r="86" spans="1:7">
      <c r="A86" s="315"/>
    </row>
    <row r="88" spans="1:7">
      <c r="A88" t="s">
        <v>638</v>
      </c>
      <c r="B88" t="s">
        <v>640</v>
      </c>
      <c r="C88" t="s">
        <v>639</v>
      </c>
    </row>
    <row r="89" spans="1:7">
      <c r="A89" s="305" t="s">
        <v>576</v>
      </c>
      <c r="C89" t="s">
        <v>595</v>
      </c>
      <c r="D89" s="300" t="s">
        <v>610</v>
      </c>
      <c r="E89" t="s">
        <v>611</v>
      </c>
      <c r="F89" t="s">
        <v>637</v>
      </c>
    </row>
    <row r="90" spans="1:7">
      <c r="A90" t="s">
        <v>577</v>
      </c>
      <c r="B90">
        <v>491</v>
      </c>
      <c r="C90" s="316">
        <f>IF(B90&lt;150,600000,IF(AND(B90&gt;150,B90&lt;260),800000,IF(AND(B90&lt;400,B90&gt;260),1050000,1300000)))</f>
        <v>1300000</v>
      </c>
      <c r="G90">
        <f>F90*B90</f>
        <v>0</v>
      </c>
    </row>
    <row r="91" spans="1:7">
      <c r="A91" t="s">
        <v>578</v>
      </c>
      <c r="B91">
        <v>24</v>
      </c>
      <c r="C91" s="316">
        <f t="shared" ref="C91:C123" si="0">IF(B91&lt;150,600000,IF(AND(B91&gt;150,B91&lt;260),800000,IF(AND(B91&lt;400,B91&gt;260),1050000,1300000)))</f>
        <v>600000</v>
      </c>
      <c r="F91" s="315"/>
    </row>
    <row r="92" spans="1:7">
      <c r="A92" t="s">
        <v>579</v>
      </c>
      <c r="B92">
        <v>500</v>
      </c>
      <c r="C92" s="316">
        <f t="shared" si="0"/>
        <v>1300000</v>
      </c>
      <c r="F92" s="315"/>
    </row>
    <row r="93" spans="1:7">
      <c r="A93" t="s">
        <v>580</v>
      </c>
      <c r="B93">
        <v>85</v>
      </c>
      <c r="C93" s="316">
        <f t="shared" si="0"/>
        <v>600000</v>
      </c>
      <c r="F93" s="315"/>
    </row>
    <row r="94" spans="1:7">
      <c r="A94" t="s">
        <v>581</v>
      </c>
      <c r="B94">
        <v>119</v>
      </c>
      <c r="C94" s="316">
        <f t="shared" si="0"/>
        <v>600000</v>
      </c>
      <c r="F94" s="315"/>
    </row>
    <row r="95" spans="1:7">
      <c r="A95" t="s">
        <v>582</v>
      </c>
      <c r="B95">
        <v>250</v>
      </c>
      <c r="C95" s="316">
        <f t="shared" si="0"/>
        <v>800000</v>
      </c>
      <c r="F95" s="315"/>
    </row>
    <row r="96" spans="1:7">
      <c r="A96" t="s">
        <v>583</v>
      </c>
      <c r="B96">
        <v>30</v>
      </c>
      <c r="C96" s="316">
        <f t="shared" si="0"/>
        <v>600000</v>
      </c>
      <c r="F96" s="315"/>
    </row>
    <row r="97" spans="1:6">
      <c r="A97" t="s">
        <v>584</v>
      </c>
      <c r="B97">
        <v>338</v>
      </c>
      <c r="C97" s="316">
        <f t="shared" si="0"/>
        <v>1050000</v>
      </c>
      <c r="D97" s="300">
        <v>8400</v>
      </c>
      <c r="F97" s="315"/>
    </row>
    <row r="98" spans="1:6">
      <c r="A98" t="s">
        <v>585</v>
      </c>
      <c r="B98">
        <v>307</v>
      </c>
      <c r="C98" s="316">
        <f t="shared" si="0"/>
        <v>1050000</v>
      </c>
      <c r="F98" s="315"/>
    </row>
    <row r="99" spans="1:6">
      <c r="A99" t="s">
        <v>586</v>
      </c>
      <c r="B99">
        <v>70</v>
      </c>
      <c r="C99" s="316">
        <f t="shared" si="0"/>
        <v>600000</v>
      </c>
      <c r="F99" s="315"/>
    </row>
    <row r="100" spans="1:6">
      <c r="A100" t="s">
        <v>587</v>
      </c>
      <c r="B100">
        <v>290</v>
      </c>
      <c r="C100" s="316">
        <f t="shared" si="0"/>
        <v>1050000</v>
      </c>
      <c r="F100" s="315"/>
    </row>
    <row r="101" spans="1:6">
      <c r="A101" t="s">
        <v>588</v>
      </c>
      <c r="B101">
        <v>44</v>
      </c>
      <c r="C101" s="316">
        <f t="shared" si="0"/>
        <v>600000</v>
      </c>
      <c r="F101" s="315"/>
    </row>
    <row r="102" spans="1:6">
      <c r="A102" t="s">
        <v>589</v>
      </c>
      <c r="B102">
        <v>100</v>
      </c>
      <c r="C102" s="316">
        <f t="shared" si="0"/>
        <v>600000</v>
      </c>
      <c r="F102" s="315"/>
    </row>
    <row r="103" spans="1:6">
      <c r="A103" t="s">
        <v>590</v>
      </c>
      <c r="B103">
        <v>85</v>
      </c>
      <c r="C103" s="316">
        <f t="shared" si="0"/>
        <v>600000</v>
      </c>
      <c r="F103" s="315"/>
    </row>
    <row r="104" spans="1:6">
      <c r="A104" t="s">
        <v>591</v>
      </c>
      <c r="B104">
        <v>490</v>
      </c>
      <c r="C104" s="316">
        <f t="shared" si="0"/>
        <v>1300000</v>
      </c>
      <c r="F104" s="315"/>
    </row>
    <row r="105" spans="1:6">
      <c r="A105" t="s">
        <v>592</v>
      </c>
      <c r="B105">
        <v>190</v>
      </c>
      <c r="C105" s="316">
        <f t="shared" si="0"/>
        <v>800000</v>
      </c>
      <c r="F105" s="315"/>
    </row>
    <row r="106" spans="1:6">
      <c r="A106" t="s">
        <v>593</v>
      </c>
      <c r="B106">
        <v>15</v>
      </c>
      <c r="C106" s="316">
        <f t="shared" si="0"/>
        <v>600000</v>
      </c>
      <c r="F106" s="315"/>
    </row>
    <row r="107" spans="1:6">
      <c r="A107" t="s">
        <v>594</v>
      </c>
      <c r="B107">
        <v>270</v>
      </c>
      <c r="C107" s="316">
        <f t="shared" si="0"/>
        <v>1050000</v>
      </c>
      <c r="F107" s="315"/>
    </row>
    <row r="108" spans="1:6">
      <c r="A108" t="s">
        <v>595</v>
      </c>
      <c r="B108">
        <v>11</v>
      </c>
      <c r="C108" s="316">
        <f t="shared" si="0"/>
        <v>600000</v>
      </c>
      <c r="F108" s="315"/>
    </row>
    <row r="109" spans="1:6">
      <c r="A109" t="s">
        <v>641</v>
      </c>
      <c r="B109">
        <v>22</v>
      </c>
      <c r="C109" s="316">
        <f t="shared" si="0"/>
        <v>600000</v>
      </c>
      <c r="F109" s="315"/>
    </row>
    <row r="110" spans="1:6">
      <c r="A110" t="s">
        <v>596</v>
      </c>
      <c r="B110">
        <v>27</v>
      </c>
      <c r="C110" s="316">
        <f t="shared" si="0"/>
        <v>600000</v>
      </c>
      <c r="F110" s="315"/>
    </row>
    <row r="111" spans="1:6">
      <c r="A111" s="305" t="s">
        <v>597</v>
      </c>
      <c r="C111" s="316"/>
      <c r="F111" s="315"/>
    </row>
    <row r="112" spans="1:6">
      <c r="A112" t="s">
        <v>598</v>
      </c>
      <c r="B112">
        <v>400</v>
      </c>
      <c r="C112" s="316">
        <f t="shared" si="0"/>
        <v>1300000</v>
      </c>
      <c r="F112" s="315"/>
    </row>
    <row r="113" spans="1:6">
      <c r="A113" t="s">
        <v>599</v>
      </c>
      <c r="B113">
        <v>450</v>
      </c>
      <c r="C113" s="316">
        <f t="shared" si="0"/>
        <v>1300000</v>
      </c>
      <c r="F113" s="315"/>
    </row>
    <row r="114" spans="1:6">
      <c r="A114" t="s">
        <v>600</v>
      </c>
      <c r="B114">
        <v>400</v>
      </c>
      <c r="C114" s="316">
        <f t="shared" si="0"/>
        <v>1300000</v>
      </c>
      <c r="F114" s="315"/>
    </row>
    <row r="115" spans="1:6">
      <c r="A115" t="s">
        <v>601</v>
      </c>
      <c r="B115">
        <v>300</v>
      </c>
      <c r="C115" s="316">
        <f t="shared" si="0"/>
        <v>1050000</v>
      </c>
      <c r="F115" s="315"/>
    </row>
    <row r="116" spans="1:6">
      <c r="A116" t="s">
        <v>602</v>
      </c>
      <c r="B116">
        <v>220</v>
      </c>
      <c r="C116" s="316">
        <f t="shared" si="0"/>
        <v>800000</v>
      </c>
      <c r="F116" s="315"/>
    </row>
    <row r="117" spans="1:6">
      <c r="A117" t="s">
        <v>603</v>
      </c>
      <c r="B117">
        <v>350</v>
      </c>
      <c r="C117" s="316">
        <f t="shared" si="0"/>
        <v>1050000</v>
      </c>
      <c r="F117" s="315"/>
    </row>
    <row r="118" spans="1:6">
      <c r="A118" t="s">
        <v>604</v>
      </c>
      <c r="B118">
        <v>450</v>
      </c>
      <c r="C118" s="316">
        <f t="shared" si="0"/>
        <v>1300000</v>
      </c>
      <c r="F118" s="315"/>
    </row>
    <row r="119" spans="1:6">
      <c r="A119" t="s">
        <v>606</v>
      </c>
      <c r="B119">
        <v>380</v>
      </c>
      <c r="C119" s="316">
        <f t="shared" si="0"/>
        <v>1050000</v>
      </c>
      <c r="F119" s="315"/>
    </row>
    <row r="120" spans="1:6">
      <c r="A120" t="s">
        <v>607</v>
      </c>
      <c r="B120">
        <v>400</v>
      </c>
      <c r="C120" s="316">
        <f t="shared" si="0"/>
        <v>1300000</v>
      </c>
      <c r="F120" s="315"/>
    </row>
    <row r="121" spans="1:6">
      <c r="A121" s="305" t="s">
        <v>609</v>
      </c>
      <c r="C121" s="316"/>
      <c r="F121" s="315"/>
    </row>
    <row r="122" spans="1:6">
      <c r="A122" t="s">
        <v>608</v>
      </c>
      <c r="B122">
        <v>400</v>
      </c>
      <c r="C122" s="316">
        <f t="shared" si="0"/>
        <v>1300000</v>
      </c>
      <c r="F122" s="315"/>
    </row>
    <row r="123" spans="1:6">
      <c r="A123" t="s">
        <v>605</v>
      </c>
      <c r="B123">
        <v>440</v>
      </c>
      <c r="C123" s="316">
        <f t="shared" si="0"/>
        <v>1300000</v>
      </c>
      <c r="F123" s="3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8"/>
  <sheetViews>
    <sheetView workbookViewId="0">
      <selection activeCell="F20" sqref="F20"/>
    </sheetView>
  </sheetViews>
  <sheetFormatPr baseColWidth="10" defaultRowHeight="15"/>
  <sheetData>
    <row r="1" spans="2:11" ht="15.75" thickBot="1"/>
    <row r="2" spans="2:11">
      <c r="B2" s="164"/>
      <c r="C2" s="165"/>
      <c r="D2" s="165"/>
      <c r="E2" s="165"/>
      <c r="F2" s="165"/>
      <c r="G2" s="165"/>
      <c r="H2" s="165"/>
      <c r="I2" s="165"/>
      <c r="J2" s="165"/>
      <c r="K2" s="166"/>
    </row>
    <row r="3" spans="2:11">
      <c r="B3" s="167"/>
      <c r="C3" s="168"/>
      <c r="D3" s="168"/>
      <c r="E3" s="168"/>
      <c r="F3" s="168"/>
      <c r="G3" s="168"/>
      <c r="H3" s="168"/>
      <c r="I3" s="168"/>
      <c r="J3" s="168"/>
      <c r="K3" s="169"/>
    </row>
    <row r="4" spans="2:11">
      <c r="B4" s="167"/>
      <c r="C4" s="168"/>
      <c r="D4" s="168"/>
      <c r="E4" s="168"/>
      <c r="F4" s="168"/>
      <c r="G4" s="168"/>
      <c r="H4" s="168"/>
      <c r="I4" s="168"/>
      <c r="J4" s="168"/>
      <c r="K4" s="169"/>
    </row>
    <row r="5" spans="2:11">
      <c r="B5" s="167"/>
      <c r="C5" s="168"/>
      <c r="D5" s="168"/>
      <c r="E5" s="168"/>
      <c r="F5" s="168"/>
      <c r="G5" s="168"/>
      <c r="H5" s="168"/>
      <c r="I5" s="168"/>
      <c r="J5" s="168"/>
      <c r="K5" s="169"/>
    </row>
    <row r="6" spans="2:11">
      <c r="B6" s="167"/>
      <c r="C6" s="168"/>
      <c r="D6" s="168"/>
      <c r="E6" s="168"/>
      <c r="F6" s="168"/>
      <c r="G6" s="168"/>
      <c r="H6" s="168"/>
      <c r="I6" s="168"/>
      <c r="J6" s="168"/>
      <c r="K6" s="169"/>
    </row>
    <row r="7" spans="2:11">
      <c r="B7" s="167"/>
      <c r="C7" s="168"/>
      <c r="D7" s="168"/>
      <c r="E7" s="168"/>
      <c r="F7" s="168"/>
      <c r="G7" s="168"/>
      <c r="H7" s="168"/>
      <c r="I7" s="168"/>
      <c r="J7" s="168"/>
      <c r="K7" s="169"/>
    </row>
    <row r="8" spans="2:11">
      <c r="B8" s="167"/>
      <c r="C8" s="168"/>
      <c r="D8" s="168"/>
      <c r="E8" s="168"/>
      <c r="F8" s="168"/>
      <c r="G8" s="168"/>
      <c r="H8" s="168"/>
      <c r="I8" s="168"/>
      <c r="J8" s="168"/>
      <c r="K8" s="169"/>
    </row>
    <row r="9" spans="2:11">
      <c r="B9" s="167"/>
      <c r="C9" s="168"/>
      <c r="D9" s="168"/>
      <c r="E9" s="168"/>
      <c r="F9" s="168"/>
      <c r="G9" s="168"/>
      <c r="H9" s="168"/>
      <c r="I9" s="168"/>
      <c r="J9" s="168"/>
      <c r="K9" s="169"/>
    </row>
    <row r="10" spans="2:11">
      <c r="B10" s="167"/>
      <c r="C10" s="168"/>
      <c r="D10" s="168"/>
      <c r="E10" s="168"/>
      <c r="F10" s="168"/>
      <c r="G10" s="168"/>
      <c r="H10" s="168"/>
      <c r="I10" s="168"/>
      <c r="J10" s="168"/>
      <c r="K10" s="169"/>
    </row>
    <row r="11" spans="2:11">
      <c r="B11" s="167"/>
      <c r="C11" s="168"/>
      <c r="D11" s="168"/>
      <c r="E11" s="168"/>
      <c r="F11" s="168"/>
      <c r="G11" s="168"/>
      <c r="H11" s="168"/>
      <c r="I11" s="168"/>
      <c r="J11" s="168"/>
      <c r="K11" s="169"/>
    </row>
    <row r="12" spans="2:11">
      <c r="B12" s="167"/>
      <c r="C12" s="168"/>
      <c r="D12" s="168"/>
      <c r="E12" s="168"/>
      <c r="F12" s="168"/>
      <c r="G12" s="168"/>
      <c r="H12" s="168"/>
      <c r="I12" s="168"/>
      <c r="J12" s="168"/>
      <c r="K12" s="169"/>
    </row>
    <row r="13" spans="2:11">
      <c r="B13" s="167"/>
      <c r="C13" s="168"/>
      <c r="D13" s="168"/>
      <c r="E13" s="168"/>
      <c r="F13" s="168"/>
      <c r="G13" s="168"/>
      <c r="H13" s="168"/>
      <c r="I13" s="168"/>
      <c r="J13" s="168"/>
      <c r="K13" s="169"/>
    </row>
    <row r="14" spans="2:11">
      <c r="B14" s="167"/>
      <c r="C14" s="168"/>
      <c r="D14" s="168"/>
      <c r="E14" s="168"/>
      <c r="F14" s="168"/>
      <c r="G14" s="168"/>
      <c r="H14" s="168"/>
      <c r="I14" s="168"/>
      <c r="J14" s="168"/>
      <c r="K14" s="169"/>
    </row>
    <row r="15" spans="2:11">
      <c r="B15" s="167"/>
      <c r="C15" s="168"/>
      <c r="D15" s="168"/>
      <c r="E15" s="168"/>
      <c r="F15" s="168"/>
      <c r="G15" s="168"/>
      <c r="H15" s="168"/>
      <c r="I15" s="168"/>
      <c r="J15" s="168"/>
      <c r="K15" s="169"/>
    </row>
    <row r="16" spans="2:11">
      <c r="B16" s="167"/>
      <c r="C16" s="168"/>
      <c r="D16" s="168"/>
      <c r="E16" s="168"/>
      <c r="F16" s="168"/>
      <c r="G16" s="168"/>
      <c r="H16" s="168"/>
      <c r="I16" s="168"/>
      <c r="J16" s="168"/>
      <c r="K16" s="169"/>
    </row>
    <row r="17" spans="2:11">
      <c r="B17" s="167"/>
      <c r="C17" s="168"/>
      <c r="D17" s="168"/>
      <c r="E17" s="168"/>
      <c r="F17" s="168"/>
      <c r="G17" s="168"/>
      <c r="H17" s="168"/>
      <c r="I17" s="168"/>
      <c r="J17" s="168"/>
      <c r="K17" s="169"/>
    </row>
    <row r="18" spans="2:11" ht="15.75" thickBot="1">
      <c r="B18" s="170"/>
      <c r="C18" s="171"/>
      <c r="D18" s="171"/>
      <c r="E18" s="171"/>
      <c r="F18" s="171"/>
      <c r="G18" s="171"/>
      <c r="H18" s="171"/>
      <c r="I18" s="171"/>
      <c r="J18" s="171"/>
      <c r="K18" s="17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Q156"/>
  <sheetViews>
    <sheetView showGridLines="0" workbookViewId="0">
      <selection activeCell="N11" sqref="N11"/>
    </sheetView>
  </sheetViews>
  <sheetFormatPr baseColWidth="10" defaultColWidth="9.28515625" defaultRowHeight="12.75"/>
  <cols>
    <col min="1" max="1" width="11.7109375" style="185" customWidth="1"/>
    <col min="2" max="16384" width="9.28515625" style="185"/>
  </cols>
  <sheetData>
    <row r="2" spans="1:10">
      <c r="A2" s="184"/>
      <c r="B2" s="184"/>
      <c r="C2" s="184"/>
      <c r="D2" s="184"/>
      <c r="E2" s="184"/>
      <c r="F2" s="184"/>
      <c r="G2" s="184"/>
      <c r="H2" s="184"/>
      <c r="I2" s="184"/>
    </row>
    <row r="3" spans="1:10">
      <c r="A3" s="184"/>
      <c r="B3" s="184"/>
      <c r="C3" s="184"/>
      <c r="D3" s="184"/>
      <c r="E3" s="184"/>
      <c r="F3" s="184"/>
      <c r="G3" s="184"/>
      <c r="H3" s="184"/>
      <c r="I3" s="184"/>
    </row>
    <row r="4" spans="1:10">
      <c r="A4" s="184"/>
      <c r="B4" s="184"/>
      <c r="C4" s="184"/>
      <c r="D4" s="184"/>
      <c r="E4" s="184"/>
      <c r="F4" s="184"/>
      <c r="G4" s="184"/>
      <c r="H4" s="184"/>
      <c r="I4" s="184"/>
    </row>
    <row r="5" spans="1:10">
      <c r="A5" s="184"/>
      <c r="B5" s="184"/>
      <c r="C5" s="184"/>
      <c r="D5" s="184"/>
      <c r="E5" s="184"/>
      <c r="F5" s="184"/>
      <c r="G5" s="184"/>
      <c r="H5" s="184"/>
      <c r="I5" s="184"/>
    </row>
    <row r="6" spans="1:10">
      <c r="A6" s="184"/>
      <c r="B6" s="184"/>
      <c r="C6" s="184"/>
      <c r="D6" s="184"/>
      <c r="E6" s="184"/>
      <c r="F6" s="184"/>
      <c r="G6" s="184"/>
      <c r="H6" s="184"/>
      <c r="I6" s="184"/>
    </row>
    <row r="7" spans="1:10">
      <c r="A7" s="184"/>
    </row>
    <row r="8" spans="1:10" ht="15">
      <c r="C8" s="186"/>
      <c r="D8" s="186"/>
      <c r="E8" s="186"/>
      <c r="F8" s="186"/>
      <c r="G8" s="186"/>
      <c r="H8" s="186"/>
    </row>
    <row r="12" spans="1:10">
      <c r="J12" s="185" t="s">
        <v>227</v>
      </c>
    </row>
    <row r="15" spans="1:10" ht="12.75" customHeight="1"/>
    <row r="16" spans="1:10" ht="12.75" customHeight="1"/>
    <row r="17" spans="7:9">
      <c r="G17" s="478" t="s">
        <v>228</v>
      </c>
      <c r="H17" s="478"/>
      <c r="I17" s="478"/>
    </row>
    <row r="18" spans="7:9" ht="12.75" customHeight="1">
      <c r="G18" s="478"/>
      <c r="H18" s="478"/>
      <c r="I18" s="478"/>
    </row>
    <row r="19" spans="7:9" ht="12.75" customHeight="1">
      <c r="G19" s="478"/>
      <c r="H19" s="478"/>
      <c r="I19" s="478"/>
    </row>
    <row r="34" spans="8:16">
      <c r="L34" s="478" t="s">
        <v>229</v>
      </c>
      <c r="M34" s="478"/>
      <c r="N34" s="478"/>
    </row>
    <row r="35" spans="8:16">
      <c r="L35" s="478"/>
      <c r="M35" s="478"/>
      <c r="N35" s="478"/>
    </row>
    <row r="36" spans="8:16">
      <c r="L36" s="478"/>
      <c r="M36" s="478"/>
      <c r="N36" s="478"/>
    </row>
    <row r="38" spans="8:16">
      <c r="O38" s="478"/>
      <c r="P38" s="478"/>
    </row>
    <row r="39" spans="8:16">
      <c r="O39" s="478"/>
      <c r="P39" s="478"/>
    </row>
    <row r="40" spans="8:16">
      <c r="O40" s="478"/>
      <c r="P40" s="478"/>
    </row>
    <row r="44" spans="8:16" ht="12.75" customHeight="1"/>
    <row r="45" spans="8:16">
      <c r="H45" s="478" t="s">
        <v>230</v>
      </c>
      <c r="I45" s="478"/>
      <c r="J45" s="478"/>
    </row>
    <row r="46" spans="8:16">
      <c r="H46" s="478"/>
      <c r="I46" s="478"/>
      <c r="J46" s="478"/>
    </row>
    <row r="47" spans="8:16">
      <c r="H47" s="478"/>
      <c r="I47" s="478"/>
      <c r="J47" s="478"/>
    </row>
    <row r="53" spans="8:11">
      <c r="H53" s="478"/>
      <c r="I53" s="478"/>
      <c r="J53" s="478"/>
    </row>
    <row r="54" spans="8:11">
      <c r="H54" s="478"/>
      <c r="I54" s="478"/>
      <c r="J54" s="478"/>
    </row>
    <row r="55" spans="8:11">
      <c r="H55" s="478"/>
      <c r="I55" s="478"/>
      <c r="J55" s="478"/>
    </row>
    <row r="56" spans="8:11" ht="12.75" customHeight="1"/>
    <row r="63" spans="8:11">
      <c r="I63" s="478" t="s">
        <v>231</v>
      </c>
      <c r="J63" s="478"/>
      <c r="K63" s="478"/>
    </row>
    <row r="64" spans="8:11">
      <c r="I64" s="478"/>
      <c r="J64" s="478"/>
      <c r="K64" s="478"/>
    </row>
    <row r="65" spans="9:11">
      <c r="I65" s="478"/>
      <c r="J65" s="478"/>
      <c r="K65" s="478"/>
    </row>
    <row r="69" spans="9:11" ht="12.75" customHeight="1"/>
    <row r="73" spans="9:11" ht="12.75" customHeight="1"/>
    <row r="81" spans="1:17">
      <c r="J81" s="478" t="s">
        <v>230</v>
      </c>
      <c r="K81" s="478"/>
      <c r="L81" s="478"/>
    </row>
    <row r="82" spans="1:17">
      <c r="J82" s="478"/>
      <c r="K82" s="478"/>
      <c r="L82" s="478"/>
    </row>
    <row r="83" spans="1:17">
      <c r="J83" s="478"/>
      <c r="K83" s="478"/>
      <c r="L83" s="478"/>
    </row>
    <row r="86" spans="1:17" ht="12.75" customHeight="1"/>
    <row r="87" spans="1:17">
      <c r="A87" s="479" t="s">
        <v>226</v>
      </c>
      <c r="B87" s="479"/>
      <c r="C87" s="479"/>
    </row>
    <row r="88" spans="1:17">
      <c r="A88" s="479"/>
      <c r="B88" s="479"/>
      <c r="C88" s="479"/>
    </row>
    <row r="89" spans="1:17">
      <c r="A89" s="479"/>
      <c r="B89" s="479"/>
      <c r="C89" s="479"/>
    </row>
    <row r="93" spans="1:17" ht="12.75" customHeight="1">
      <c r="A93" s="479"/>
    </row>
    <row r="94" spans="1:17">
      <c r="A94" s="479"/>
    </row>
    <row r="95" spans="1:17">
      <c r="A95" s="479"/>
      <c r="O95" s="479"/>
      <c r="P95" s="479"/>
      <c r="Q95" s="479"/>
    </row>
    <row r="96" spans="1:17" ht="12.75" customHeight="1">
      <c r="O96" s="479"/>
      <c r="P96" s="479"/>
      <c r="Q96" s="479"/>
    </row>
    <row r="97" spans="2:17">
      <c r="O97" s="479"/>
      <c r="P97" s="479"/>
      <c r="Q97" s="479"/>
    </row>
    <row r="102" spans="2:17">
      <c r="H102" s="479"/>
      <c r="I102" s="479"/>
      <c r="J102" s="479"/>
    </row>
    <row r="103" spans="2:17">
      <c r="H103" s="479"/>
      <c r="I103" s="479"/>
      <c r="J103" s="479"/>
    </row>
    <row r="104" spans="2:17">
      <c r="H104" s="479"/>
      <c r="I104" s="479"/>
      <c r="J104" s="479"/>
    </row>
    <row r="105" spans="2:17" ht="12.75" customHeight="1"/>
    <row r="106" spans="2:17" ht="12.75" customHeight="1"/>
    <row r="107" spans="2:17" ht="12.75" customHeight="1">
      <c r="O107" s="478"/>
      <c r="P107" s="478"/>
    </row>
    <row r="108" spans="2:17">
      <c r="O108" s="478"/>
      <c r="P108" s="478"/>
    </row>
    <row r="109" spans="2:17">
      <c r="O109" s="478"/>
      <c r="P109" s="478"/>
    </row>
    <row r="110" spans="2:17" ht="12.75" customHeight="1">
      <c r="B110" s="478" t="s">
        <v>230</v>
      </c>
      <c r="C110" s="478"/>
      <c r="D110" s="478"/>
    </row>
    <row r="111" spans="2:17">
      <c r="B111" s="478"/>
      <c r="C111" s="478"/>
      <c r="D111" s="478"/>
    </row>
    <row r="112" spans="2:17">
      <c r="B112" s="478"/>
      <c r="C112" s="478"/>
      <c r="D112" s="478"/>
    </row>
    <row r="113" spans="8:12" ht="12.75" customHeight="1"/>
    <row r="115" spans="8:12" ht="12.75" customHeight="1"/>
    <row r="116" spans="8:12">
      <c r="H116" s="479"/>
      <c r="I116" s="479"/>
      <c r="J116" s="479"/>
    </row>
    <row r="117" spans="8:12">
      <c r="H117" s="479"/>
      <c r="I117" s="479"/>
      <c r="J117" s="479"/>
    </row>
    <row r="118" spans="8:12">
      <c r="H118" s="479"/>
      <c r="I118" s="479"/>
      <c r="J118" s="479"/>
    </row>
    <row r="120" spans="8:12">
      <c r="J120" s="478" t="s">
        <v>229</v>
      </c>
      <c r="K120" s="478"/>
      <c r="L120" s="478"/>
    </row>
    <row r="121" spans="8:12">
      <c r="J121" s="478"/>
      <c r="K121" s="478"/>
      <c r="L121" s="478"/>
    </row>
    <row r="122" spans="8:12">
      <c r="J122" s="478"/>
      <c r="K122" s="478"/>
      <c r="L122" s="478"/>
    </row>
    <row r="133" spans="1:11" ht="12.75" customHeight="1"/>
    <row r="137" spans="1:11">
      <c r="I137" s="478"/>
      <c r="J137" s="478"/>
      <c r="K137" s="478"/>
    </row>
    <row r="138" spans="1:11">
      <c r="I138" s="478"/>
      <c r="J138" s="478"/>
      <c r="K138" s="478"/>
    </row>
    <row r="139" spans="1:11">
      <c r="I139" s="478"/>
      <c r="J139" s="478"/>
      <c r="K139" s="478"/>
    </row>
    <row r="141" spans="1:11" ht="12.75" customHeight="1">
      <c r="A141" s="479"/>
      <c r="B141" s="479"/>
    </row>
    <row r="142" spans="1:11">
      <c r="A142" s="479"/>
      <c r="B142" s="479"/>
    </row>
    <row r="143" spans="1:11">
      <c r="A143" s="479"/>
      <c r="B143" s="479"/>
    </row>
    <row r="145" spans="6:14">
      <c r="M145" s="479"/>
      <c r="N145" s="479"/>
    </row>
    <row r="146" spans="6:14">
      <c r="M146" s="479"/>
      <c r="N146" s="479"/>
    </row>
    <row r="147" spans="6:14">
      <c r="M147" s="479"/>
      <c r="N147" s="479"/>
    </row>
    <row r="149" spans="6:14">
      <c r="F149" s="478"/>
      <c r="G149" s="478"/>
      <c r="H149" s="478"/>
    </row>
    <row r="150" spans="6:14" ht="12.75" customHeight="1">
      <c r="F150" s="478"/>
      <c r="G150" s="478"/>
      <c r="H150" s="478"/>
    </row>
    <row r="151" spans="6:14">
      <c r="F151" s="478"/>
      <c r="G151" s="478"/>
      <c r="H151" s="478"/>
    </row>
    <row r="154" spans="6:14">
      <c r="K154" s="478"/>
      <c r="L154" s="478"/>
      <c r="M154" s="478"/>
    </row>
    <row r="155" spans="6:14">
      <c r="K155" s="478"/>
      <c r="L155" s="478"/>
      <c r="M155" s="478"/>
    </row>
    <row r="156" spans="6:14">
      <c r="K156" s="478"/>
      <c r="L156" s="478"/>
      <c r="M156" s="478"/>
    </row>
  </sheetData>
  <mergeCells count="20">
    <mergeCell ref="K154:M156"/>
    <mergeCell ref="B110:D112"/>
    <mergeCell ref="H116:J118"/>
    <mergeCell ref="J120:L122"/>
    <mergeCell ref="I137:K139"/>
    <mergeCell ref="A141:B143"/>
    <mergeCell ref="M145:N147"/>
    <mergeCell ref="A87:C89"/>
    <mergeCell ref="A93:A95"/>
    <mergeCell ref="O95:Q97"/>
    <mergeCell ref="H102:J104"/>
    <mergeCell ref="F149:H151"/>
    <mergeCell ref="O107:P109"/>
    <mergeCell ref="I63:K65"/>
    <mergeCell ref="J81:L83"/>
    <mergeCell ref="G17:I19"/>
    <mergeCell ref="L34:N36"/>
    <mergeCell ref="O38:P40"/>
    <mergeCell ref="H45:J47"/>
    <mergeCell ref="H53:J55"/>
  </mergeCells>
  <pageMargins left="0.75" right="0.75" top="0.5" bottom="0.5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B2:V40"/>
  <sheetViews>
    <sheetView zoomScale="115" zoomScaleNormal="115" workbookViewId="0"/>
  </sheetViews>
  <sheetFormatPr baseColWidth="10" defaultRowHeight="15"/>
  <cols>
    <col min="2" max="2" width="23.42578125" customWidth="1"/>
    <col min="3" max="3" width="10.5703125" customWidth="1"/>
    <col min="4" max="4" width="10.28515625" customWidth="1"/>
    <col min="5" max="5" width="15" customWidth="1"/>
    <col min="6" max="6" width="2.7109375" customWidth="1"/>
    <col min="7" max="7" width="36.42578125" customWidth="1"/>
    <col min="10" max="10" width="14.42578125" customWidth="1"/>
    <col min="12" max="12" width="31" customWidth="1"/>
    <col min="15" max="15" width="14.5703125" bestFit="1" customWidth="1"/>
    <col min="19" max="19" width="14.28515625" bestFit="1" customWidth="1"/>
    <col min="20" max="20" width="12.7109375" bestFit="1" customWidth="1"/>
  </cols>
  <sheetData>
    <row r="2" spans="2:20" ht="15.75" thickBot="1"/>
    <row r="3" spans="2:20">
      <c r="B3" s="521" t="s">
        <v>215</v>
      </c>
      <c r="C3" s="522"/>
      <c r="D3" s="522"/>
      <c r="E3" s="523"/>
      <c r="G3" s="521" t="s">
        <v>232</v>
      </c>
      <c r="H3" s="522"/>
      <c r="I3" s="522"/>
      <c r="J3" s="523"/>
      <c r="L3" s="524" t="s">
        <v>233</v>
      </c>
      <c r="M3" s="525"/>
      <c r="N3" s="525"/>
      <c r="O3" s="526"/>
    </row>
    <row r="4" spans="2:20" ht="27.75" customHeight="1" thickBot="1">
      <c r="B4" s="173" t="s">
        <v>216</v>
      </c>
      <c r="C4" s="174" t="s">
        <v>217</v>
      </c>
      <c r="D4" s="174" t="s">
        <v>218</v>
      </c>
      <c r="E4" s="175" t="s">
        <v>7</v>
      </c>
      <c r="G4" s="173" t="s">
        <v>216</v>
      </c>
      <c r="H4" s="174" t="s">
        <v>217</v>
      </c>
      <c r="I4" s="174" t="s">
        <v>218</v>
      </c>
      <c r="J4" s="175" t="s">
        <v>7</v>
      </c>
      <c r="L4" s="187" t="s">
        <v>216</v>
      </c>
      <c r="M4" s="188" t="s">
        <v>217</v>
      </c>
      <c r="N4" s="188" t="s">
        <v>218</v>
      </c>
      <c r="O4" s="189" t="s">
        <v>7</v>
      </c>
    </row>
    <row r="5" spans="2:20" ht="30">
      <c r="B5" s="176" t="s">
        <v>219</v>
      </c>
      <c r="C5" s="177">
        <v>7573</v>
      </c>
      <c r="D5" s="178">
        <v>34785</v>
      </c>
      <c r="E5" s="179">
        <f>+C5*D5</f>
        <v>263426805</v>
      </c>
      <c r="G5" s="176" t="s">
        <v>219</v>
      </c>
      <c r="H5" s="177">
        <v>7573</v>
      </c>
      <c r="I5" s="178">
        <v>45010.68</v>
      </c>
      <c r="J5" s="179">
        <f>+H5*I5</f>
        <v>340865879.63999999</v>
      </c>
      <c r="L5" s="190" t="s">
        <v>219</v>
      </c>
      <c r="M5" s="191">
        <v>7573</v>
      </c>
      <c r="N5" s="192">
        <v>26968.6</v>
      </c>
      <c r="O5" s="193">
        <f>+M5*N5</f>
        <v>204233207.79999998</v>
      </c>
    </row>
    <row r="6" spans="2:20" ht="30">
      <c r="B6" s="180" t="s">
        <v>220</v>
      </c>
      <c r="C6" s="181">
        <v>1002</v>
      </c>
      <c r="D6" s="182">
        <v>39423</v>
      </c>
      <c r="E6" s="183">
        <f>+C6*D6</f>
        <v>39501846</v>
      </c>
      <c r="G6" s="180" t="s">
        <v>220</v>
      </c>
      <c r="H6" s="181">
        <v>1002</v>
      </c>
      <c r="I6" s="182">
        <v>41294.318999999996</v>
      </c>
      <c r="J6" s="183">
        <f>+H6*I6</f>
        <v>41376907.637999997</v>
      </c>
      <c r="L6" s="190" t="s">
        <v>220</v>
      </c>
      <c r="M6" s="191">
        <v>1002</v>
      </c>
      <c r="N6" s="192">
        <v>33854.199999999997</v>
      </c>
      <c r="O6" s="193">
        <f>+M6*N6</f>
        <v>33921908.399999999</v>
      </c>
    </row>
    <row r="7" spans="2:20" ht="15.75" thickBot="1">
      <c r="B7" s="167"/>
      <c r="C7" s="168"/>
      <c r="D7" s="181" t="s">
        <v>8</v>
      </c>
      <c r="E7" s="183">
        <f>+E5+E6</f>
        <v>302928651</v>
      </c>
      <c r="G7" s="167"/>
      <c r="H7" s="168"/>
      <c r="I7" s="181" t="s">
        <v>8</v>
      </c>
      <c r="J7" s="183">
        <f>+J5+J6</f>
        <v>382242787.278</v>
      </c>
      <c r="L7" s="170"/>
      <c r="M7" s="171"/>
      <c r="N7" s="171"/>
      <c r="O7" s="172"/>
    </row>
    <row r="8" spans="2:20">
      <c r="B8" s="167"/>
      <c r="C8" s="168"/>
      <c r="D8" s="168"/>
      <c r="E8" s="169"/>
      <c r="G8" s="167"/>
      <c r="H8" s="168"/>
      <c r="I8" s="168"/>
      <c r="J8" s="169"/>
      <c r="L8" s="527" t="s">
        <v>234</v>
      </c>
      <c r="M8" s="528"/>
      <c r="N8" s="528"/>
      <c r="O8" s="528"/>
      <c r="P8" s="528"/>
      <c r="Q8" s="528"/>
      <c r="R8" s="528"/>
      <c r="S8" s="529"/>
    </row>
    <row r="9" spans="2:20">
      <c r="B9" s="167"/>
      <c r="C9" s="168"/>
      <c r="D9" s="168"/>
      <c r="E9" s="169"/>
      <c r="G9" s="167"/>
      <c r="H9" s="168"/>
      <c r="I9" s="168"/>
      <c r="J9" s="169"/>
      <c r="L9" s="530"/>
      <c r="M9" s="531"/>
      <c r="N9" s="531"/>
      <c r="O9" s="531"/>
      <c r="P9" s="531"/>
      <c r="Q9" s="531"/>
      <c r="R9" s="531"/>
      <c r="S9" s="532"/>
      <c r="T9" s="194"/>
    </row>
    <row r="10" spans="2:20">
      <c r="B10" s="167"/>
      <c r="C10" s="168"/>
      <c r="D10" s="168"/>
      <c r="E10" s="169"/>
      <c r="G10" s="167"/>
      <c r="H10" s="168"/>
      <c r="I10" s="168"/>
      <c r="J10" s="169"/>
      <c r="L10" s="530"/>
      <c r="M10" s="531"/>
      <c r="N10" s="531"/>
      <c r="O10" s="531"/>
      <c r="P10" s="531"/>
      <c r="Q10" s="531"/>
      <c r="R10" s="531"/>
      <c r="S10" s="532"/>
      <c r="T10" s="195" t="s">
        <v>235</v>
      </c>
    </row>
    <row r="11" spans="2:20" ht="23.25">
      <c r="B11" s="167"/>
      <c r="C11" s="168"/>
      <c r="D11" s="168"/>
      <c r="E11" s="169"/>
      <c r="G11" s="167"/>
      <c r="H11" s="168"/>
      <c r="I11" s="168"/>
      <c r="J11" s="169"/>
      <c r="L11" s="530"/>
      <c r="M11" s="531"/>
      <c r="N11" s="531"/>
      <c r="O11" s="531"/>
      <c r="P11" s="531"/>
      <c r="Q11" s="531"/>
      <c r="R11" s="531"/>
      <c r="S11" s="532"/>
      <c r="T11" s="196">
        <v>205</v>
      </c>
    </row>
    <row r="12" spans="2:20" ht="15.75" thickBot="1">
      <c r="B12" s="167"/>
      <c r="C12" s="168"/>
      <c r="D12" s="168"/>
      <c r="E12" s="169"/>
      <c r="G12" s="167"/>
      <c r="H12" s="168"/>
      <c r="I12" s="168"/>
      <c r="J12" s="169"/>
      <c r="L12" s="533"/>
      <c r="M12" s="534"/>
      <c r="N12" s="534"/>
      <c r="O12" s="534"/>
      <c r="P12" s="534"/>
      <c r="Q12" s="534"/>
      <c r="R12" s="534"/>
      <c r="S12" s="535"/>
      <c r="T12" s="197"/>
    </row>
    <row r="13" spans="2:20">
      <c r="B13" s="167"/>
      <c r="C13" s="168"/>
      <c r="D13" s="168"/>
      <c r="E13" s="169"/>
      <c r="G13" s="167"/>
      <c r="H13" s="168"/>
      <c r="I13" s="168"/>
      <c r="J13" s="169"/>
      <c r="L13" s="536" t="s">
        <v>236</v>
      </c>
      <c r="M13" s="537"/>
      <c r="N13" s="538" t="s">
        <v>237</v>
      </c>
      <c r="O13" s="538"/>
      <c r="P13" s="539" t="s">
        <v>238</v>
      </c>
      <c r="Q13" s="538"/>
      <c r="R13" s="540"/>
      <c r="S13" s="198" t="s">
        <v>11</v>
      </c>
      <c r="T13" s="199" t="s">
        <v>239</v>
      </c>
    </row>
    <row r="14" spans="2:20">
      <c r="B14" s="167"/>
      <c r="C14" s="168"/>
      <c r="D14" s="168"/>
      <c r="E14" s="169"/>
      <c r="G14" s="167"/>
      <c r="H14" s="168"/>
      <c r="I14" s="168"/>
      <c r="J14" s="169"/>
      <c r="L14" s="513"/>
      <c r="M14" s="514"/>
      <c r="N14" s="515" t="s">
        <v>240</v>
      </c>
      <c r="O14" s="514"/>
      <c r="P14" s="515" t="s">
        <v>241</v>
      </c>
      <c r="Q14" s="516"/>
      <c r="R14" s="514"/>
      <c r="S14" s="200">
        <v>43864</v>
      </c>
      <c r="T14" s="201" t="s">
        <v>242</v>
      </c>
    </row>
    <row r="15" spans="2:20">
      <c r="B15" s="167"/>
      <c r="C15" s="168"/>
      <c r="D15" s="168"/>
      <c r="E15" s="169"/>
      <c r="G15" s="167"/>
      <c r="H15" s="168"/>
      <c r="I15" s="168"/>
      <c r="J15" s="169"/>
      <c r="L15" s="517" t="s">
        <v>243</v>
      </c>
      <c r="M15" s="518"/>
      <c r="N15" s="519" t="s">
        <v>244</v>
      </c>
      <c r="O15" s="519"/>
      <c r="P15" s="520" t="s">
        <v>245</v>
      </c>
      <c r="Q15" s="519"/>
      <c r="R15" s="518"/>
      <c r="S15" s="202"/>
      <c r="T15" s="203" t="s">
        <v>246</v>
      </c>
    </row>
    <row r="16" spans="2:20" ht="15.75" thickBot="1">
      <c r="B16" s="167"/>
      <c r="C16" s="168"/>
      <c r="D16" s="168"/>
      <c r="E16" s="169"/>
      <c r="G16" s="167"/>
      <c r="H16" s="168"/>
      <c r="I16" s="168"/>
      <c r="J16" s="169"/>
      <c r="L16" s="499"/>
      <c r="M16" s="500"/>
      <c r="N16" s="501"/>
      <c r="O16" s="502"/>
      <c r="P16" s="503"/>
      <c r="Q16" s="504"/>
      <c r="R16" s="502"/>
      <c r="S16" s="204"/>
      <c r="T16" s="205"/>
    </row>
    <row r="17" spans="2:22" ht="15.75" thickBot="1">
      <c r="B17" s="167"/>
      <c r="C17" s="168"/>
      <c r="D17" s="168"/>
      <c r="E17" s="169"/>
      <c r="G17" s="167"/>
      <c r="H17" s="168"/>
      <c r="I17" s="168"/>
      <c r="J17" s="169"/>
      <c r="L17" s="505" t="s">
        <v>247</v>
      </c>
      <c r="M17" s="506"/>
      <c r="N17" s="506"/>
      <c r="O17" s="506"/>
      <c r="P17" s="506"/>
      <c r="Q17" s="506"/>
      <c r="R17" s="506"/>
      <c r="S17" s="506"/>
      <c r="T17" s="507"/>
    </row>
    <row r="18" spans="2:22" ht="15.75" thickBot="1">
      <c r="B18" s="167"/>
      <c r="C18" s="168"/>
      <c r="D18" s="168"/>
      <c r="E18" s="169"/>
      <c r="G18" s="167"/>
      <c r="H18" s="168"/>
      <c r="I18" s="168"/>
      <c r="J18" s="169"/>
      <c r="L18" s="206" t="s">
        <v>248</v>
      </c>
      <c r="M18" s="206" t="s">
        <v>249</v>
      </c>
      <c r="N18" s="508" t="s">
        <v>250</v>
      </c>
      <c r="O18" s="509"/>
      <c r="P18" s="207" t="s">
        <v>47</v>
      </c>
      <c r="Q18" s="208" t="s">
        <v>2</v>
      </c>
      <c r="R18" s="510" t="s">
        <v>251</v>
      </c>
      <c r="S18" s="511"/>
      <c r="T18" s="512"/>
      <c r="V18" s="241"/>
    </row>
    <row r="19" spans="2:22">
      <c r="B19" s="167"/>
      <c r="C19" s="168"/>
      <c r="D19" s="168"/>
      <c r="E19" s="169"/>
      <c r="G19" s="167"/>
      <c r="H19" s="168"/>
      <c r="I19" s="168"/>
      <c r="J19" s="169"/>
      <c r="L19" s="209">
        <v>1</v>
      </c>
      <c r="M19" s="210"/>
      <c r="N19" s="492" t="s">
        <v>252</v>
      </c>
      <c r="O19" s="492"/>
      <c r="P19" s="211">
        <v>23500</v>
      </c>
      <c r="Q19" s="212">
        <v>7573</v>
      </c>
      <c r="R19" s="493">
        <f>Q19*P19</f>
        <v>177965500</v>
      </c>
      <c r="S19" s="493"/>
      <c r="T19" s="494"/>
    </row>
    <row r="20" spans="2:22">
      <c r="B20" s="167"/>
      <c r="C20" s="168"/>
      <c r="D20" s="168"/>
      <c r="E20" s="169"/>
      <c r="G20" s="167"/>
      <c r="H20" s="168"/>
      <c r="I20" s="168"/>
      <c r="J20" s="169"/>
      <c r="L20" s="213">
        <v>2</v>
      </c>
      <c r="M20" s="214"/>
      <c r="N20" s="495" t="s">
        <v>253</v>
      </c>
      <c r="O20" s="495"/>
      <c r="P20" s="215">
        <v>29500</v>
      </c>
      <c r="Q20" s="216">
        <v>1002</v>
      </c>
      <c r="R20" s="496">
        <f>Q20*P20</f>
        <v>29559000</v>
      </c>
      <c r="S20" s="496"/>
      <c r="T20" s="497"/>
    </row>
    <row r="21" spans="2:22" ht="15.75" thickBot="1">
      <c r="B21" s="167"/>
      <c r="C21" s="168"/>
      <c r="D21" s="168"/>
      <c r="E21" s="169"/>
      <c r="G21" s="167"/>
      <c r="H21" s="168"/>
      <c r="I21" s="168"/>
      <c r="J21" s="169"/>
      <c r="L21" s="217"/>
      <c r="M21" s="218"/>
      <c r="N21" s="498"/>
      <c r="O21" s="498"/>
      <c r="P21" s="219"/>
      <c r="Q21" s="220"/>
      <c r="R21" s="219"/>
      <c r="S21" s="219"/>
      <c r="T21" s="221"/>
    </row>
    <row r="22" spans="2:22">
      <c r="B22" s="167"/>
      <c r="C22" s="168"/>
      <c r="D22" s="168"/>
      <c r="E22" s="169"/>
      <c r="G22" s="167"/>
      <c r="H22" s="168"/>
      <c r="I22" s="168"/>
      <c r="J22" s="169"/>
      <c r="L22" s="222"/>
      <c r="M22" s="223"/>
      <c r="N22" s="480" t="s">
        <v>254</v>
      </c>
      <c r="O22" s="481"/>
      <c r="P22" s="224"/>
      <c r="Q22" s="224"/>
      <c r="R22" s="482"/>
      <c r="S22" s="482"/>
      <c r="T22" s="225">
        <f>R19+R20</f>
        <v>207524500</v>
      </c>
    </row>
    <row r="23" spans="2:22">
      <c r="B23" s="167"/>
      <c r="C23" s="168"/>
      <c r="D23" s="168"/>
      <c r="E23" s="169"/>
      <c r="G23" s="167"/>
      <c r="H23" s="168"/>
      <c r="I23" s="168"/>
      <c r="J23" s="169"/>
      <c r="L23" s="222"/>
      <c r="M23" s="223"/>
      <c r="N23" s="489" t="s">
        <v>255</v>
      </c>
      <c r="O23" s="490"/>
      <c r="P23" s="224"/>
      <c r="Q23" s="226">
        <v>0.08</v>
      </c>
      <c r="R23" s="227"/>
      <c r="S23" s="227"/>
      <c r="T23" s="225">
        <f>T22*Q23</f>
        <v>16601960</v>
      </c>
      <c r="V23" s="241"/>
    </row>
    <row r="24" spans="2:22">
      <c r="B24" s="167"/>
      <c r="C24" s="168"/>
      <c r="D24" s="168"/>
      <c r="E24" s="169"/>
      <c r="G24" s="167"/>
      <c r="H24" s="168"/>
      <c r="I24" s="168"/>
      <c r="J24" s="169"/>
      <c r="L24" s="222"/>
      <c r="M24" s="223"/>
      <c r="N24" s="489" t="s">
        <v>256</v>
      </c>
      <c r="O24" s="490"/>
      <c r="P24" s="224"/>
      <c r="Q24" s="226">
        <v>0.02</v>
      </c>
      <c r="R24" s="227"/>
      <c r="S24" s="227"/>
      <c r="T24" s="225">
        <f>T22*Q24</f>
        <v>4150490</v>
      </c>
    </row>
    <row r="25" spans="2:22">
      <c r="B25" s="167"/>
      <c r="C25" s="168"/>
      <c r="D25" s="168"/>
      <c r="E25" s="169"/>
      <c r="G25" s="167"/>
      <c r="H25" s="168"/>
      <c r="I25" s="168"/>
      <c r="J25" s="169"/>
      <c r="L25" s="222"/>
      <c r="M25" s="223"/>
      <c r="N25" s="489" t="s">
        <v>257</v>
      </c>
      <c r="O25" s="490"/>
      <c r="P25" s="224"/>
      <c r="Q25" s="226">
        <v>0.04</v>
      </c>
      <c r="R25" s="227"/>
      <c r="S25" s="227"/>
      <c r="T25" s="225">
        <f>T22*Q25</f>
        <v>8300980</v>
      </c>
    </row>
    <row r="26" spans="2:22">
      <c r="B26" s="167"/>
      <c r="C26" s="168"/>
      <c r="D26" s="168"/>
      <c r="E26" s="169"/>
      <c r="G26" s="167"/>
      <c r="H26" s="168"/>
      <c r="I26" s="168"/>
      <c r="J26" s="169"/>
      <c r="L26" s="228"/>
      <c r="M26" s="229"/>
      <c r="N26" s="489" t="s">
        <v>258</v>
      </c>
      <c r="O26" s="490"/>
      <c r="P26" s="230"/>
      <c r="Q26" s="231">
        <v>0.19</v>
      </c>
      <c r="R26" s="491"/>
      <c r="S26" s="491"/>
      <c r="T26" s="232">
        <f>T25*Q26</f>
        <v>1577186.2</v>
      </c>
    </row>
    <row r="27" spans="2:22" ht="15.75" thickBot="1">
      <c r="B27" s="167"/>
      <c r="C27" s="168"/>
      <c r="D27" s="168"/>
      <c r="E27" s="169"/>
      <c r="G27" s="167"/>
      <c r="H27" s="168"/>
      <c r="I27" s="168"/>
      <c r="J27" s="169"/>
      <c r="L27" s="233"/>
      <c r="M27" s="234"/>
      <c r="N27" s="483"/>
      <c r="O27" s="483"/>
      <c r="P27" s="235"/>
      <c r="Q27" s="235"/>
      <c r="R27" s="484"/>
      <c r="S27" s="484"/>
      <c r="T27" s="236"/>
    </row>
    <row r="28" spans="2:22">
      <c r="B28" s="167"/>
      <c r="C28" s="168"/>
      <c r="D28" s="168"/>
      <c r="E28" s="169"/>
      <c r="G28" s="167"/>
      <c r="H28" s="168"/>
      <c r="I28" s="168"/>
      <c r="J28" s="169"/>
      <c r="L28" s="485" t="s">
        <v>259</v>
      </c>
      <c r="M28" s="486"/>
      <c r="N28" s="486"/>
      <c r="O28" s="486"/>
      <c r="P28" s="486"/>
      <c r="Q28" s="486"/>
      <c r="R28" s="486"/>
      <c r="S28" s="237" t="s">
        <v>260</v>
      </c>
      <c r="T28" s="238">
        <f>SUM(T22:T27)</f>
        <v>238155116.19999999</v>
      </c>
    </row>
    <row r="29" spans="2:22" ht="32.25" customHeight="1" thickBot="1">
      <c r="B29" s="167"/>
      <c r="C29" s="168"/>
      <c r="D29" s="168"/>
      <c r="E29" s="169"/>
      <c r="G29" s="167"/>
      <c r="H29" s="168"/>
      <c r="I29" s="168"/>
      <c r="J29" s="169"/>
      <c r="L29" s="487"/>
      <c r="M29" s="488"/>
      <c r="N29" s="488"/>
      <c r="O29" s="488"/>
      <c r="P29" s="488"/>
      <c r="Q29" s="488"/>
      <c r="R29" s="488"/>
      <c r="S29" s="239" t="s">
        <v>7</v>
      </c>
      <c r="T29" s="240">
        <f>SUM(T28:T28)</f>
        <v>238155116.19999999</v>
      </c>
    </row>
    <row r="30" spans="2:22">
      <c r="B30" s="167"/>
      <c r="C30" s="168"/>
      <c r="D30" s="168"/>
      <c r="E30" s="169"/>
      <c r="G30" s="167"/>
      <c r="H30" s="168"/>
      <c r="I30" s="168"/>
      <c r="J30" s="169"/>
    </row>
    <row r="31" spans="2:22" ht="15.75" thickBot="1">
      <c r="B31" s="170"/>
      <c r="C31" s="171"/>
      <c r="D31" s="171"/>
      <c r="E31" s="172"/>
      <c r="G31" s="167"/>
      <c r="H31" s="168"/>
      <c r="I31" s="168"/>
      <c r="J31" s="169"/>
    </row>
    <row r="32" spans="2:22">
      <c r="G32" s="167"/>
      <c r="H32" s="168"/>
      <c r="I32" s="168"/>
      <c r="J32" s="169"/>
    </row>
    <row r="33" spans="7:10">
      <c r="G33" s="167"/>
      <c r="H33" s="168"/>
      <c r="I33" s="168"/>
      <c r="J33" s="169"/>
    </row>
    <row r="34" spans="7:10">
      <c r="G34" s="167"/>
      <c r="H34" s="168"/>
      <c r="I34" s="168"/>
      <c r="J34" s="169"/>
    </row>
    <row r="35" spans="7:10">
      <c r="G35" s="167"/>
      <c r="H35" s="168"/>
      <c r="I35" s="168"/>
      <c r="J35" s="169"/>
    </row>
    <row r="36" spans="7:10">
      <c r="G36" s="167"/>
      <c r="H36" s="168"/>
      <c r="I36" s="168"/>
      <c r="J36" s="169"/>
    </row>
    <row r="37" spans="7:10">
      <c r="G37" s="167"/>
      <c r="H37" s="168"/>
      <c r="I37" s="168"/>
      <c r="J37" s="169"/>
    </row>
    <row r="38" spans="7:10">
      <c r="G38" s="167"/>
      <c r="H38" s="168"/>
      <c r="I38" s="168"/>
      <c r="J38" s="169"/>
    </row>
    <row r="39" spans="7:10">
      <c r="G39" s="167"/>
      <c r="H39" s="168"/>
      <c r="I39" s="168"/>
      <c r="J39" s="169"/>
    </row>
    <row r="40" spans="7:10" ht="15.75" thickBot="1">
      <c r="G40" s="170"/>
      <c r="H40" s="171"/>
      <c r="I40" s="171"/>
      <c r="J40" s="172"/>
    </row>
  </sheetData>
  <mergeCells count="34">
    <mergeCell ref="B3:E3"/>
    <mergeCell ref="G3:J3"/>
    <mergeCell ref="L3:O3"/>
    <mergeCell ref="L8:S12"/>
    <mergeCell ref="L13:M13"/>
    <mergeCell ref="N13:O13"/>
    <mergeCell ref="P13:R13"/>
    <mergeCell ref="L14:M14"/>
    <mergeCell ref="N14:O14"/>
    <mergeCell ref="P14:R14"/>
    <mergeCell ref="L15:M15"/>
    <mergeCell ref="N15:O15"/>
    <mergeCell ref="P15:R15"/>
    <mergeCell ref="L16:M16"/>
    <mergeCell ref="N16:O16"/>
    <mergeCell ref="P16:R16"/>
    <mergeCell ref="L17:T17"/>
    <mergeCell ref="N18:O18"/>
    <mergeCell ref="R18:T18"/>
    <mergeCell ref="N19:O19"/>
    <mergeCell ref="R19:T19"/>
    <mergeCell ref="N20:O20"/>
    <mergeCell ref="R20:T20"/>
    <mergeCell ref="N21:O21"/>
    <mergeCell ref="N22:O22"/>
    <mergeCell ref="R22:S22"/>
    <mergeCell ref="N27:O27"/>
    <mergeCell ref="R27:S27"/>
    <mergeCell ref="L28:R29"/>
    <mergeCell ref="N23:O23"/>
    <mergeCell ref="N24:O24"/>
    <mergeCell ref="N25:O25"/>
    <mergeCell ref="N26:O26"/>
    <mergeCell ref="R26:S26"/>
  </mergeCells>
  <dataValidations count="5">
    <dataValidation type="decimal" errorStyle="information" allowBlank="1" showErrorMessage="1" errorTitle="Cantidad de pedido" error="No puede digitar decimales. _x000a_Inténtelo de nuevo!!!" prompt="_x000a_" sqref="R22:R27" xr:uid="{00000000-0002-0000-0700-000000000000}">
      <formula1>1</formula1>
      <formula2>10000000</formula2>
    </dataValidation>
    <dataValidation type="whole" errorStyle="information" allowBlank="1" showErrorMessage="1" errorTitle="Cantidad de pedido" prompt="_x000a_" sqref="P19 P22:P27" xr:uid="{00000000-0002-0000-0700-000001000000}">
      <formula1>1</formula1>
      <formula2>10000000</formula2>
    </dataValidation>
    <dataValidation type="custom" allowBlank="1" showInputMessage="1" showErrorMessage="1" error="CODIGO REPETIDO.INTENTELO DE NUEVO " prompt="no se  puede reperti el codigo" sqref="M27" xr:uid="{00000000-0002-0000-0700-000002000000}">
      <formula1>COUNTIF($B$5:$B$279,M27)=1</formula1>
    </dataValidation>
    <dataValidation errorStyle="information" allowBlank="1" showErrorMessage="1" errorTitle="Cantidad de pedido" error="No puede digitar decimales. _x000a_Inténtelo de nuevo!!!" prompt="_x000a_" sqref="S29" xr:uid="{00000000-0002-0000-0700-000003000000}"/>
    <dataValidation type="list" allowBlank="1" showInputMessage="1" showErrorMessage="1" sqref="T16" xr:uid="{00000000-0002-0000-0700-000004000000}">
      <formula1>"CONTADO, A 30 DIAS, A CONVENIR"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13"/>
  <sheetViews>
    <sheetView workbookViewId="0">
      <selection activeCell="F10" sqref="F10"/>
    </sheetView>
  </sheetViews>
  <sheetFormatPr baseColWidth="10" defaultColWidth="11.42578125" defaultRowHeight="15.75"/>
  <cols>
    <col min="1" max="1" width="14" style="119" bestFit="1" customWidth="1"/>
    <col min="2" max="2" width="11.42578125" style="119"/>
    <col min="3" max="3" width="23.7109375" style="119" customWidth="1"/>
    <col min="4" max="4" width="43.5703125" style="119" customWidth="1"/>
    <col min="5" max="5" width="0" style="119" hidden="1" customWidth="1"/>
    <col min="6" max="6" width="41.5703125" style="119" customWidth="1"/>
    <col min="7" max="16384" width="11.42578125" style="119"/>
  </cols>
  <sheetData>
    <row r="2" spans="1:6" ht="29.1" customHeight="1">
      <c r="A2" s="119" t="s">
        <v>221</v>
      </c>
      <c r="B2" s="114">
        <v>1</v>
      </c>
      <c r="C2" s="115" t="s">
        <v>152</v>
      </c>
      <c r="D2" s="116" t="s">
        <v>153</v>
      </c>
      <c r="E2" s="117">
        <f>[1]Invoice!$O$37</f>
        <v>6181</v>
      </c>
      <c r="F2" s="118">
        <v>255.61</v>
      </c>
    </row>
    <row r="3" spans="1:6" ht="29.1" customHeight="1">
      <c r="A3" s="119" t="s">
        <v>221</v>
      </c>
      <c r="B3" s="120">
        <v>2</v>
      </c>
      <c r="C3" s="115" t="s">
        <v>154</v>
      </c>
      <c r="D3" s="115" t="s">
        <v>155</v>
      </c>
      <c r="E3" s="121">
        <f>[1]Invoice!$O$38</f>
        <v>1118</v>
      </c>
      <c r="F3" s="118">
        <v>260.57</v>
      </c>
    </row>
    <row r="4" spans="1:6" ht="25.5">
      <c r="A4" s="119" t="s">
        <v>221</v>
      </c>
      <c r="B4" s="114">
        <v>3</v>
      </c>
      <c r="C4" s="115" t="s">
        <v>222</v>
      </c>
      <c r="D4" s="116" t="s">
        <v>223</v>
      </c>
      <c r="E4" s="117">
        <v>950</v>
      </c>
      <c r="F4" s="118">
        <v>298.3</v>
      </c>
    </row>
    <row r="5" spans="1:6" ht="29.1" customHeight="1">
      <c r="A5" s="119" t="s">
        <v>221</v>
      </c>
      <c r="B5" s="122">
        <v>3</v>
      </c>
      <c r="C5" s="115" t="s">
        <v>156</v>
      </c>
      <c r="D5" s="115" t="s">
        <v>157</v>
      </c>
      <c r="E5" s="121">
        <f>[1]Invoice!$O$40</f>
        <v>152</v>
      </c>
      <c r="F5" s="118">
        <v>365.16</v>
      </c>
    </row>
    <row r="6" spans="1:6" ht="29.1" customHeight="1">
      <c r="A6" s="119" t="s">
        <v>221</v>
      </c>
      <c r="B6" s="122">
        <v>4</v>
      </c>
      <c r="C6" s="115" t="s">
        <v>158</v>
      </c>
      <c r="D6" s="115" t="s">
        <v>159</v>
      </c>
      <c r="E6" s="121">
        <f>[1]Invoice!$O$41</f>
        <v>234</v>
      </c>
      <c r="F6" s="118">
        <v>431.55</v>
      </c>
    </row>
    <row r="7" spans="1:6" ht="29.1" customHeight="1">
      <c r="A7" s="119" t="s">
        <v>221</v>
      </c>
      <c r="B7" s="122">
        <v>5</v>
      </c>
      <c r="C7" s="115" t="s">
        <v>160</v>
      </c>
      <c r="D7" s="115" t="s">
        <v>161</v>
      </c>
      <c r="E7" s="121">
        <f>[1]Invoice!$O$42</f>
        <v>758</v>
      </c>
      <c r="F7" s="118">
        <v>464.75</v>
      </c>
    </row>
    <row r="8" spans="1:6" ht="29.1" customHeight="1">
      <c r="A8" s="119" t="s">
        <v>221</v>
      </c>
      <c r="B8" s="122">
        <v>6</v>
      </c>
      <c r="C8" s="115" t="s">
        <v>162</v>
      </c>
      <c r="D8" s="115" t="s">
        <v>163</v>
      </c>
      <c r="E8" s="121">
        <f>[1]Invoice!$O$43</f>
        <v>1271</v>
      </c>
      <c r="F8" s="118">
        <v>518.92999999999995</v>
      </c>
    </row>
    <row r="9" spans="1:6" ht="29.1" customHeight="1">
      <c r="A9" s="119" t="s">
        <v>224</v>
      </c>
      <c r="B9" s="122">
        <v>7</v>
      </c>
      <c r="C9" s="115" t="s">
        <v>164</v>
      </c>
      <c r="D9" s="115" t="s">
        <v>165</v>
      </c>
      <c r="E9" s="121">
        <f>[1]Invoice!$O$44</f>
        <v>312</v>
      </c>
      <c r="F9" s="118">
        <v>613.23</v>
      </c>
    </row>
    <row r="10" spans="1:6" ht="29.1" customHeight="1">
      <c r="A10" s="119" t="s">
        <v>224</v>
      </c>
      <c r="B10" s="122">
        <v>8</v>
      </c>
      <c r="C10" s="115" t="s">
        <v>166</v>
      </c>
      <c r="D10" s="115" t="s">
        <v>167</v>
      </c>
      <c r="E10" s="121">
        <f>[1]Invoice!$O$45</f>
        <v>1323</v>
      </c>
      <c r="F10" s="118">
        <v>613.23</v>
      </c>
    </row>
    <row r="11" spans="1:6" ht="29.1" customHeight="1">
      <c r="A11" s="119" t="s">
        <v>225</v>
      </c>
      <c r="B11" s="122">
        <v>9</v>
      </c>
      <c r="C11" s="115" t="s">
        <v>168</v>
      </c>
      <c r="D11" s="115" t="s">
        <v>169</v>
      </c>
      <c r="E11" s="121">
        <f>[1]Invoice!$O$46</f>
        <v>53</v>
      </c>
      <c r="F11" s="118">
        <v>365.16</v>
      </c>
    </row>
    <row r="12" spans="1:6" ht="29.1" customHeight="1">
      <c r="A12" s="119" t="s">
        <v>225</v>
      </c>
      <c r="B12" s="122">
        <v>10</v>
      </c>
      <c r="C12" s="115" t="s">
        <v>170</v>
      </c>
      <c r="D12" s="115" t="s">
        <v>171</v>
      </c>
      <c r="E12" s="121">
        <f>[1]Invoice!$O$47</f>
        <v>200</v>
      </c>
      <c r="F12" s="118">
        <v>518.92999999999995</v>
      </c>
    </row>
    <row r="13" spans="1:6" ht="29.1" customHeight="1">
      <c r="A13" s="119" t="s">
        <v>225</v>
      </c>
      <c r="B13" s="122">
        <v>11</v>
      </c>
      <c r="C13" s="115" t="s">
        <v>172</v>
      </c>
      <c r="D13" s="115" t="s">
        <v>173</v>
      </c>
      <c r="E13" s="121">
        <f>[1]Invoice!$O$48</f>
        <v>206</v>
      </c>
      <c r="F13" s="118">
        <v>610.51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Electrico</vt:lpstr>
      <vt:lpstr>Material</vt:lpstr>
      <vt:lpstr>concreto</vt:lpstr>
      <vt:lpstr>MAno de obra</vt:lpstr>
      <vt:lpstr>Internos</vt:lpstr>
      <vt:lpstr>ORGANIGRAMA</vt:lpstr>
      <vt:lpstr>PROCESO</vt:lpstr>
      <vt:lpstr>OFERTAS CONTRATISTAS</vt:lpstr>
      <vt:lpstr>PRECIOS DE LUMINARIAS</vt:lpstr>
      <vt:lpstr>MATERIALES</vt:lpstr>
      <vt:lpstr>COTIZACIONES DE EQUIPOS Y HERRA</vt:lpstr>
      <vt:lpstr>ANALISIS RECURSO HUMANO</vt:lpstr>
      <vt:lpstr>VIGILANCIA</vt:lpstr>
      <vt:lpstr>Electrico!Área_de_impresión</vt:lpstr>
      <vt:lpstr>PROCESO!Área_de_impresión</vt:lpstr>
      <vt:lpstr>Electrico!Títulos_a_imprimir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Shirly Marrugo Llorente</dc:creator>
  <cp:lastModifiedBy>Alvaro Navarro Corrales</cp:lastModifiedBy>
  <cp:lastPrinted>2022-04-12T16:53:29Z</cp:lastPrinted>
  <dcterms:created xsi:type="dcterms:W3CDTF">2016-06-24T14:59:08Z</dcterms:created>
  <dcterms:modified xsi:type="dcterms:W3CDTF">2022-04-12T16:57:43Z</dcterms:modified>
</cp:coreProperties>
</file>