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ackcaruso/Downloads/Job Stuff/GitHub Projects/NFL Power Ratings/"/>
    </mc:Choice>
  </mc:AlternateContent>
  <xr:revisionPtr revIDLastSave="0" documentId="13_ncr:1_{199B7ED3-B50A-CB41-8E3A-67BC5569165C}" xr6:coauthVersionLast="47" xr6:coauthVersionMax="47" xr10:uidLastSave="{00000000-0000-0000-0000-000000000000}"/>
  <bookViews>
    <workbookView xWindow="0" yWindow="500" windowWidth="28800" windowHeight="16460" firstSheet="5" activeTab="12" xr2:uid="{1BF7CDE4-8D2C-4240-98E9-4AE60C7B0B2E}"/>
  </bookViews>
  <sheets>
    <sheet name="Week 12 Power Rankings" sheetId="1" r:id="rId1"/>
    <sheet name="Week 13 Power Rankings" sheetId="6" r:id="rId2"/>
    <sheet name="Week 14 Power Rankings" sheetId="10" r:id="rId3"/>
    <sheet name="Week 15 Power Rankings" sheetId="12" r:id="rId4"/>
    <sheet name="Week 16 Power Rankings" sheetId="14" r:id="rId5"/>
    <sheet name="Teams Week to Week" sheetId="8" r:id="rId6"/>
    <sheet name="Vegas Power Rankings" sheetId="9" r:id="rId7"/>
    <sheet name="Preseason Power Ratings" sheetId="5" r:id="rId8"/>
    <sheet name="Week 12 Spreads" sheetId="2" r:id="rId9"/>
    <sheet name="Week 13 Spreads" sheetId="3" r:id="rId10"/>
    <sheet name="Week 14 Spreads" sheetId="7" r:id="rId11"/>
    <sheet name="Week 15 Spreads" sheetId="11" r:id="rId12"/>
    <sheet name="Week 16 Spreads" sheetId="13" r:id="rId13"/>
  </sheets>
  <definedNames>
    <definedName name="_xlnm._FilterDatabase" localSheetId="7" hidden="1">'Preseason Power Ratings'!$A$1:$C$1</definedName>
    <definedName name="_xlnm._FilterDatabase" localSheetId="5" hidden="1">'Teams Week to Week'!$A$1:$B$1</definedName>
    <definedName name="_xlnm._FilterDatabase" localSheetId="6" hidden="1">'Vegas Power Rankings'!$A$2:$C$34</definedName>
    <definedName name="_xlnm._FilterDatabase" localSheetId="0" hidden="1">'Week 12 Power Rankings'!$A$1:$I$1</definedName>
    <definedName name="_xlnm._FilterDatabase" localSheetId="1" hidden="1">'Week 13 Power Rankings'!$A$2:$J$34</definedName>
    <definedName name="_xlnm._FilterDatabase" localSheetId="2" hidden="1">'Week 14 Power Rankings'!$A$2:$J$34</definedName>
    <definedName name="_xlnm._FilterDatabase" localSheetId="3" hidden="1">'Week 15 Power Rankings'!$A$2:$J$34</definedName>
    <definedName name="_xlnm._FilterDatabase" localSheetId="4" hidden="1">'Week 16 Power Rankings'!$A$2:$J$2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4" l="1"/>
  <c r="C17" i="13"/>
  <c r="F17" i="13" s="1"/>
  <c r="C16" i="13"/>
  <c r="C15" i="13"/>
  <c r="F15" i="13" s="1"/>
  <c r="C14" i="13"/>
  <c r="F14" i="13" s="1"/>
  <c r="C13" i="13"/>
  <c r="F13" i="13" s="1"/>
  <c r="C12" i="13"/>
  <c r="C11" i="13"/>
  <c r="F11" i="13" s="1"/>
  <c r="C10" i="13"/>
  <c r="F10" i="13" s="1"/>
  <c r="C8" i="13"/>
  <c r="F8" i="13" s="1"/>
  <c r="C9" i="13"/>
  <c r="F9" i="13" s="1"/>
  <c r="C7" i="13"/>
  <c r="C6" i="13"/>
  <c r="F6" i="13" s="1"/>
  <c r="C5" i="13"/>
  <c r="F5" i="13" s="1"/>
  <c r="C4" i="13"/>
  <c r="F4" i="13" s="1"/>
  <c r="C3" i="13"/>
  <c r="F3" i="13" s="1"/>
  <c r="C2" i="13"/>
  <c r="F2" i="13" s="1"/>
  <c r="F7" i="13"/>
  <c r="N13" i="14"/>
  <c r="N12" i="14"/>
  <c r="A21" i="14"/>
  <c r="A4" i="14"/>
  <c r="A3" i="14"/>
  <c r="A34" i="14"/>
  <c r="A25" i="14"/>
  <c r="A9" i="14"/>
  <c r="A27" i="14"/>
  <c r="A30" i="14"/>
  <c r="A19" i="14"/>
  <c r="A6" i="14"/>
  <c r="A7" i="14"/>
  <c r="A16" i="14"/>
  <c r="A26" i="14"/>
  <c r="A28" i="14"/>
  <c r="A5" i="14"/>
  <c r="A11" i="14"/>
  <c r="A14" i="14"/>
  <c r="A32" i="14"/>
  <c r="A22" i="14"/>
  <c r="A15" i="14"/>
  <c r="A29" i="14"/>
  <c r="A24" i="14"/>
  <c r="A33" i="14"/>
  <c r="A23" i="14"/>
  <c r="A8" i="14"/>
  <c r="A18" i="14"/>
  <c r="A20" i="14"/>
  <c r="A17" i="14"/>
  <c r="A10" i="14"/>
  <c r="A31" i="14"/>
  <c r="A12" i="14"/>
  <c r="A13" i="14"/>
  <c r="F4" i="14"/>
  <c r="F5" i="14"/>
  <c r="F6" i="14"/>
  <c r="F8" i="14"/>
  <c r="F7" i="14"/>
  <c r="F9" i="14"/>
  <c r="F10" i="14"/>
  <c r="F11" i="14"/>
  <c r="F12" i="14"/>
  <c r="F13" i="14"/>
  <c r="F14" i="14"/>
  <c r="F15" i="14"/>
  <c r="F16" i="14"/>
  <c r="F17" i="14"/>
  <c r="F20" i="14"/>
  <c r="F18" i="14"/>
  <c r="F19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" i="14"/>
  <c r="C2" i="11"/>
  <c r="F12" i="13"/>
  <c r="F16" i="13"/>
  <c r="L6" i="13"/>
  <c r="C6" i="11"/>
  <c r="D23" i="12"/>
  <c r="C16" i="11"/>
  <c r="F16" i="11" s="1"/>
  <c r="C14" i="11"/>
  <c r="F14" i="11" s="1"/>
  <c r="D25" i="12"/>
  <c r="J7" i="9"/>
  <c r="N13" i="12"/>
  <c r="N12" i="12"/>
  <c r="B32" i="8"/>
  <c r="B3" i="8"/>
  <c r="B31" i="8"/>
  <c r="B25" i="8"/>
  <c r="B26" i="8"/>
  <c r="B5" i="8"/>
  <c r="B9" i="8"/>
  <c r="B4" i="8"/>
  <c r="B14" i="8"/>
  <c r="B20" i="8"/>
  <c r="B7" i="8"/>
  <c r="B18" i="8"/>
  <c r="B13" i="8"/>
  <c r="B33" i="8"/>
  <c r="B2" i="8"/>
  <c r="B12" i="8"/>
  <c r="B22" i="8"/>
  <c r="B17" i="8"/>
  <c r="B27" i="8"/>
  <c r="B10" i="8"/>
  <c r="B24" i="8"/>
  <c r="B11" i="8"/>
  <c r="B21" i="8"/>
  <c r="B28" i="8"/>
  <c r="B8" i="8"/>
  <c r="B29" i="8"/>
  <c r="B15" i="8"/>
  <c r="B19" i="8"/>
  <c r="B30" i="8"/>
  <c r="B6" i="8"/>
  <c r="B23" i="8"/>
  <c r="B16" i="8"/>
  <c r="C13" i="11"/>
  <c r="F13" i="11" s="1"/>
  <c r="C12" i="11"/>
  <c r="F12" i="11" s="1"/>
  <c r="C11" i="11"/>
  <c r="F11" i="11" s="1"/>
  <c r="C9" i="11"/>
  <c r="F9" i="11" s="1"/>
  <c r="C7" i="11"/>
  <c r="F7" i="11" s="1"/>
  <c r="F6" i="11"/>
  <c r="C5" i="11"/>
  <c r="F5" i="11" s="1"/>
  <c r="C4" i="11"/>
  <c r="F4" i="11" s="1"/>
  <c r="C8" i="11"/>
  <c r="F8" i="11" s="1"/>
  <c r="C10" i="11"/>
  <c r="F10" i="11" s="1"/>
  <c r="C15" i="11"/>
  <c r="F15" i="11" s="1"/>
  <c r="C17" i="11"/>
  <c r="F17" i="11" s="1"/>
  <c r="C3" i="11"/>
  <c r="F3" i="11" s="1"/>
  <c r="F2" i="11"/>
  <c r="D22" i="12"/>
  <c r="L2" i="12"/>
  <c r="A5" i="12"/>
  <c r="A18" i="12"/>
  <c r="A13" i="12"/>
  <c r="A14" i="12"/>
  <c r="A9" i="12"/>
  <c r="A28" i="12"/>
  <c r="A19" i="12"/>
  <c r="A20" i="12"/>
  <c r="A3" i="12"/>
  <c r="A34" i="12"/>
  <c r="A32" i="12"/>
  <c r="A15" i="12"/>
  <c r="A23" i="12"/>
  <c r="A31" i="12"/>
  <c r="A29" i="12"/>
  <c r="A30" i="12"/>
  <c r="A12" i="12"/>
  <c r="A4" i="12"/>
  <c r="A22" i="12"/>
  <c r="A27" i="12"/>
  <c r="A25" i="12"/>
  <c r="A16" i="12"/>
  <c r="A8" i="12"/>
  <c r="A10" i="12"/>
  <c r="A17" i="12"/>
  <c r="A24" i="12"/>
  <c r="A11" i="12"/>
  <c r="A33" i="12"/>
  <c r="A26" i="12"/>
  <c r="A21" i="12"/>
  <c r="A7" i="12"/>
  <c r="A6" i="12"/>
  <c r="F5" i="12"/>
  <c r="F18" i="12"/>
  <c r="F13" i="12"/>
  <c r="F14" i="12"/>
  <c r="F9" i="12"/>
  <c r="F28" i="12"/>
  <c r="F19" i="12"/>
  <c r="F20" i="12"/>
  <c r="F3" i="12"/>
  <c r="F34" i="12"/>
  <c r="F32" i="12"/>
  <c r="F15" i="12"/>
  <c r="F23" i="12"/>
  <c r="F31" i="12"/>
  <c r="F29" i="12"/>
  <c r="F30" i="12"/>
  <c r="F12" i="12"/>
  <c r="F4" i="12"/>
  <c r="F22" i="12"/>
  <c r="F27" i="12"/>
  <c r="F25" i="12"/>
  <c r="F16" i="12"/>
  <c r="F8" i="12"/>
  <c r="F10" i="12"/>
  <c r="F17" i="12"/>
  <c r="F24" i="12"/>
  <c r="F11" i="12"/>
  <c r="F33" i="12"/>
  <c r="F26" i="12"/>
  <c r="F21" i="12"/>
  <c r="F7" i="12"/>
  <c r="F6" i="12"/>
  <c r="L6" i="7"/>
  <c r="L6" i="11"/>
  <c r="C3" i="7"/>
  <c r="L2" i="10"/>
  <c r="N12" i="10"/>
  <c r="C4" i="7"/>
  <c r="F4" i="7" s="1"/>
  <c r="C2" i="7"/>
  <c r="F2" i="7" s="1"/>
  <c r="D16" i="10"/>
  <c r="C14" i="7"/>
  <c r="F14" i="7" s="1"/>
  <c r="C13" i="7"/>
  <c r="F13" i="7" s="1"/>
  <c r="C11" i="7"/>
  <c r="F11" i="7" s="1"/>
  <c r="C10" i="7"/>
  <c r="F10" i="7" s="1"/>
  <c r="C9" i="7"/>
  <c r="F9" i="7" s="1"/>
  <c r="C7" i="7"/>
  <c r="C5" i="7"/>
  <c r="F5" i="7" s="1"/>
  <c r="C6" i="7"/>
  <c r="F6" i="7" s="1"/>
  <c r="C8" i="7"/>
  <c r="F8" i="7" s="1"/>
  <c r="C12" i="7"/>
  <c r="N13" i="10"/>
  <c r="F3" i="10"/>
  <c r="F5" i="10"/>
  <c r="F6" i="10"/>
  <c r="F7" i="10"/>
  <c r="F8" i="10"/>
  <c r="F9" i="10"/>
  <c r="F10" i="10"/>
  <c r="F11" i="10"/>
  <c r="F12" i="10"/>
  <c r="F13" i="10"/>
  <c r="F14" i="10"/>
  <c r="F15" i="10"/>
  <c r="F19" i="10"/>
  <c r="F17" i="10"/>
  <c r="F18" i="10"/>
  <c r="F21" i="10"/>
  <c r="F20" i="10"/>
  <c r="F22" i="10"/>
  <c r="F23" i="10"/>
  <c r="F16" i="10"/>
  <c r="F24" i="10"/>
  <c r="F25" i="10"/>
  <c r="F26" i="10"/>
  <c r="F27" i="10"/>
  <c r="F29" i="10"/>
  <c r="F30" i="10"/>
  <c r="F28" i="10"/>
  <c r="F31" i="10"/>
  <c r="F32" i="10"/>
  <c r="F33" i="10"/>
  <c r="F34" i="10"/>
  <c r="F4" i="10"/>
  <c r="A3" i="10"/>
  <c r="A5" i="10"/>
  <c r="A6" i="10"/>
  <c r="A7" i="10"/>
  <c r="A8" i="10"/>
  <c r="A9" i="10"/>
  <c r="A10" i="10"/>
  <c r="A11" i="10"/>
  <c r="A12" i="10"/>
  <c r="A13" i="10"/>
  <c r="A14" i="10"/>
  <c r="A15" i="10"/>
  <c r="A19" i="10"/>
  <c r="A17" i="10"/>
  <c r="A18" i="10"/>
  <c r="A21" i="10"/>
  <c r="A20" i="10"/>
  <c r="A22" i="10"/>
  <c r="A23" i="10"/>
  <c r="A16" i="10"/>
  <c r="A24" i="10"/>
  <c r="A25" i="10"/>
  <c r="A26" i="10"/>
  <c r="A27" i="10"/>
  <c r="A29" i="10"/>
  <c r="A30" i="10"/>
  <c r="A28" i="10"/>
  <c r="A31" i="10"/>
  <c r="A32" i="10"/>
  <c r="A33" i="10"/>
  <c r="A34" i="10"/>
  <c r="A4" i="10"/>
  <c r="C14" i="3"/>
  <c r="D28" i="6"/>
  <c r="D26" i="6"/>
  <c r="L2" i="6"/>
  <c r="N13" i="6"/>
  <c r="N12" i="6"/>
  <c r="G6" i="9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  <c r="A4" i="9"/>
  <c r="A5" i="9"/>
  <c r="A6" i="9"/>
  <c r="A7" i="9"/>
  <c r="A8" i="9"/>
  <c r="A9" i="9"/>
  <c r="A10" i="9"/>
  <c r="A11" i="9"/>
  <c r="A14" i="9"/>
  <c r="A12" i="9"/>
  <c r="A20" i="9"/>
  <c r="A13" i="9"/>
  <c r="A15" i="9"/>
  <c r="A17" i="9"/>
  <c r="A16" i="9"/>
  <c r="A18" i="9"/>
  <c r="A19" i="9"/>
  <c r="A21" i="9"/>
  <c r="A22" i="9"/>
  <c r="A23" i="9"/>
  <c r="A24" i="9"/>
  <c r="A25" i="9"/>
  <c r="A29" i="9"/>
  <c r="A26" i="9"/>
  <c r="A27" i="9"/>
  <c r="A30" i="9"/>
  <c r="A28" i="9"/>
  <c r="A31" i="9"/>
  <c r="A32" i="9"/>
  <c r="A34" i="9"/>
  <c r="A33" i="9"/>
  <c r="A3" i="9"/>
  <c r="G7" i="9"/>
  <c r="G11" i="9"/>
  <c r="G8" i="9"/>
  <c r="G18" i="9"/>
  <c r="G13" i="9"/>
  <c r="G14" i="9"/>
  <c r="G3" i="9"/>
  <c r="G17" i="9"/>
  <c r="G30" i="9"/>
  <c r="G9" i="9"/>
  <c r="G12" i="9"/>
  <c r="G23" i="9"/>
  <c r="G5" i="9"/>
  <c r="G10" i="9"/>
  <c r="G16" i="9"/>
  <c r="G20" i="9"/>
  <c r="G15" i="9"/>
  <c r="G27" i="9"/>
  <c r="G21" i="9"/>
  <c r="G25" i="9"/>
  <c r="G22" i="9"/>
  <c r="G31" i="9"/>
  <c r="G19" i="9"/>
  <c r="G33" i="9"/>
  <c r="G34" i="9"/>
  <c r="G26" i="9"/>
  <c r="G24" i="9"/>
  <c r="G29" i="9"/>
  <c r="G32" i="9"/>
  <c r="G28" i="9"/>
  <c r="G4" i="9"/>
  <c r="K5" i="3"/>
  <c r="C6" i="2"/>
  <c r="C8" i="2"/>
  <c r="C13" i="2"/>
  <c r="C2" i="2"/>
  <c r="C11" i="2"/>
  <c r="F11" i="2" s="1"/>
  <c r="F2" i="2"/>
  <c r="C7" i="2"/>
  <c r="F7" i="2" s="1"/>
  <c r="C12" i="2"/>
  <c r="F12" i="2" s="1"/>
  <c r="C4" i="2"/>
  <c r="F4" i="2" s="1"/>
  <c r="C14" i="2"/>
  <c r="F14" i="2" s="1"/>
  <c r="F13" i="2"/>
  <c r="C10" i="2"/>
  <c r="F10" i="2" s="1"/>
  <c r="F8" i="2"/>
  <c r="F6" i="2"/>
  <c r="C5" i="2"/>
  <c r="F5" i="2" s="1"/>
  <c r="C3" i="2"/>
  <c r="F3" i="2" s="1"/>
  <c r="C9" i="2"/>
  <c r="C2" i="3"/>
  <c r="F2" i="3" s="1"/>
  <c r="C17" i="1"/>
  <c r="D16" i="6"/>
  <c r="C4" i="3" s="1"/>
  <c r="F4" i="3" s="1"/>
  <c r="D18" i="6"/>
  <c r="C16" i="3" s="1"/>
  <c r="F16" i="3" s="1"/>
  <c r="C3" i="3"/>
  <c r="F3" i="3" s="1"/>
  <c r="C8" i="3"/>
  <c r="F8" i="3" s="1"/>
  <c r="F14" i="3"/>
  <c r="C17" i="3"/>
  <c r="F17" i="3" s="1"/>
  <c r="C10" i="3"/>
  <c r="F10" i="3" s="1"/>
  <c r="F7" i="7"/>
  <c r="C13" i="3"/>
  <c r="F13" i="3" s="1"/>
  <c r="C5" i="3"/>
  <c r="F5" i="3" s="1"/>
  <c r="F4" i="6"/>
  <c r="F5" i="6"/>
  <c r="F6" i="6"/>
  <c r="F7" i="6"/>
  <c r="F8" i="6"/>
  <c r="F9" i="6"/>
  <c r="F10" i="6"/>
  <c r="F11" i="6"/>
  <c r="F12" i="6"/>
  <c r="F13" i="6"/>
  <c r="F14" i="6"/>
  <c r="F15" i="6"/>
  <c r="F17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" i="6"/>
  <c r="C15" i="3"/>
  <c r="F15" i="3" s="1"/>
  <c r="C9" i="3"/>
  <c r="F9" i="3" s="1"/>
  <c r="C6" i="3"/>
  <c r="F6" i="3" s="1"/>
  <c r="C7" i="3"/>
  <c r="F7" i="3" s="1"/>
  <c r="C11" i="3"/>
  <c r="F11" i="3" s="1"/>
  <c r="C12" i="3"/>
  <c r="F12" i="3" s="1"/>
  <c r="K6" i="2"/>
  <c r="F9" i="2"/>
  <c r="F18" i="6" l="1"/>
  <c r="F12" i="7"/>
  <c r="F3" i="7"/>
  <c r="A10" i="6"/>
  <c r="A26" i="6"/>
  <c r="A6" i="6"/>
  <c r="A34" i="6"/>
  <c r="A22" i="6"/>
  <c r="A18" i="6"/>
  <c r="A7" i="6"/>
  <c r="A30" i="6"/>
  <c r="A14" i="6"/>
  <c r="A3" i="6"/>
  <c r="A33" i="6"/>
  <c r="A29" i="6"/>
  <c r="A25" i="6"/>
  <c r="A21" i="6"/>
  <c r="A17" i="6"/>
  <c r="A13" i="6"/>
  <c r="A9" i="6"/>
  <c r="A5" i="6"/>
  <c r="A32" i="6"/>
  <c r="A28" i="6"/>
  <c r="A24" i="6"/>
  <c r="A20" i="6"/>
  <c r="A16" i="6"/>
  <c r="A12" i="6"/>
  <c r="A8" i="6"/>
  <c r="A4" i="6"/>
  <c r="A31" i="6"/>
  <c r="A27" i="6"/>
  <c r="A23" i="6"/>
  <c r="A19" i="6"/>
  <c r="A15" i="6"/>
  <c r="A11" i="6"/>
  <c r="E4" i="9"/>
  <c r="E19" i="9"/>
  <c r="E21" i="9"/>
  <c r="E6" i="9"/>
  <c r="E23" i="9"/>
  <c r="E18" i="9"/>
  <c r="E31" i="9"/>
  <c r="E27" i="9"/>
  <c r="E16" i="9"/>
  <c r="E12" i="9"/>
  <c r="E3" i="9"/>
  <c r="E8" i="9"/>
  <c r="E28" i="9"/>
  <c r="E32" i="9"/>
  <c r="E34" i="9"/>
  <c r="E22" i="9"/>
  <c r="E15" i="9"/>
  <c r="E10" i="9"/>
  <c r="E29" i="9"/>
  <c r="E14" i="9"/>
  <c r="E11" i="9"/>
  <c r="E26" i="9"/>
  <c r="E33" i="9"/>
  <c r="E25" i="9"/>
  <c r="E20" i="9"/>
  <c r="E5" i="9"/>
  <c r="E30" i="9"/>
  <c r="E7" i="9"/>
  <c r="E24" i="9"/>
  <c r="E9" i="9"/>
  <c r="E13" i="9"/>
  <c r="E17" i="9"/>
  <c r="F16" i="6"/>
</calcChain>
</file>

<file path=xl/sharedStrings.xml><?xml version="1.0" encoding="utf-8"?>
<sst xmlns="http://schemas.openxmlformats.org/spreadsheetml/2006/main" count="857" uniqueCount="148">
  <si>
    <t>KC</t>
  </si>
  <si>
    <t>BAL</t>
  </si>
  <si>
    <t>BUF</t>
  </si>
  <si>
    <t>DET</t>
  </si>
  <si>
    <t>ARI</t>
  </si>
  <si>
    <t>CIN</t>
  </si>
  <si>
    <t>LAC</t>
  </si>
  <si>
    <t>GB</t>
  </si>
  <si>
    <t>WAS</t>
  </si>
  <si>
    <t>TB</t>
  </si>
  <si>
    <t>HOU</t>
  </si>
  <si>
    <t>LA</t>
  </si>
  <si>
    <t>PHI</t>
  </si>
  <si>
    <t>SF</t>
  </si>
  <si>
    <t>MIN</t>
  </si>
  <si>
    <t>SEA</t>
  </si>
  <si>
    <t>PIT</t>
  </si>
  <si>
    <t>DEN</t>
  </si>
  <si>
    <t>NYJ</t>
  </si>
  <si>
    <t>ATL</t>
  </si>
  <si>
    <t>MIA</t>
  </si>
  <si>
    <t>NO</t>
  </si>
  <si>
    <t>IND</t>
  </si>
  <si>
    <t>CHI</t>
  </si>
  <si>
    <t>NE</t>
  </si>
  <si>
    <t>JAX</t>
  </si>
  <si>
    <t>CLE</t>
  </si>
  <si>
    <t>TEN</t>
  </si>
  <si>
    <t>NYG</t>
  </si>
  <si>
    <t>DAL</t>
  </si>
  <si>
    <t>LV</t>
  </si>
  <si>
    <t>CAR</t>
  </si>
  <si>
    <t>Away Team</t>
  </si>
  <si>
    <t>Home Team</t>
  </si>
  <si>
    <t>Spread</t>
  </si>
  <si>
    <t>Notes</t>
  </si>
  <si>
    <t>Difference</t>
  </si>
  <si>
    <t>Bet?</t>
  </si>
  <si>
    <t>(Added 2.5 cuz Purdy Injury)</t>
  </si>
  <si>
    <t>Team</t>
  </si>
  <si>
    <t>Ranking</t>
  </si>
  <si>
    <t>Power Rating</t>
  </si>
  <si>
    <t>QB Value</t>
  </si>
  <si>
    <t>AVG Points Scored</t>
  </si>
  <si>
    <t>Offense Success Rate</t>
  </si>
  <si>
    <t>Offense EPA</t>
  </si>
  <si>
    <t>Defense Success Rate</t>
  </si>
  <si>
    <t>Defense EPA</t>
  </si>
  <si>
    <t>Vegas Spread (ESPN)</t>
  </si>
  <si>
    <t>Cover Spread?</t>
  </si>
  <si>
    <t>Tiers</t>
  </si>
  <si>
    <t>&gt;= 9 Elite</t>
  </si>
  <si>
    <t>&gt;= 5 Good</t>
  </si>
  <si>
    <t>&gt;= 2 Meh</t>
  </si>
  <si>
    <t>&gt; 0 Below Average</t>
  </si>
  <si>
    <t>&lt; 0 Bad</t>
  </si>
  <si>
    <t>Cover %</t>
  </si>
  <si>
    <t>Yes</t>
  </si>
  <si>
    <t>No</t>
  </si>
  <si>
    <t>Change by Week</t>
  </si>
  <si>
    <t>Vegas Spread (Consensus)</t>
  </si>
  <si>
    <t>Power Rating w/o QB Rating</t>
  </si>
  <si>
    <t>Conference</t>
  </si>
  <si>
    <t>AFC</t>
  </si>
  <si>
    <t>NFC</t>
  </si>
  <si>
    <t>(took out .5 cuz division game)</t>
  </si>
  <si>
    <t>Yes (Below -6.5)</t>
  </si>
  <si>
    <t>Yes (Below -3.5)</t>
  </si>
  <si>
    <t>Yes (Above -2.5)</t>
  </si>
  <si>
    <t>(Cross Country)</t>
  </si>
  <si>
    <t>(Dallas Rest Adv)</t>
  </si>
  <si>
    <t>(Miami Rest Adv)</t>
  </si>
  <si>
    <t>(PHI rest Adv)</t>
  </si>
  <si>
    <t>(CLE Rest Adv)</t>
  </si>
  <si>
    <t>(NO Rest Adv)</t>
  </si>
  <si>
    <t>(JAX Rest Adv)</t>
  </si>
  <si>
    <t>(DeVito injury might help Giants?, took out .5 cuz division game)</t>
  </si>
  <si>
    <t>(ATL rest Adv, put in .25)</t>
  </si>
  <si>
    <t>(CAR Rest Adv)</t>
  </si>
  <si>
    <t>(TEN rest adv, division game)</t>
  </si>
  <si>
    <t>(WAS Rest Adv)</t>
  </si>
  <si>
    <t>(took out .5 cuz division game, LV QB Unknown)</t>
  </si>
  <si>
    <t>(Division Game)</t>
  </si>
  <si>
    <t>(Weather adv)</t>
  </si>
  <si>
    <t>(Wait for Rodgers News, rn factoring Rodgers out)</t>
  </si>
  <si>
    <t>(Wait for Purdy News, rn factoring Purdy in, BUF Rest Adv)</t>
  </si>
  <si>
    <t> DET</t>
  </si>
  <si>
    <t> BUF</t>
  </si>
  <si>
    <t> BAL</t>
  </si>
  <si>
    <t> GB</t>
  </si>
  <si>
    <t> KC</t>
  </si>
  <si>
    <t> PHI</t>
  </si>
  <si>
    <t> HOU</t>
  </si>
  <si>
    <t> MIN</t>
  </si>
  <si>
    <t> MIA</t>
  </si>
  <si>
    <t> SF</t>
  </si>
  <si>
    <t> LAC</t>
  </si>
  <si>
    <t> SEA</t>
  </si>
  <si>
    <t> CIN</t>
  </si>
  <si>
    <t> WAS</t>
  </si>
  <si>
    <t> ARZ</t>
  </si>
  <si>
    <t> PIT</t>
  </si>
  <si>
    <t> DEN</t>
  </si>
  <si>
    <t> LA</t>
  </si>
  <si>
    <t> TB</t>
  </si>
  <si>
    <t> NYJ</t>
  </si>
  <si>
    <t> ATL</t>
  </si>
  <si>
    <t> CHI</t>
  </si>
  <si>
    <t> IND</t>
  </si>
  <si>
    <t> JAC</t>
  </si>
  <si>
    <t> TEN</t>
  </si>
  <si>
    <t> CLE</t>
  </si>
  <si>
    <t> DAL</t>
  </si>
  <si>
    <t> NO</t>
  </si>
  <si>
    <t> NE</t>
  </si>
  <si>
    <t> LV</t>
  </si>
  <si>
    <t> NYG</t>
  </si>
  <si>
    <t> CAR</t>
  </si>
  <si>
    <t>Rating</t>
  </si>
  <si>
    <t>Source-</t>
  </si>
  <si>
    <t>Change Since Preseason</t>
  </si>
  <si>
    <t>Rating Change</t>
  </si>
  <si>
    <t>Current Vegas Rankings</t>
  </si>
  <si>
    <t>2024 NFL Power Rankings</t>
  </si>
  <si>
    <t>HF is 1.5</t>
  </si>
  <si>
    <t>Add .25 for rest and .5 for division rival</t>
  </si>
  <si>
    <t>&gt;= 2 Average</t>
  </si>
  <si>
    <t xml:space="preserve"> GB</t>
  </si>
  <si>
    <t>AFC AVG</t>
  </si>
  <si>
    <t>NFC AVG</t>
  </si>
  <si>
    <t>Away</t>
  </si>
  <si>
    <t>Home</t>
  </si>
  <si>
    <t>(BAL off Bye)</t>
  </si>
  <si>
    <t>(DET rest Adv)</t>
  </si>
  <si>
    <t>(HOU off Bye)</t>
  </si>
  <si>
    <t>Sadly Yes</t>
  </si>
  <si>
    <t>Yes (Gross)</t>
  </si>
  <si>
    <t>Yes?  Hope for under 7</t>
  </si>
  <si>
    <t>(CHI Rest Adv)</t>
  </si>
  <si>
    <t>(IND off Bye)</t>
  </si>
  <si>
    <t>(WAS off Bye, will adjust to Carr injury)</t>
  </si>
  <si>
    <t>https://stats.inpredictable.com/rankings/nfl.php  (Updates Every Wednesday)</t>
  </si>
  <si>
    <t>Yes (I'd bet ML)</t>
  </si>
  <si>
    <t>(TEN  rest Adv)</t>
  </si>
  <si>
    <t>Yes (MEGA Gross)</t>
  </si>
  <si>
    <t>(Maybe)</t>
  </si>
  <si>
    <t>(NYG Rest Adv)</t>
  </si>
  <si>
    <t>Yes(If gets to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</si>
</sst>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Display"/>
      <scheme val="major"/>
    </font>
    <font>
      <sz val="12"/>
      <color theme="1"/>
      <name val="Aptos Display"/>
      <scheme val="major"/>
    </font>
    <font>
      <sz val="12"/>
      <color rgb="FF000000"/>
      <name val="Aptos Narrow"/>
      <scheme val="minor"/>
    </font>
    <font>
      <b/>
      <sz val="16"/>
      <color theme="1"/>
      <name val="Aptos Display"/>
      <scheme val="major"/>
    </font>
    <font>
      <b/>
      <sz val="18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80A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8">
    <xf numFmtId="0" fontId="0" fillId="0" borderId="0" xfId="0"/>
    <xf numFmtId="164" fontId="0" fillId="0" borderId="0" xfId="0" applyNumberFormat="1"/>
    <xf numFmtId="0" fontId="18" fillId="0" borderId="0" xfId="0" applyFont="1"/>
    <xf numFmtId="0" fontId="18" fillId="0" borderId="10" xfId="0" applyFont="1" applyBorder="1"/>
    <xf numFmtId="0" fontId="18" fillId="33" borderId="10" xfId="0" applyFont="1" applyFill="1" applyBorder="1"/>
    <xf numFmtId="0" fontId="0" fillId="33" borderId="10" xfId="0" applyFill="1" applyBorder="1"/>
    <xf numFmtId="164" fontId="0" fillId="33" borderId="10" xfId="0" applyNumberFormat="1" applyFill="1" applyBorder="1"/>
    <xf numFmtId="2" fontId="0" fillId="33" borderId="10" xfId="0" applyNumberFormat="1" applyFill="1" applyBorder="1"/>
    <xf numFmtId="0" fontId="18" fillId="34" borderId="10" xfId="0" applyFont="1" applyFill="1" applyBorder="1"/>
    <xf numFmtId="0" fontId="0" fillId="34" borderId="10" xfId="0" applyFill="1" applyBorder="1"/>
    <xf numFmtId="164" fontId="0" fillId="34" borderId="10" xfId="0" applyNumberFormat="1" applyFill="1" applyBorder="1"/>
    <xf numFmtId="2" fontId="0" fillId="34" borderId="10" xfId="0" applyNumberFormat="1" applyFill="1" applyBorder="1"/>
    <xf numFmtId="0" fontId="18" fillId="35" borderId="10" xfId="0" applyFont="1" applyFill="1" applyBorder="1"/>
    <xf numFmtId="0" fontId="0" fillId="35" borderId="10" xfId="0" applyFill="1" applyBorder="1"/>
    <xf numFmtId="164" fontId="0" fillId="35" borderId="10" xfId="0" applyNumberFormat="1" applyFill="1" applyBorder="1"/>
    <xf numFmtId="2" fontId="0" fillId="35" borderId="10" xfId="0" applyNumberFormat="1" applyFill="1" applyBorder="1"/>
    <xf numFmtId="0" fontId="18" fillId="36" borderId="10" xfId="0" applyFont="1" applyFill="1" applyBorder="1"/>
    <xf numFmtId="0" fontId="0" fillId="36" borderId="10" xfId="0" applyFill="1" applyBorder="1"/>
    <xf numFmtId="164" fontId="0" fillId="36" borderId="10" xfId="0" applyNumberFormat="1" applyFill="1" applyBorder="1"/>
    <xf numFmtId="2" fontId="0" fillId="36" borderId="10" xfId="0" applyNumberFormat="1" applyFill="1" applyBorder="1"/>
    <xf numFmtId="0" fontId="0" fillId="37" borderId="10" xfId="0" applyFill="1" applyBorder="1"/>
    <xf numFmtId="164" fontId="0" fillId="37" borderId="10" xfId="0" applyNumberFormat="1" applyFill="1" applyBorder="1"/>
    <xf numFmtId="2" fontId="0" fillId="37" borderId="10" xfId="0" applyNumberFormat="1" applyFill="1" applyBorder="1"/>
    <xf numFmtId="0" fontId="19" fillId="0" borderId="0" xfId="42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18" fillId="38" borderId="10" xfId="0" applyFont="1" applyFill="1" applyBorder="1"/>
    <xf numFmtId="0" fontId="0" fillId="38" borderId="10" xfId="0" applyFill="1" applyBorder="1"/>
    <xf numFmtId="164" fontId="0" fillId="38" borderId="10" xfId="0" applyNumberFormat="1" applyFill="1" applyBorder="1"/>
    <xf numFmtId="2" fontId="0" fillId="38" borderId="10" xfId="0" applyNumberFormat="1" applyFill="1" applyBorder="1"/>
    <xf numFmtId="0" fontId="20" fillId="36" borderId="10" xfId="0" applyFont="1" applyFill="1" applyBorder="1"/>
    <xf numFmtId="0" fontId="20" fillId="33" borderId="10" xfId="0" applyFont="1" applyFill="1" applyBorder="1"/>
    <xf numFmtId="0" fontId="20" fillId="34" borderId="10" xfId="0" applyFont="1" applyFill="1" applyBorder="1"/>
    <xf numFmtId="0" fontId="20" fillId="35" borderId="10" xfId="0" applyFont="1" applyFill="1" applyBorder="1"/>
    <xf numFmtId="0" fontId="20" fillId="38" borderId="10" xfId="0" applyFont="1" applyFill="1" applyBorder="1"/>
    <xf numFmtId="0" fontId="21" fillId="0" borderId="0" xfId="0" applyFont="1"/>
    <xf numFmtId="0" fontId="22" fillId="0" borderId="0" xfId="0" applyFont="1"/>
    <xf numFmtId="0" fontId="20" fillId="0" borderId="0" xfId="0" applyFont="1"/>
    <xf numFmtId="0" fontId="21" fillId="0" borderId="10" xfId="0" applyFont="1" applyBorder="1"/>
    <xf numFmtId="0" fontId="23" fillId="0" borderId="10" xfId="0" applyFont="1" applyBorder="1"/>
    <xf numFmtId="0" fontId="20" fillId="0" borderId="10" xfId="0" applyFont="1" applyBorder="1"/>
    <xf numFmtId="0" fontId="18" fillId="0" borderId="10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shrinkToFit="1"/>
    </xf>
    <xf numFmtId="164" fontId="0" fillId="36" borderId="0" xfId="0" applyNumberFormat="1" applyFill="1"/>
    <xf numFmtId="164" fontId="0" fillId="33" borderId="0" xfId="0" applyNumberFormat="1" applyFill="1"/>
    <xf numFmtId="164" fontId="18" fillId="0" borderId="0" xfId="0" applyNumberFormat="1" applyFont="1"/>
    <xf numFmtId="164" fontId="0" fillId="34" borderId="0" xfId="0" applyNumberFormat="1" applyFill="1"/>
    <xf numFmtId="164" fontId="0" fillId="38" borderId="0" xfId="0" applyNumberFormat="1" applyFill="1"/>
    <xf numFmtId="0" fontId="26" fillId="0" borderId="0" xfId="0" applyFont="1"/>
    <xf numFmtId="0" fontId="25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164" fontId="0" fillId="36" borderId="0" xfId="0" applyNumberFormat="1" applyFill="1" applyBorder="1"/>
    <xf numFmtId="164" fontId="0" fillId="35" borderId="0" xfId="0" applyNumberFormat="1" applyFill="1" applyBorder="1"/>
    <xf numFmtId="164" fontId="0" fillId="34" borderId="0" xfId="0" applyNumberFormat="1" applyFill="1" applyBorder="1"/>
    <xf numFmtId="164" fontId="0" fillId="33" borderId="0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2080A"/>
      <color rgb="FFFF080A"/>
      <color rgb="FFFF2F92"/>
      <color rgb="FFFF4A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.inpredictable.com/rankings/nfl.php%20%20(Updates%20Every%20Wednesday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52DC-6729-C544-B125-6E3E3C4622E8}">
  <dimension ref="A1:K36"/>
  <sheetViews>
    <sheetView workbookViewId="0">
      <selection activeCell="D36" sqref="C35:D36"/>
    </sheetView>
  </sheetViews>
  <sheetFormatPr baseColWidth="10" defaultRowHeight="16" x14ac:dyDescent="0.2"/>
  <cols>
    <col min="1" max="1" width="10.33203125" style="2" bestFit="1" customWidth="1"/>
    <col min="2" max="2" width="8.1640625" bestFit="1" customWidth="1"/>
    <col min="3" max="3" width="14.5" bestFit="1" customWidth="1"/>
    <col min="4" max="4" width="11.1640625" bestFit="1" customWidth="1"/>
    <col min="5" max="5" width="19.1640625" bestFit="1" customWidth="1"/>
    <col min="6" max="6" width="22" bestFit="1" customWidth="1"/>
    <col min="7" max="7" width="14" bestFit="1" customWidth="1"/>
    <col min="8" max="8" width="22.33203125" bestFit="1" customWidth="1"/>
    <col min="9" max="9" width="14.33203125" bestFit="1" customWidth="1"/>
    <col min="10" max="10" width="14.6640625" customWidth="1"/>
    <col min="11" max="11" width="15.5" bestFit="1" customWidth="1"/>
  </cols>
  <sheetData>
    <row r="1" spans="1:11" s="2" customFormat="1" x14ac:dyDescent="0.2">
      <c r="A1" s="3" t="s">
        <v>40</v>
      </c>
      <c r="B1" s="3" t="s">
        <v>39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</row>
    <row r="2" spans="1:11" x14ac:dyDescent="0.2">
      <c r="A2" s="16">
        <f>_xlfn.RANK.EQ(C2,C$2:C$33,0)</f>
        <v>1</v>
      </c>
      <c r="B2" s="17" t="s">
        <v>0</v>
      </c>
      <c r="C2" s="18">
        <v>10.8974274181867</v>
      </c>
      <c r="D2" s="17">
        <v>7</v>
      </c>
      <c r="E2" s="19">
        <v>24</v>
      </c>
      <c r="F2" s="19">
        <v>4.5203842635755102E-2</v>
      </c>
      <c r="G2" s="19">
        <v>4.9438570442221198E-2</v>
      </c>
      <c r="H2" s="19">
        <v>-2.1021618310495298E-2</v>
      </c>
      <c r="I2" s="19">
        <v>-4.84424982184384E-2</v>
      </c>
    </row>
    <row r="3" spans="1:11" x14ac:dyDescent="0.2">
      <c r="A3" s="16">
        <f t="shared" ref="A3:A33" si="0">_xlfn.RANK.EQ(C3,C$2:C$33,0)</f>
        <v>2</v>
      </c>
      <c r="B3" s="17" t="s">
        <v>1</v>
      </c>
      <c r="C3" s="18">
        <v>10.6585302860222</v>
      </c>
      <c r="D3" s="17">
        <v>6.5</v>
      </c>
      <c r="E3" s="19">
        <v>30.363636363636299</v>
      </c>
      <c r="F3" s="19">
        <v>4.45566318395074E-2</v>
      </c>
      <c r="G3" s="19">
        <v>0.11515280903196699</v>
      </c>
      <c r="H3" s="19">
        <v>-1.026485724879E-2</v>
      </c>
      <c r="I3" s="19">
        <v>2.8197131982815999E-2</v>
      </c>
    </row>
    <row r="4" spans="1:11" x14ac:dyDescent="0.2">
      <c r="A4" s="16">
        <f t="shared" si="0"/>
        <v>3</v>
      </c>
      <c r="B4" s="17" t="s">
        <v>2</v>
      </c>
      <c r="C4" s="18">
        <v>10.3863304748657</v>
      </c>
      <c r="D4" s="17">
        <v>6.5</v>
      </c>
      <c r="E4" s="19">
        <v>29.090909090909001</v>
      </c>
      <c r="F4" s="19">
        <v>2.7077532310799599E-2</v>
      </c>
      <c r="G4" s="19">
        <v>9.9488343037529403E-2</v>
      </c>
      <c r="H4" s="19">
        <v>7.8754585524829102E-3</v>
      </c>
      <c r="I4" s="19">
        <v>-1.7143687712854901E-2</v>
      </c>
      <c r="K4" s="1"/>
    </row>
    <row r="5" spans="1:11" x14ac:dyDescent="0.2">
      <c r="A5" s="16">
        <f t="shared" si="0"/>
        <v>4</v>
      </c>
      <c r="B5" s="17" t="s">
        <v>3</v>
      </c>
      <c r="C5" s="18">
        <v>9.8463945967516899</v>
      </c>
      <c r="D5" s="17">
        <v>3.5</v>
      </c>
      <c r="E5" s="19">
        <v>33.6</v>
      </c>
      <c r="F5" s="19">
        <v>4.8296796635037803E-2</v>
      </c>
      <c r="G5" s="19">
        <v>0.10440132800162399</v>
      </c>
      <c r="H5" s="19">
        <v>-1.4282355029283199E-2</v>
      </c>
      <c r="I5" s="19">
        <v>-8.9634975769388101E-2</v>
      </c>
    </row>
    <row r="6" spans="1:11" x14ac:dyDescent="0.2">
      <c r="A6" s="4">
        <f t="shared" si="0"/>
        <v>5</v>
      </c>
      <c r="B6" s="5" t="s">
        <v>4</v>
      </c>
      <c r="C6" s="6">
        <v>7.2268676630190702</v>
      </c>
      <c r="D6" s="5">
        <v>4</v>
      </c>
      <c r="E6" s="7">
        <v>23.8</v>
      </c>
      <c r="F6" s="7">
        <v>4.83917906002257E-2</v>
      </c>
      <c r="G6" s="7">
        <v>0.10146629396234499</v>
      </c>
      <c r="H6" s="7">
        <v>3.59573821690993E-2</v>
      </c>
      <c r="I6" s="7">
        <v>2.4377759416022299E-2</v>
      </c>
    </row>
    <row r="7" spans="1:11" x14ac:dyDescent="0.2">
      <c r="A7" s="4">
        <f t="shared" si="0"/>
        <v>6</v>
      </c>
      <c r="B7" s="5" t="s">
        <v>5</v>
      </c>
      <c r="C7" s="6">
        <v>6.9230116443558902</v>
      </c>
      <c r="D7" s="5">
        <v>6</v>
      </c>
      <c r="E7" s="7">
        <v>27</v>
      </c>
      <c r="F7" s="7">
        <v>2.4936495737805101E-2</v>
      </c>
      <c r="G7" s="7">
        <v>7.8037561622878004E-2</v>
      </c>
      <c r="H7" s="7">
        <v>3.4187378645689999E-2</v>
      </c>
      <c r="I7" s="7">
        <v>7.6435845904511093E-2</v>
      </c>
    </row>
    <row r="8" spans="1:11" x14ac:dyDescent="0.2">
      <c r="A8" s="4">
        <f t="shared" si="0"/>
        <v>7</v>
      </c>
      <c r="B8" s="5" t="s">
        <v>6</v>
      </c>
      <c r="C8" s="6">
        <v>6.5262277706592897</v>
      </c>
      <c r="D8" s="5">
        <v>5.5</v>
      </c>
      <c r="E8" s="7">
        <v>22</v>
      </c>
      <c r="F8" s="7">
        <v>-4.0754826561056501E-2</v>
      </c>
      <c r="G8" s="7">
        <v>-2.6333309802893498E-3</v>
      </c>
      <c r="H8" s="7">
        <v>-2.2966849446111999E-2</v>
      </c>
      <c r="I8" s="7">
        <v>-8.8979781120135104E-2</v>
      </c>
    </row>
    <row r="9" spans="1:11" x14ac:dyDescent="0.2">
      <c r="A9" s="4">
        <f t="shared" si="0"/>
        <v>8</v>
      </c>
      <c r="B9" s="5" t="s">
        <v>7</v>
      </c>
      <c r="C9" s="6">
        <v>6.3617819673611899</v>
      </c>
      <c r="D9" s="5">
        <v>4.5</v>
      </c>
      <c r="E9" s="7">
        <v>25</v>
      </c>
      <c r="F9" s="7">
        <v>4.7995373099789301E-3</v>
      </c>
      <c r="G9" s="7">
        <v>6.8251398546780598E-2</v>
      </c>
      <c r="H9" s="7">
        <v>3.3928666344203801E-2</v>
      </c>
      <c r="I9" s="7">
        <v>-1.0159078668567601E-2</v>
      </c>
    </row>
    <row r="10" spans="1:11" x14ac:dyDescent="0.2">
      <c r="A10" s="4">
        <f t="shared" si="0"/>
        <v>9</v>
      </c>
      <c r="B10" s="5" t="s">
        <v>8</v>
      </c>
      <c r="C10" s="6">
        <v>6.3592204254440698</v>
      </c>
      <c r="D10" s="5">
        <v>2.5</v>
      </c>
      <c r="E10" s="7">
        <v>28</v>
      </c>
      <c r="F10" s="7">
        <v>4.0181439918445999E-2</v>
      </c>
      <c r="G10" s="7">
        <v>0.12641221687589399</v>
      </c>
      <c r="H10" s="7">
        <v>9.0990202900846692E-3</v>
      </c>
      <c r="I10" s="7">
        <v>4.0059838722131598E-2</v>
      </c>
      <c r="K10" s="2" t="s">
        <v>50</v>
      </c>
    </row>
    <row r="11" spans="1:11" x14ac:dyDescent="0.2">
      <c r="A11" s="4">
        <f t="shared" si="0"/>
        <v>10</v>
      </c>
      <c r="B11" s="5" t="s">
        <v>12</v>
      </c>
      <c r="C11" s="6">
        <v>6.2</v>
      </c>
      <c r="D11" s="5">
        <v>4.5</v>
      </c>
      <c r="E11" s="7">
        <v>25.9</v>
      </c>
      <c r="F11" s="7">
        <v>-1.3556630150282901E-2</v>
      </c>
      <c r="G11" s="7">
        <v>1.0404969857130899E-2</v>
      </c>
      <c r="H11" s="7">
        <v>-2.09567371980134E-2</v>
      </c>
      <c r="I11" s="7">
        <v>-7.0546815909537305E-2</v>
      </c>
      <c r="K11" t="s">
        <v>51</v>
      </c>
    </row>
    <row r="12" spans="1:11" x14ac:dyDescent="0.2">
      <c r="A12" s="4">
        <f t="shared" si="0"/>
        <v>11</v>
      </c>
      <c r="B12" s="5" t="s">
        <v>9</v>
      </c>
      <c r="C12" s="6">
        <v>6.1517070527977697</v>
      </c>
      <c r="D12" s="5">
        <v>3</v>
      </c>
      <c r="E12" s="7">
        <v>27.9</v>
      </c>
      <c r="F12" s="7">
        <v>4.2251232369626503E-2</v>
      </c>
      <c r="G12" s="7">
        <v>8.3429667402734706E-2</v>
      </c>
      <c r="H12" s="7">
        <v>2.0634012144805799E-2</v>
      </c>
      <c r="I12" s="7">
        <v>4.8976798176421704E-3</v>
      </c>
      <c r="K12" t="s">
        <v>52</v>
      </c>
    </row>
    <row r="13" spans="1:11" x14ac:dyDescent="0.2">
      <c r="A13" s="4">
        <f t="shared" si="0"/>
        <v>12</v>
      </c>
      <c r="B13" s="5" t="s">
        <v>10</v>
      </c>
      <c r="C13" s="6">
        <v>6.14747197063173</v>
      </c>
      <c r="D13" s="5">
        <v>5.5</v>
      </c>
      <c r="E13" s="7">
        <v>23.4545454545454</v>
      </c>
      <c r="F13" s="7">
        <v>-2.6826160514785698E-2</v>
      </c>
      <c r="G13" s="7">
        <v>7.9102275186555895E-3</v>
      </c>
      <c r="H13" s="7">
        <v>-2.7525120540299E-2</v>
      </c>
      <c r="I13" s="7">
        <v>-3.3397117491861299E-2</v>
      </c>
      <c r="K13" t="s">
        <v>53</v>
      </c>
    </row>
    <row r="14" spans="1:11" x14ac:dyDescent="0.2">
      <c r="A14" s="4">
        <f t="shared" si="0"/>
        <v>13</v>
      </c>
      <c r="B14" s="5" t="s">
        <v>11</v>
      </c>
      <c r="C14" s="6">
        <v>5.61660393019935</v>
      </c>
      <c r="D14" s="5">
        <v>5.5</v>
      </c>
      <c r="E14" s="7">
        <v>21.3</v>
      </c>
      <c r="F14" s="7">
        <v>2.49538572401947E-2</v>
      </c>
      <c r="G14" s="7">
        <v>1.7984249941184599E-3</v>
      </c>
      <c r="H14" s="7">
        <v>9.22562999517108E-3</v>
      </c>
      <c r="I14" s="7">
        <v>2.1140540035075001E-2</v>
      </c>
      <c r="K14" t="s">
        <v>54</v>
      </c>
    </row>
    <row r="15" spans="1:11" x14ac:dyDescent="0.2">
      <c r="A15" s="4">
        <f t="shared" si="0"/>
        <v>14</v>
      </c>
      <c r="B15" s="5" t="s">
        <v>13</v>
      </c>
      <c r="C15" s="6">
        <v>5.6</v>
      </c>
      <c r="D15" s="5">
        <v>4</v>
      </c>
      <c r="E15" s="7">
        <v>25</v>
      </c>
      <c r="F15" s="7">
        <v>2.9060350319262001E-2</v>
      </c>
      <c r="G15" s="7">
        <v>3.8366484666410003E-2</v>
      </c>
      <c r="H15" s="7">
        <v>6.1900407740701499E-3</v>
      </c>
      <c r="I15" s="7">
        <v>7.4361221154754398E-3</v>
      </c>
      <c r="K15" t="s">
        <v>55</v>
      </c>
    </row>
    <row r="16" spans="1:11" x14ac:dyDescent="0.2">
      <c r="A16" s="8">
        <f t="shared" si="0"/>
        <v>15</v>
      </c>
      <c r="B16" s="9" t="s">
        <v>14</v>
      </c>
      <c r="C16" s="10">
        <v>4.80243076216279</v>
      </c>
      <c r="D16" s="9">
        <v>2</v>
      </c>
      <c r="E16" s="11">
        <v>24.4</v>
      </c>
      <c r="F16" s="11">
        <v>-5.4610409184250002E-4</v>
      </c>
      <c r="G16" s="11">
        <v>-7.7848480926639499E-3</v>
      </c>
      <c r="H16" s="11">
        <v>-4.0377453322533098E-2</v>
      </c>
      <c r="I16" s="11">
        <v>-0.122198350370038</v>
      </c>
    </row>
    <row r="17" spans="1:9" x14ac:dyDescent="0.2">
      <c r="A17" s="8">
        <f t="shared" si="0"/>
        <v>16</v>
      </c>
      <c r="B17" s="9" t="s">
        <v>20</v>
      </c>
      <c r="C17" s="10">
        <f>1.22047111300825+3</f>
        <v>4.2204711130082497</v>
      </c>
      <c r="D17" s="9">
        <v>4</v>
      </c>
      <c r="E17" s="11">
        <v>18.100000000000001</v>
      </c>
      <c r="F17" s="11">
        <v>-1.9212196001254501E-2</v>
      </c>
      <c r="G17" s="11">
        <v>-7.2530121483330906E-2</v>
      </c>
      <c r="H17" s="11">
        <v>-1.09078259436583E-2</v>
      </c>
      <c r="I17" s="11">
        <v>1.43468865807661E-2</v>
      </c>
    </row>
    <row r="18" spans="1:9" x14ac:dyDescent="0.2">
      <c r="A18" s="8">
        <f t="shared" si="0"/>
        <v>17</v>
      </c>
      <c r="B18" s="9" t="s">
        <v>15</v>
      </c>
      <c r="C18" s="10">
        <v>3.8324504269886299</v>
      </c>
      <c r="D18" s="9">
        <v>3.5</v>
      </c>
      <c r="E18" s="11">
        <v>23</v>
      </c>
      <c r="F18" s="11">
        <v>4.9308005651685204E-3</v>
      </c>
      <c r="G18" s="11">
        <v>-6.7321405144052703E-3</v>
      </c>
      <c r="H18" s="11">
        <v>-1.6589931852681001E-2</v>
      </c>
      <c r="I18" s="11">
        <v>-8.1147825250683404E-3</v>
      </c>
    </row>
    <row r="19" spans="1:9" x14ac:dyDescent="0.2">
      <c r="A19" s="8">
        <f t="shared" si="0"/>
        <v>18</v>
      </c>
      <c r="B19" s="9" t="s">
        <v>16</v>
      </c>
      <c r="C19" s="10">
        <v>3.71641799023535</v>
      </c>
      <c r="D19" s="9">
        <v>2.5</v>
      </c>
      <c r="E19" s="11">
        <v>22.909090909090899</v>
      </c>
      <c r="F19" s="11">
        <v>-1.43957349459699E-2</v>
      </c>
      <c r="G19" s="11">
        <v>9.90670213562732E-3</v>
      </c>
      <c r="H19" s="11">
        <v>-1.05091368915771E-3</v>
      </c>
      <c r="I19" s="11">
        <v>-6.3167329723920806E-2</v>
      </c>
    </row>
    <row r="20" spans="1:9" x14ac:dyDescent="0.2">
      <c r="A20" s="8">
        <f t="shared" si="0"/>
        <v>19</v>
      </c>
      <c r="B20" s="9" t="s">
        <v>17</v>
      </c>
      <c r="C20" s="10">
        <v>3.5036549712533902</v>
      </c>
      <c r="D20" s="9">
        <v>2.5</v>
      </c>
      <c r="E20" s="11">
        <v>21.363636363636299</v>
      </c>
      <c r="F20" s="11">
        <v>-1.3173238883230199E-2</v>
      </c>
      <c r="G20" s="11">
        <v>-2.55186153896459E-2</v>
      </c>
      <c r="H20" s="11">
        <v>-3.3192003821058802E-2</v>
      </c>
      <c r="I20" s="11">
        <v>-8.0033217385382494E-2</v>
      </c>
    </row>
    <row r="21" spans="1:9" x14ac:dyDescent="0.2">
      <c r="A21" s="8">
        <f t="shared" si="0"/>
        <v>20</v>
      </c>
      <c r="B21" s="9" t="s">
        <v>18</v>
      </c>
      <c r="C21" s="10">
        <v>3.06155029147464</v>
      </c>
      <c r="D21" s="9">
        <v>3.5</v>
      </c>
      <c r="E21" s="11">
        <v>18.545454545454501</v>
      </c>
      <c r="F21" s="11">
        <v>-3.4628655349735302E-3</v>
      </c>
      <c r="G21" s="11">
        <v>5.26481994760763E-3</v>
      </c>
      <c r="H21" s="11">
        <v>-6.3560689546151598E-3</v>
      </c>
      <c r="I21" s="11">
        <v>3.02581851449235E-2</v>
      </c>
    </row>
    <row r="22" spans="1:9" x14ac:dyDescent="0.2">
      <c r="A22" s="8">
        <f t="shared" si="0"/>
        <v>21</v>
      </c>
      <c r="B22" s="9" t="s">
        <v>19</v>
      </c>
      <c r="C22" s="10">
        <v>2.8395955944200999</v>
      </c>
      <c r="D22" s="9">
        <v>3.5</v>
      </c>
      <c r="E22" s="11">
        <v>22.181818181818102</v>
      </c>
      <c r="F22" s="11">
        <v>1.7102477014203699E-2</v>
      </c>
      <c r="G22" s="11">
        <v>1.1808131653243001E-2</v>
      </c>
      <c r="H22" s="11">
        <v>1.6206853474070099E-2</v>
      </c>
      <c r="I22" s="11">
        <v>5.9955373921061601E-2</v>
      </c>
    </row>
    <row r="23" spans="1:9" x14ac:dyDescent="0.2">
      <c r="A23" s="12">
        <f t="shared" si="0"/>
        <v>22</v>
      </c>
      <c r="B23" s="13" t="s">
        <v>21</v>
      </c>
      <c r="C23" s="14">
        <v>1.00625550868972</v>
      </c>
      <c r="D23" s="13">
        <v>2.5</v>
      </c>
      <c r="E23" s="15">
        <v>23.818181818181799</v>
      </c>
      <c r="F23" s="15">
        <v>-2.2568954936412099E-2</v>
      </c>
      <c r="G23" s="15">
        <v>-3.7415765601813297E-2</v>
      </c>
      <c r="H23" s="15">
        <v>-3.9233106132000898E-3</v>
      </c>
      <c r="I23" s="15">
        <v>-6.7051345478214902E-3</v>
      </c>
    </row>
    <row r="24" spans="1:9" x14ac:dyDescent="0.2">
      <c r="A24" s="12">
        <f t="shared" si="0"/>
        <v>23</v>
      </c>
      <c r="B24" s="13" t="s">
        <v>22</v>
      </c>
      <c r="C24" s="14">
        <v>0.73291231631508003</v>
      </c>
      <c r="D24" s="13">
        <v>2</v>
      </c>
      <c r="E24" s="15">
        <v>21.4545454545454</v>
      </c>
      <c r="F24" s="15">
        <v>-2.3684652213801401E-2</v>
      </c>
      <c r="G24" s="15">
        <v>-2.9308376600733099E-2</v>
      </c>
      <c r="H24" s="15">
        <v>9.5151870804769997E-3</v>
      </c>
      <c r="I24" s="15">
        <v>-1.73503862944633E-2</v>
      </c>
    </row>
    <row r="25" spans="1:9" x14ac:dyDescent="0.2">
      <c r="A25" s="12">
        <f t="shared" si="0"/>
        <v>24</v>
      </c>
      <c r="B25" s="13" t="s">
        <v>23</v>
      </c>
      <c r="C25" s="14">
        <v>-2.99293939880826E-2</v>
      </c>
      <c r="D25" s="13">
        <v>2.5</v>
      </c>
      <c r="E25" s="15">
        <v>19.399999999999999</v>
      </c>
      <c r="F25" s="15">
        <v>-5.0329813117740201E-2</v>
      </c>
      <c r="G25" s="15">
        <v>-7.6050648513768596E-2</v>
      </c>
      <c r="H25" s="15">
        <v>-1.8987394504229899E-2</v>
      </c>
      <c r="I25" s="15">
        <v>-3.6251223590251597E-2</v>
      </c>
    </row>
    <row r="26" spans="1:9" x14ac:dyDescent="0.2">
      <c r="A26" s="27">
        <f t="shared" si="0"/>
        <v>25</v>
      </c>
      <c r="B26" s="20" t="s">
        <v>24</v>
      </c>
      <c r="C26" s="21">
        <v>-1.38456185566679</v>
      </c>
      <c r="D26" s="20">
        <v>2.5</v>
      </c>
      <c r="E26" s="22">
        <v>16.545454545454501</v>
      </c>
      <c r="F26" s="22">
        <v>-8.7450632660612398E-3</v>
      </c>
      <c r="G26" s="22">
        <v>-9.1242802340203405E-2</v>
      </c>
      <c r="H26" s="22">
        <v>7.1499763901369598E-3</v>
      </c>
      <c r="I26" s="22">
        <v>4.1070077897855203E-2</v>
      </c>
    </row>
    <row r="27" spans="1:9" x14ac:dyDescent="0.2">
      <c r="A27" s="27">
        <f t="shared" si="0"/>
        <v>26</v>
      </c>
      <c r="B27" s="20" t="s">
        <v>25</v>
      </c>
      <c r="C27" s="21">
        <v>-1.4040258470754099</v>
      </c>
      <c r="D27" s="20">
        <v>0.5</v>
      </c>
      <c r="E27" s="22">
        <v>18.909090909090899</v>
      </c>
      <c r="F27" s="22">
        <v>5.3142114018669096E-3</v>
      </c>
      <c r="G27" s="22">
        <v>3.3699487239717801E-2</v>
      </c>
      <c r="H27" s="22">
        <v>3.2517385942455998E-2</v>
      </c>
      <c r="I27" s="22">
        <v>0.128005248008839</v>
      </c>
    </row>
    <row r="28" spans="1:9" x14ac:dyDescent="0.2">
      <c r="A28" s="27">
        <f t="shared" si="0"/>
        <v>27</v>
      </c>
      <c r="B28" s="20" t="s">
        <v>26</v>
      </c>
      <c r="C28" s="21">
        <v>-1.90079724173394</v>
      </c>
      <c r="D28" s="20">
        <v>2.5</v>
      </c>
      <c r="E28" s="22">
        <v>16.909090909090899</v>
      </c>
      <c r="F28" s="22">
        <v>-6.2614247805966305E-2</v>
      </c>
      <c r="G28" s="22">
        <v>-0.137408445462396</v>
      </c>
      <c r="H28" s="22">
        <v>-3.94643856010162E-2</v>
      </c>
      <c r="I28" s="22">
        <v>-3.4742326663593601E-2</v>
      </c>
    </row>
    <row r="29" spans="1:9" x14ac:dyDescent="0.2">
      <c r="A29" s="27">
        <f t="shared" si="0"/>
        <v>28</v>
      </c>
      <c r="B29" s="20" t="s">
        <v>27</v>
      </c>
      <c r="C29" s="21">
        <v>-1.96755623389012</v>
      </c>
      <c r="D29" s="20">
        <v>1.5</v>
      </c>
      <c r="E29" s="22">
        <v>17</v>
      </c>
      <c r="F29" s="22">
        <v>-3.0880488231978701E-2</v>
      </c>
      <c r="G29" s="22">
        <v>-8.7842752298596297E-2</v>
      </c>
      <c r="H29" s="22">
        <v>-7.1410395970870899E-3</v>
      </c>
      <c r="I29" s="22">
        <v>8.3688526544535707E-3</v>
      </c>
    </row>
    <row r="30" spans="1:9" x14ac:dyDescent="0.2">
      <c r="A30" s="27">
        <f t="shared" si="0"/>
        <v>29</v>
      </c>
      <c r="B30" s="20" t="s">
        <v>28</v>
      </c>
      <c r="C30" s="21">
        <v>-2.53436042596875</v>
      </c>
      <c r="D30" s="20">
        <v>0.5</v>
      </c>
      <c r="E30" s="22">
        <v>15.6</v>
      </c>
      <c r="F30" s="22">
        <v>-1.13569360036062E-2</v>
      </c>
      <c r="G30" s="22">
        <v>-7.3368176031297805E-2</v>
      </c>
      <c r="H30" s="22">
        <v>1.43947218150405E-2</v>
      </c>
      <c r="I30" s="22">
        <v>1.6673545885702901E-2</v>
      </c>
    </row>
    <row r="31" spans="1:9" x14ac:dyDescent="0.2">
      <c r="A31" s="27">
        <f t="shared" si="0"/>
        <v>30</v>
      </c>
      <c r="B31" s="20" t="s">
        <v>29</v>
      </c>
      <c r="C31" s="21">
        <v>-2.8654364734161502</v>
      </c>
      <c r="D31" s="20">
        <v>0.5</v>
      </c>
      <c r="E31" s="22">
        <v>18.7</v>
      </c>
      <c r="F31" s="22">
        <v>-1.5828675103094599E-2</v>
      </c>
      <c r="G31" s="22">
        <v>-6.6032359780924296E-2</v>
      </c>
      <c r="H31" s="22">
        <v>-4.1839017829727199E-3</v>
      </c>
      <c r="I31" s="22">
        <v>5.2575366457782401E-2</v>
      </c>
    </row>
    <row r="32" spans="1:9" x14ac:dyDescent="0.2">
      <c r="A32" s="27">
        <f t="shared" si="0"/>
        <v>31</v>
      </c>
      <c r="B32" s="20" t="s">
        <v>30</v>
      </c>
      <c r="C32" s="21">
        <v>-2.8689026063203502</v>
      </c>
      <c r="D32" s="20">
        <v>1.5</v>
      </c>
      <c r="E32" s="22">
        <v>18.7</v>
      </c>
      <c r="F32" s="22">
        <v>-9.71695746125841E-3</v>
      </c>
      <c r="G32" s="22">
        <v>-0.114355025254887</v>
      </c>
      <c r="H32" s="22">
        <v>1.0835138479980499E-2</v>
      </c>
      <c r="I32" s="22">
        <v>2.6640041747128401E-2</v>
      </c>
    </row>
    <row r="33" spans="1:9" x14ac:dyDescent="0.2">
      <c r="A33" s="27">
        <f t="shared" si="0"/>
        <v>32</v>
      </c>
      <c r="B33" s="20" t="s">
        <v>31</v>
      </c>
      <c r="C33" s="21">
        <v>-5.1348895375272203</v>
      </c>
      <c r="D33" s="20">
        <v>1.5</v>
      </c>
      <c r="E33" s="22">
        <v>16.7</v>
      </c>
      <c r="F33" s="22">
        <v>-2.63893098581253E-2</v>
      </c>
      <c r="G33" s="22">
        <v>-0.10992318736411399</v>
      </c>
      <c r="H33" s="22">
        <v>4.2886614791380097E-2</v>
      </c>
      <c r="I33" s="22">
        <v>0.101708097413997</v>
      </c>
    </row>
    <row r="35" spans="1:9" x14ac:dyDescent="0.2">
      <c r="C35" s="2"/>
      <c r="D35" s="48"/>
    </row>
    <row r="36" spans="1:9" x14ac:dyDescent="0.2">
      <c r="C36" s="2"/>
      <c r="D36" s="48"/>
    </row>
  </sheetData>
  <autoFilter ref="A1:I1" xr:uid="{BCBD52DC-6729-C544-B125-6E3E3C4622E8}">
    <sortState xmlns:xlrd2="http://schemas.microsoft.com/office/spreadsheetml/2017/richdata2" ref="A2:I33">
      <sortCondition descending="1" ref="C1:C33"/>
    </sortState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A532-37A1-724B-9BC9-257E3FDEE993}">
  <dimension ref="A1:K17"/>
  <sheetViews>
    <sheetView zoomScaleNormal="100" workbookViewId="0">
      <selection activeCell="J7" sqref="J7"/>
    </sheetView>
  </sheetViews>
  <sheetFormatPr baseColWidth="10" defaultRowHeight="16" x14ac:dyDescent="0.2"/>
  <cols>
    <col min="1" max="1" width="10.33203125" bestFit="1" customWidth="1"/>
    <col min="2" max="2" width="11" bestFit="1" customWidth="1"/>
    <col min="3" max="3" width="10" customWidth="1"/>
    <col min="4" max="4" width="23.6640625" bestFit="1" customWidth="1"/>
    <col min="5" max="5" width="52.83203125" bestFit="1" customWidth="1"/>
    <col min="6" max="6" width="10" bestFit="1" customWidth="1"/>
    <col min="7" max="7" width="14.1640625" bestFit="1" customWidth="1"/>
    <col min="8" max="8" width="13" bestFit="1" customWidth="1"/>
  </cols>
  <sheetData>
    <row r="1" spans="1:11" x14ac:dyDescent="0.2">
      <c r="A1" s="2" t="s">
        <v>32</v>
      </c>
      <c r="B1" s="2" t="s">
        <v>33</v>
      </c>
      <c r="C1" s="2" t="s">
        <v>34</v>
      </c>
      <c r="D1" s="2" t="s">
        <v>60</v>
      </c>
      <c r="E1" s="2" t="s">
        <v>35</v>
      </c>
      <c r="F1" s="2" t="s">
        <v>36</v>
      </c>
      <c r="G1" s="2" t="s">
        <v>37</v>
      </c>
      <c r="H1" s="2" t="s">
        <v>49</v>
      </c>
    </row>
    <row r="2" spans="1:11" x14ac:dyDescent="0.2">
      <c r="A2" t="s">
        <v>23</v>
      </c>
      <c r="B2" t="s">
        <v>3</v>
      </c>
      <c r="C2" s="1">
        <f>VLOOKUP(A2,'Week 13 Power Rankings'!C$3:D$34,2,FALSE)-VLOOKUP(B2,'Week 13 Power Rankings'!C$3:D$34,2,FALSE)-1</f>
        <v>-10.850702159759251</v>
      </c>
      <c r="D2">
        <v>-10</v>
      </c>
      <c r="E2" t="s">
        <v>65</v>
      </c>
      <c r="F2" s="1">
        <f>C2-D2</f>
        <v>-0.85070215975925123</v>
      </c>
      <c r="H2" t="s">
        <v>58</v>
      </c>
    </row>
    <row r="3" spans="1:11" x14ac:dyDescent="0.2">
      <c r="A3" t="s">
        <v>28</v>
      </c>
      <c r="B3" t="s">
        <v>29</v>
      </c>
      <c r="C3" s="1">
        <f>VLOOKUP(A3,'Week 13 Power Rankings'!C$3:D$34,2,FALSE)-VLOOKUP(B3,'Week 13 Power Rankings'!C$3:D$34,2,FALSE)-1</f>
        <v>-1.93552100812451</v>
      </c>
      <c r="D3">
        <v>-3.5</v>
      </c>
      <c r="E3" t="s">
        <v>76</v>
      </c>
      <c r="F3" s="1">
        <f t="shared" ref="F3:F17" si="0">C3-D3</f>
        <v>1.56447899187549</v>
      </c>
      <c r="G3" t="s">
        <v>68</v>
      </c>
      <c r="H3" t="s">
        <v>58</v>
      </c>
    </row>
    <row r="4" spans="1:11" x14ac:dyDescent="0.2">
      <c r="A4" t="s">
        <v>20</v>
      </c>
      <c r="B4" t="s">
        <v>7</v>
      </c>
      <c r="C4" s="1">
        <f>VLOOKUP(A4,'Week 13 Power Rankings'!C$3:D$34,2,FALSE)-VLOOKUP(B4,'Week 13 Power Rankings'!C$3:D$34,2,FALSE)-1.75</f>
        <v>-4.0743667452658601</v>
      </c>
      <c r="D4">
        <v>-3.5</v>
      </c>
      <c r="E4" t="s">
        <v>83</v>
      </c>
      <c r="F4" s="1">
        <f t="shared" si="0"/>
        <v>-0.57436674526586007</v>
      </c>
      <c r="H4" t="s">
        <v>57</v>
      </c>
    </row>
    <row r="5" spans="1:11" x14ac:dyDescent="0.2">
      <c r="A5" t="s">
        <v>30</v>
      </c>
      <c r="B5" t="s">
        <v>0</v>
      </c>
      <c r="C5" s="1">
        <f>VLOOKUP(A5,'Week 13 Power Rankings'!C$3:D$34,2,FALSE)-VLOOKUP(B5,'Week 13 Power Rankings'!C$3:D$34,2,FALSE)-1</f>
        <v>-14.94975535380933</v>
      </c>
      <c r="D5">
        <v>-12.5</v>
      </c>
      <c r="E5" t="s">
        <v>81</v>
      </c>
      <c r="F5" s="1">
        <f t="shared" si="0"/>
        <v>-2.44975535380933</v>
      </c>
      <c r="H5" t="s">
        <v>58</v>
      </c>
      <c r="J5" s="2" t="s">
        <v>56</v>
      </c>
      <c r="K5" s="24">
        <f>COUNTIF(H2:H17, "Yes") / COUNTA(H2:H17)</f>
        <v>0.625</v>
      </c>
    </row>
    <row r="6" spans="1:11" x14ac:dyDescent="0.2">
      <c r="A6" t="s">
        <v>6</v>
      </c>
      <c r="B6" t="s">
        <v>19</v>
      </c>
      <c r="C6" s="1">
        <f>VLOOKUP(A6,'Week 13 Power Rankings'!C$3:D$34,2,FALSE)-VLOOKUP(B6,'Week 13 Power Rankings'!C$3:D$34,2,FALSE)-2</f>
        <v>1.4034142488037604</v>
      </c>
      <c r="D6">
        <v>1</v>
      </c>
      <c r="E6" t="s">
        <v>77</v>
      </c>
      <c r="F6" s="1">
        <f t="shared" si="0"/>
        <v>0.40341424880376042</v>
      </c>
      <c r="H6" t="s">
        <v>57</v>
      </c>
    </row>
    <row r="7" spans="1:11" x14ac:dyDescent="0.2">
      <c r="A7" t="s">
        <v>22</v>
      </c>
      <c r="B7" t="s">
        <v>24</v>
      </c>
      <c r="C7" s="1">
        <f>VLOOKUP(A7,'Week 13 Power Rankings'!C$3:D$34,2,FALSE)-VLOOKUP(B7,'Week 13 Power Rankings'!C$3:D$34,2,FALSE)-1.5</f>
        <v>0.96009250636259669</v>
      </c>
      <c r="D7">
        <v>2.5</v>
      </c>
      <c r="F7" s="1">
        <f t="shared" si="0"/>
        <v>-1.5399074936374033</v>
      </c>
      <c r="H7" t="s">
        <v>57</v>
      </c>
    </row>
    <row r="8" spans="1:11" x14ac:dyDescent="0.2">
      <c r="A8" t="s">
        <v>10</v>
      </c>
      <c r="B8" t="s">
        <v>25</v>
      </c>
      <c r="C8" s="1">
        <f>VLOOKUP(A8,'Week 13 Power Rankings'!C$3:D$34,2,FALSE)-VLOOKUP(B8,'Week 13 Power Rankings'!C$3:D$34,2,FALSE)-1.75</f>
        <v>5.11070027028721</v>
      </c>
      <c r="D8">
        <v>3.5</v>
      </c>
      <c r="E8" t="s">
        <v>75</v>
      </c>
      <c r="F8" s="1">
        <f t="shared" si="0"/>
        <v>1.61070027028721</v>
      </c>
      <c r="H8" t="s">
        <v>57</v>
      </c>
    </row>
    <row r="9" spans="1:11" x14ac:dyDescent="0.2">
      <c r="A9" t="s">
        <v>15</v>
      </c>
      <c r="B9" t="s">
        <v>18</v>
      </c>
      <c r="C9" s="1">
        <f>VLOOKUP(A9,'Week 13 Power Rankings'!C$3:D$34,2,FALSE)-VLOOKUP(B9,'Week 13 Power Rankings'!C$3:D$34,2,FALSE)-1.75</f>
        <v>-0.87550757337717799</v>
      </c>
      <c r="D9">
        <v>-1.5</v>
      </c>
      <c r="E9" t="s">
        <v>84</v>
      </c>
      <c r="F9" s="1">
        <f t="shared" si="0"/>
        <v>0.62449242662282201</v>
      </c>
      <c r="H9" t="s">
        <v>57</v>
      </c>
    </row>
    <row r="10" spans="1:11" x14ac:dyDescent="0.2">
      <c r="A10" t="s">
        <v>16</v>
      </c>
      <c r="B10" t="s">
        <v>5</v>
      </c>
      <c r="C10" s="1">
        <f>VLOOKUP(A10,'Week 13 Power Rankings'!C$3:D$34,2,FALSE)-VLOOKUP(B10,'Week 13 Power Rankings'!C$3:D$34,2,FALSE)-1</f>
        <v>-4.1714731141090304</v>
      </c>
      <c r="D10">
        <v>-3</v>
      </c>
      <c r="E10" t="s">
        <v>65</v>
      </c>
      <c r="F10" s="1">
        <f t="shared" si="0"/>
        <v>-1.1714731141090304</v>
      </c>
      <c r="G10" t="s">
        <v>67</v>
      </c>
      <c r="H10" t="s">
        <v>58</v>
      </c>
    </row>
    <row r="11" spans="1:11" x14ac:dyDescent="0.2">
      <c r="A11" t="s">
        <v>27</v>
      </c>
      <c r="B11" t="s">
        <v>8</v>
      </c>
      <c r="C11" s="1">
        <f>VLOOKUP(A11,'Week 13 Power Rankings'!C$3:D$34,2,FALSE)-VLOOKUP(B11,'Week 13 Power Rankings'!C$3:D$34,2,FALSE)-1.5</f>
        <v>-8.0009752163115095</v>
      </c>
      <c r="D11">
        <v>-6</v>
      </c>
      <c r="F11" s="1">
        <f t="shared" si="0"/>
        <v>-2.0009752163115095</v>
      </c>
      <c r="G11" t="s">
        <v>66</v>
      </c>
      <c r="H11" t="s">
        <v>57</v>
      </c>
    </row>
    <row r="12" spans="1:11" x14ac:dyDescent="0.2">
      <c r="A12" t="s">
        <v>4</v>
      </c>
      <c r="B12" t="s">
        <v>14</v>
      </c>
      <c r="C12" s="1">
        <f>VLOOKUP(A12,'Week 13 Power Rankings'!C$3:D$34,2,FALSE)-VLOOKUP(B12,'Week 13 Power Rankings'!C$3:D$34,2,FALSE)-1.5</f>
        <v>0.23066728227066946</v>
      </c>
      <c r="D12">
        <v>-3.5</v>
      </c>
      <c r="F12" s="1">
        <f t="shared" si="0"/>
        <v>3.7306672822706695</v>
      </c>
      <c r="H12" t="s">
        <v>57</v>
      </c>
    </row>
    <row r="13" spans="1:11" x14ac:dyDescent="0.2">
      <c r="A13" t="s">
        <v>9</v>
      </c>
      <c r="B13" t="s">
        <v>31</v>
      </c>
      <c r="C13" s="1">
        <f>VLOOKUP(A13,'Week 13 Power Rankings'!C$3:D$34,2,FALSE)-VLOOKUP(B13,'Week 13 Power Rankings'!C$3:D$34,2,FALSE)-2</f>
        <v>8.9884678425565596</v>
      </c>
      <c r="D13">
        <v>6</v>
      </c>
      <c r="E13" t="s">
        <v>65</v>
      </c>
      <c r="F13" s="1">
        <f t="shared" si="0"/>
        <v>2.9884678425565596</v>
      </c>
      <c r="H13" t="s">
        <v>58</v>
      </c>
    </row>
    <row r="14" spans="1:11" x14ac:dyDescent="0.2">
      <c r="A14" t="s">
        <v>11</v>
      </c>
      <c r="B14" t="s">
        <v>21</v>
      </c>
      <c r="C14" s="1">
        <f>VLOOKUP(A14,'Week 13 Power Rankings'!C$3:D$34,2,FALSE)-VLOOKUP(B14,'Week 13 Power Rankings'!C$3:D$34,2,FALSE)-1.75</f>
        <v>2.5133893473631703</v>
      </c>
      <c r="D14">
        <v>2.5</v>
      </c>
      <c r="E14" t="s">
        <v>74</v>
      </c>
      <c r="F14" s="24">
        <f t="shared" si="0"/>
        <v>1.3389347363170323E-2</v>
      </c>
      <c r="H14" t="s">
        <v>57</v>
      </c>
    </row>
    <row r="15" spans="1:11" x14ac:dyDescent="0.2">
      <c r="A15" t="s">
        <v>12</v>
      </c>
      <c r="B15" t="s">
        <v>1</v>
      </c>
      <c r="C15" s="1">
        <f>VLOOKUP(A15,'Week 13 Power Rankings'!C$3:D$34,2,FALSE)-VLOOKUP(B15,'Week 13 Power Rankings'!C$3:D$34,2,FALSE)-1.25</f>
        <v>-5.3770488603629198</v>
      </c>
      <c r="D15">
        <v>-3</v>
      </c>
      <c r="E15" t="s">
        <v>72</v>
      </c>
      <c r="F15" s="1">
        <f>C15-D15</f>
        <v>-2.3770488603629198</v>
      </c>
      <c r="G15" t="s">
        <v>67</v>
      </c>
      <c r="H15" t="s">
        <v>58</v>
      </c>
    </row>
    <row r="16" spans="1:11" x14ac:dyDescent="0.2">
      <c r="A16" t="s">
        <v>13</v>
      </c>
      <c r="B16" t="s">
        <v>2</v>
      </c>
      <c r="C16" s="1">
        <f>VLOOKUP(A16,'Week 13 Power Rankings'!C$3:D$34,2,FALSE)-VLOOKUP(B16,'Week 13 Power Rankings'!C$3:D$34,2,FALSE)-2</f>
        <v>-7.9244795627609896</v>
      </c>
      <c r="D16">
        <v>-6.5</v>
      </c>
      <c r="E16" t="s">
        <v>85</v>
      </c>
      <c r="F16" s="1">
        <f t="shared" si="0"/>
        <v>-1.4244795627609896</v>
      </c>
      <c r="H16" t="s">
        <v>57</v>
      </c>
    </row>
    <row r="17" spans="1:8" x14ac:dyDescent="0.2">
      <c r="A17" t="s">
        <v>26</v>
      </c>
      <c r="B17" t="s">
        <v>17</v>
      </c>
      <c r="C17" s="1">
        <f>VLOOKUP(A17,'Week 13 Power Rankings'!C$3:D$34,2,FALSE)-VLOOKUP(B17,'Week 13 Power Rankings'!C$3:D$34,2,FALSE)-1.25</f>
        <v>-6.68535599544823</v>
      </c>
      <c r="D17">
        <v>-6</v>
      </c>
      <c r="E17" t="s">
        <v>73</v>
      </c>
      <c r="F17" s="1">
        <f t="shared" si="0"/>
        <v>-0.68535599544823</v>
      </c>
      <c r="G17" t="s">
        <v>66</v>
      </c>
      <c r="H17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F7AB-2B9B-A948-879B-2EA7CD62E898}">
  <dimension ref="A1:L17"/>
  <sheetViews>
    <sheetView workbookViewId="0">
      <selection activeCell="H15" sqref="H15"/>
    </sheetView>
  </sheetViews>
  <sheetFormatPr baseColWidth="10" defaultRowHeight="16" x14ac:dyDescent="0.2"/>
  <cols>
    <col min="4" max="4" width="23.6640625" bestFit="1" customWidth="1"/>
    <col min="5" max="5" width="31.1640625" bestFit="1" customWidth="1"/>
    <col min="8" max="8" width="13" bestFit="1" customWidth="1"/>
  </cols>
  <sheetData>
    <row r="1" spans="1:12" x14ac:dyDescent="0.2">
      <c r="A1" s="2" t="s">
        <v>32</v>
      </c>
      <c r="B1" s="2" t="s">
        <v>33</v>
      </c>
      <c r="C1" s="2" t="s">
        <v>34</v>
      </c>
      <c r="D1" s="2" t="s">
        <v>60</v>
      </c>
      <c r="E1" s="2" t="s">
        <v>35</v>
      </c>
      <c r="F1" s="2" t="s">
        <v>36</v>
      </c>
      <c r="G1" s="2" t="s">
        <v>37</v>
      </c>
      <c r="H1" s="2" t="s">
        <v>49</v>
      </c>
    </row>
    <row r="2" spans="1:12" x14ac:dyDescent="0.2">
      <c r="A2" t="s">
        <v>7</v>
      </c>
      <c r="B2" t="s">
        <v>3</v>
      </c>
      <c r="C2" s="1">
        <f>VLOOKUP(A2,'Week 14 Power Rankings'!C$3:D$34,2,FALSE)-VLOOKUP(B2,'Week 14 Power Rankings'!C$3:D$34,2,FALSE)-1</f>
        <v>-3.6315044630049096</v>
      </c>
      <c r="D2">
        <v>-3</v>
      </c>
      <c r="E2" t="s">
        <v>82</v>
      </c>
      <c r="F2" s="1">
        <f>C2-D2</f>
        <v>-0.63150446300490959</v>
      </c>
      <c r="H2" t="s">
        <v>58</v>
      </c>
    </row>
    <row r="3" spans="1:12" x14ac:dyDescent="0.2">
      <c r="A3" t="s">
        <v>18</v>
      </c>
      <c r="B3" t="s">
        <v>20</v>
      </c>
      <c r="C3" s="1">
        <f>VLOOKUP(A3,'Week 14 Power Rankings'!C$3:D$34,2,FALSE)-VLOOKUP(B3,'Week 14 Power Rankings'!C$3:D$34,2,FALSE)-1.75</f>
        <v>-5.3060597583923803</v>
      </c>
      <c r="D3">
        <v>-6.5</v>
      </c>
      <c r="E3" t="s">
        <v>71</v>
      </c>
      <c r="F3" s="1">
        <f t="shared" ref="F3:F14" si="0">C3-D3</f>
        <v>1.1939402416076197</v>
      </c>
      <c r="H3" t="s">
        <v>57</v>
      </c>
    </row>
    <row r="4" spans="1:12" x14ac:dyDescent="0.2">
      <c r="A4" t="s">
        <v>19</v>
      </c>
      <c r="B4" t="s">
        <v>14</v>
      </c>
      <c r="C4" s="1">
        <f>VLOOKUP(A4,'Week 14 Power Rankings'!C$3:D$34,2,FALSE)-VLOOKUP(B4,'Week 14 Power Rankings'!C$3:D$34,2,FALSE)-1.5</f>
        <v>-3.3405110715493702</v>
      </c>
      <c r="D4">
        <v>-5.5</v>
      </c>
      <c r="F4" s="1">
        <f t="shared" si="0"/>
        <v>2.1594889284506298</v>
      </c>
      <c r="G4" t="s">
        <v>57</v>
      </c>
      <c r="H4" t="s">
        <v>58</v>
      </c>
    </row>
    <row r="5" spans="1:12" x14ac:dyDescent="0.2">
      <c r="A5" t="s">
        <v>21</v>
      </c>
      <c r="B5" t="s">
        <v>28</v>
      </c>
      <c r="C5" s="1">
        <f>VLOOKUP(A5,'Week 14 Power Rankings'!C$3:D$34,2,FALSE)-VLOOKUP(B5,'Week 14 Power Rankings'!C$3:D$34,2,FALSE)-1.5</f>
        <v>2.5617312799226077</v>
      </c>
      <c r="D5">
        <v>5.5</v>
      </c>
      <c r="F5" s="1">
        <f t="shared" si="0"/>
        <v>-2.9382687200773923</v>
      </c>
      <c r="G5" t="s">
        <v>57</v>
      </c>
      <c r="H5" t="s">
        <v>57</v>
      </c>
    </row>
    <row r="6" spans="1:12" x14ac:dyDescent="0.2">
      <c r="A6" t="s">
        <v>31</v>
      </c>
      <c r="B6" t="s">
        <v>12</v>
      </c>
      <c r="C6" s="1">
        <f>VLOOKUP(A6,'Week 14 Power Rankings'!C$3:D$34,2,FALSE)-VLOOKUP(B6,'Week 14 Power Rankings'!C$3:D$34,2,FALSE)-1.5</f>
        <v>-12.98392699912413</v>
      </c>
      <c r="D6">
        <v>-14</v>
      </c>
      <c r="F6" s="1">
        <f t="shared" si="0"/>
        <v>1.0160730008758705</v>
      </c>
      <c r="H6" t="s">
        <v>57</v>
      </c>
      <c r="K6" s="2" t="s">
        <v>56</v>
      </c>
      <c r="L6" s="24">
        <f>COUNTIF(H2:H14, "Yes") / COUNTA(H2:H14)</f>
        <v>0.69230769230769229</v>
      </c>
    </row>
    <row r="7" spans="1:12" x14ac:dyDescent="0.2">
      <c r="A7" t="s">
        <v>26</v>
      </c>
      <c r="B7" t="s">
        <v>16</v>
      </c>
      <c r="C7" s="1">
        <f>VLOOKUP(A7,'Week 14 Power Rankings'!C$3:D$34,2,FALSE)-VLOOKUP(B7,'Week 14 Power Rankings'!C$3:D$34,2,FALSE)-1</f>
        <v>-6.44882301766292</v>
      </c>
      <c r="D7">
        <v>-6</v>
      </c>
      <c r="E7" t="s">
        <v>82</v>
      </c>
      <c r="F7" s="1">
        <f t="shared" si="0"/>
        <v>-0.44882301766291999</v>
      </c>
      <c r="H7" t="s">
        <v>57</v>
      </c>
    </row>
    <row r="8" spans="1:12" x14ac:dyDescent="0.2">
      <c r="A8" t="s">
        <v>30</v>
      </c>
      <c r="B8" t="s">
        <v>9</v>
      </c>
      <c r="C8" s="1">
        <f>VLOOKUP(A8,'Week 14 Power Rankings'!C$3:D$34,2,FALSE)-VLOOKUP(B8,'Week 14 Power Rankings'!C$3:D$34,2,FALSE)-1.5</f>
        <v>-10.093488051471271</v>
      </c>
      <c r="D8">
        <v>-7</v>
      </c>
      <c r="F8" s="1">
        <f t="shared" si="0"/>
        <v>-3.0934880514712706</v>
      </c>
      <c r="H8" t="s">
        <v>57</v>
      </c>
    </row>
    <row r="9" spans="1:12" x14ac:dyDescent="0.2">
      <c r="A9" t="s">
        <v>25</v>
      </c>
      <c r="B9" t="s">
        <v>27</v>
      </c>
      <c r="C9" s="1">
        <f>VLOOKUP(A9,'Week 14 Power Rankings'!C$3:D$34,2,FALSE)-VLOOKUP(B9,'Week 14 Power Rankings'!C$3:D$34,2,FALSE)-1</f>
        <v>-0.51089320206557987</v>
      </c>
      <c r="D9">
        <v>-3.5</v>
      </c>
      <c r="E9" t="s">
        <v>82</v>
      </c>
      <c r="F9" s="1">
        <f t="shared" si="0"/>
        <v>2.9891067979344204</v>
      </c>
      <c r="G9" t="s">
        <v>57</v>
      </c>
      <c r="H9" t="s">
        <v>57</v>
      </c>
    </row>
    <row r="10" spans="1:12" x14ac:dyDescent="0.2">
      <c r="A10" t="s">
        <v>15</v>
      </c>
      <c r="B10" t="s">
        <v>4</v>
      </c>
      <c r="C10" s="1">
        <f>VLOOKUP(A10,'Week 14 Power Rankings'!C$3:D$34,2,FALSE)-VLOOKUP(B10,'Week 14 Power Rankings'!C$3:D$34,2,FALSE)-1</f>
        <v>-4.0232081383871101</v>
      </c>
      <c r="D10">
        <v>-3</v>
      </c>
      <c r="E10" t="s">
        <v>82</v>
      </c>
      <c r="F10" s="1">
        <f t="shared" si="0"/>
        <v>-1.0232081383871101</v>
      </c>
      <c r="G10" t="s">
        <v>57</v>
      </c>
      <c r="H10" t="s">
        <v>58</v>
      </c>
    </row>
    <row r="11" spans="1:12" x14ac:dyDescent="0.2">
      <c r="A11" t="s">
        <v>2</v>
      </c>
      <c r="B11" t="s">
        <v>11</v>
      </c>
      <c r="C11" s="1">
        <f>VLOOKUP(A11,'Week 14 Power Rankings'!C$3:D$34,2,FALSE)-VLOOKUP(B11,'Week 14 Power Rankings'!C$3:D$34,2,FALSE)-1.75</f>
        <v>3.4068877163210196</v>
      </c>
      <c r="D11">
        <v>3.5</v>
      </c>
      <c r="E11" t="s">
        <v>69</v>
      </c>
      <c r="F11" s="1">
        <f t="shared" si="0"/>
        <v>-9.311228367898039E-2</v>
      </c>
      <c r="H11" t="s">
        <v>57</v>
      </c>
    </row>
    <row r="12" spans="1:12" x14ac:dyDescent="0.2">
      <c r="A12" t="s">
        <v>23</v>
      </c>
      <c r="B12" t="s">
        <v>13</v>
      </c>
      <c r="C12" s="1">
        <f>VLOOKUP(A12,'Week 14 Power Rankings'!C$3:D$34,2,FALSE)-VLOOKUP(B12,'Week 14 Power Rankings'!C$3:D$34,2,FALSE)-1.5</f>
        <v>-4.4310868510334771</v>
      </c>
      <c r="D12">
        <v>-3</v>
      </c>
      <c r="E12" t="s">
        <v>138</v>
      </c>
      <c r="F12" s="1">
        <f t="shared" si="0"/>
        <v>-1.4310868510334771</v>
      </c>
      <c r="H12" t="s">
        <v>57</v>
      </c>
    </row>
    <row r="13" spans="1:12" x14ac:dyDescent="0.2">
      <c r="A13" t="s">
        <v>6</v>
      </c>
      <c r="B13" t="s">
        <v>0</v>
      </c>
      <c r="C13" s="1">
        <f>VLOOKUP(A13,'Week 14 Power Rankings'!C$3:D$34,2,FALSE)-VLOOKUP(B13,'Week 14 Power Rankings'!C$3:D$34,2,FALSE)-1</f>
        <v>-4.6491054324783709</v>
      </c>
      <c r="D13">
        <v>-4.5</v>
      </c>
      <c r="E13" t="s">
        <v>82</v>
      </c>
      <c r="F13" s="1">
        <f t="shared" si="0"/>
        <v>-0.14910543247837094</v>
      </c>
      <c r="H13" t="s">
        <v>58</v>
      </c>
    </row>
    <row r="14" spans="1:12" x14ac:dyDescent="0.2">
      <c r="A14" t="s">
        <v>5</v>
      </c>
      <c r="B14" t="s">
        <v>29</v>
      </c>
      <c r="C14" s="1">
        <f>VLOOKUP(A14,'Week 14 Power Rankings'!C$3:D$34,2,FALSE)-VLOOKUP(B14,'Week 14 Power Rankings'!C$3:D$34,2,FALSE)-1.75</f>
        <v>7.4168929205466601</v>
      </c>
      <c r="D14">
        <v>5.5</v>
      </c>
      <c r="E14" t="s">
        <v>70</v>
      </c>
      <c r="F14" s="1">
        <f t="shared" si="0"/>
        <v>1.9168929205466601</v>
      </c>
      <c r="H14" t="s">
        <v>57</v>
      </c>
    </row>
    <row r="15" spans="1:12" x14ac:dyDescent="0.2">
      <c r="C15" s="1"/>
      <c r="F15" s="1"/>
    </row>
    <row r="16" spans="1:12" x14ac:dyDescent="0.2">
      <c r="C16" s="1"/>
      <c r="F16" s="1"/>
    </row>
    <row r="17" spans="3:6" x14ac:dyDescent="0.2">
      <c r="C17" s="1"/>
      <c r="F1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BCC4-97AA-C34C-B82D-5E0B09AEA41A}">
  <dimension ref="A1:L22"/>
  <sheetViews>
    <sheetView workbookViewId="0">
      <selection activeCell="H16" sqref="H16"/>
    </sheetView>
  </sheetViews>
  <sheetFormatPr baseColWidth="10" defaultRowHeight="16" x14ac:dyDescent="0.2"/>
  <cols>
    <col min="4" max="4" width="23.6640625" bestFit="1" customWidth="1"/>
    <col min="5" max="5" width="39.5" bestFit="1" customWidth="1"/>
    <col min="7" max="7" width="27.6640625" bestFit="1" customWidth="1"/>
    <col min="8" max="8" width="13" bestFit="1" customWidth="1"/>
  </cols>
  <sheetData>
    <row r="1" spans="1:12" x14ac:dyDescent="0.2">
      <c r="A1" s="2" t="s">
        <v>32</v>
      </c>
      <c r="B1" s="2" t="s">
        <v>33</v>
      </c>
      <c r="C1" s="2" t="s">
        <v>34</v>
      </c>
      <c r="D1" s="2" t="s">
        <v>60</v>
      </c>
      <c r="E1" s="2" t="s">
        <v>35</v>
      </c>
      <c r="F1" s="2" t="s">
        <v>36</v>
      </c>
      <c r="G1" s="2" t="s">
        <v>37</v>
      </c>
      <c r="H1" s="2" t="s">
        <v>49</v>
      </c>
    </row>
    <row r="2" spans="1:12" x14ac:dyDescent="0.2">
      <c r="A2" t="s">
        <v>11</v>
      </c>
      <c r="B2" t="s">
        <v>13</v>
      </c>
      <c r="C2" s="1">
        <f>VLOOKUP(A2,'Week 15 Power Rankings'!C$3:D$34,2,FALSE)-VLOOKUP(B2,'Week 15 Power Rankings'!C$3:D$34,2,FALSE)-2</f>
        <v>-0.47715607951774963</v>
      </c>
      <c r="D2">
        <v>-3</v>
      </c>
      <c r="E2" t="s">
        <v>82</v>
      </c>
      <c r="F2" s="1">
        <f>C2-D2</f>
        <v>2.5228439204822504</v>
      </c>
      <c r="G2" t="s">
        <v>142</v>
      </c>
      <c r="H2" t="s">
        <v>57</v>
      </c>
    </row>
    <row r="3" spans="1:12" x14ac:dyDescent="0.2">
      <c r="A3" t="s">
        <v>29</v>
      </c>
      <c r="B3" t="s">
        <v>31</v>
      </c>
      <c r="C3" s="1">
        <f>VLOOKUP(A3,'Week 15 Power Rankings'!C$3:D$34,2,FALSE)-VLOOKUP(B3,'Week 15 Power Rankings'!C$3:D$34,2,FALSE)-1.5</f>
        <v>-0.22053489116578007</v>
      </c>
      <c r="D3">
        <v>-2.5</v>
      </c>
      <c r="F3" s="1">
        <f t="shared" ref="F3:F17" si="0">C3-D3</f>
        <v>2.2794651088342199</v>
      </c>
      <c r="G3" t="s">
        <v>147</v>
      </c>
      <c r="H3" t="s">
        <v>57</v>
      </c>
    </row>
    <row r="4" spans="1:12" x14ac:dyDescent="0.2">
      <c r="A4" t="s">
        <v>0</v>
      </c>
      <c r="B4" t="s">
        <v>26</v>
      </c>
      <c r="C4" s="1">
        <f>VLOOKUP(A4,'Week 15 Power Rankings'!C$3:D$34,2,FALSE)-VLOOKUP(B4,'Week 15 Power Rankings'!C$3:D$34,2,FALSE)-1.5</f>
        <v>9.8047232170585108</v>
      </c>
      <c r="D4">
        <v>4</v>
      </c>
      <c r="F4" s="1">
        <f t="shared" si="0"/>
        <v>5.8047232170585108</v>
      </c>
      <c r="H4" t="s">
        <v>57</v>
      </c>
    </row>
    <row r="5" spans="1:12" x14ac:dyDescent="0.2">
      <c r="A5" t="s">
        <v>20</v>
      </c>
      <c r="B5" t="s">
        <v>10</v>
      </c>
      <c r="C5" s="1">
        <f>VLOOKUP(A5,'Week 15 Power Rankings'!C$3:D$34,2,FALSE)-VLOOKUP(B5,'Week 15 Power Rankings'!C$3:D$34,2,FALSE)-1.75</f>
        <v>-1.4820400120124306</v>
      </c>
      <c r="D5">
        <v>-2.5</v>
      </c>
      <c r="E5" t="s">
        <v>134</v>
      </c>
      <c r="F5" s="1">
        <f t="shared" si="0"/>
        <v>1.0179599879875694</v>
      </c>
      <c r="H5" t="s">
        <v>58</v>
      </c>
    </row>
    <row r="6" spans="1:12" x14ac:dyDescent="0.2">
      <c r="A6" t="s">
        <v>5</v>
      </c>
      <c r="B6" t="s">
        <v>27</v>
      </c>
      <c r="C6" s="1">
        <f>VLOOKUP(A6,'Week 15 Power Rankings'!C$3:D$34,2,FALSE)-VLOOKUP(B6,'Week 15 Power Rankings'!C$3:D$34,2,FALSE)-1.75</f>
        <v>7.4724237895210006</v>
      </c>
      <c r="D6">
        <v>5</v>
      </c>
      <c r="E6" t="s">
        <v>143</v>
      </c>
      <c r="F6" s="1">
        <f t="shared" si="0"/>
        <v>2.4724237895210006</v>
      </c>
      <c r="G6" t="s">
        <v>135</v>
      </c>
      <c r="H6" t="s">
        <v>57</v>
      </c>
      <c r="K6" s="2" t="s">
        <v>56</v>
      </c>
      <c r="L6" s="24">
        <f>COUNTIF(H2:H17, "Yes") / COUNTA(H2:H17)</f>
        <v>0.5714285714285714</v>
      </c>
    </row>
    <row r="7" spans="1:12" x14ac:dyDescent="0.2">
      <c r="A7" t="s">
        <v>8</v>
      </c>
      <c r="B7" t="s">
        <v>21</v>
      </c>
      <c r="C7" s="1">
        <f>VLOOKUP(A7,'Week 15 Power Rankings'!C$3:D$34,2,FALSE)-VLOOKUP(B7,'Week 15 Power Rankings'!C$3:D$34,2,FALSE)-1.25</f>
        <v>5.8135487468175917</v>
      </c>
      <c r="D7">
        <v>7.5</v>
      </c>
      <c r="E7" t="s">
        <v>140</v>
      </c>
      <c r="F7" s="1">
        <f t="shared" si="0"/>
        <v>-1.6864512531824083</v>
      </c>
      <c r="H7" t="s">
        <v>58</v>
      </c>
    </row>
    <row r="8" spans="1:12" x14ac:dyDescent="0.2">
      <c r="A8" t="s">
        <v>18</v>
      </c>
      <c r="B8" t="s">
        <v>25</v>
      </c>
      <c r="C8" s="1">
        <f>VLOOKUP(A8,'Week 15 Power Rankings'!C$3:D$34,2,FALSE)-VLOOKUP(B8,'Week 15 Power Rankings'!C$3:D$34,2,FALSE)-1.5</f>
        <v>1.7665438829314</v>
      </c>
      <c r="D8">
        <v>3.5</v>
      </c>
      <c r="F8" s="1">
        <f t="shared" si="0"/>
        <v>-1.7334561170686</v>
      </c>
      <c r="G8" t="s">
        <v>136</v>
      </c>
      <c r="H8" t="s">
        <v>58</v>
      </c>
    </row>
    <row r="9" spans="1:12" x14ac:dyDescent="0.2">
      <c r="A9" t="s">
        <v>1</v>
      </c>
      <c r="B9" t="s">
        <v>28</v>
      </c>
      <c r="C9" s="1">
        <f>VLOOKUP(A9,'Week 15 Power Rankings'!C$3:D$34,2,FALSE)-VLOOKUP(B9,'Week 15 Power Rankings'!C$3:D$34,2,FALSE)-1.25</f>
        <v>12.56338414382479</v>
      </c>
      <c r="D9">
        <v>16</v>
      </c>
      <c r="E9" t="s">
        <v>132</v>
      </c>
      <c r="F9" s="1">
        <f t="shared" si="0"/>
        <v>-3.4366158561752105</v>
      </c>
      <c r="G9" t="s">
        <v>144</v>
      </c>
      <c r="H9" t="s">
        <v>58</v>
      </c>
    </row>
    <row r="10" spans="1:12" x14ac:dyDescent="0.2">
      <c r="A10" t="s">
        <v>16</v>
      </c>
      <c r="B10" t="s">
        <v>12</v>
      </c>
      <c r="C10" s="1">
        <f>VLOOKUP(A10,'Week 15 Power Rankings'!C$3:D$34,2,FALSE)-VLOOKUP(B10,'Week 15 Power Rankings'!C$3:D$34,2,FALSE)-1.5</f>
        <v>-4.5407865099820999</v>
      </c>
      <c r="D10">
        <v>-5.5</v>
      </c>
      <c r="F10" s="1">
        <f t="shared" si="0"/>
        <v>0.95921349001790013</v>
      </c>
      <c r="H10" t="s">
        <v>58</v>
      </c>
    </row>
    <row r="11" spans="1:12" x14ac:dyDescent="0.2">
      <c r="A11" t="s">
        <v>22</v>
      </c>
      <c r="B11" t="s">
        <v>17</v>
      </c>
      <c r="C11" s="1">
        <f>VLOOKUP(A11,'Week 15 Power Rankings'!C$3:D$34,2,FALSE)-VLOOKUP(B11,'Week 15 Power Rankings'!C$3:D$34,2,FALSE)-1.25</f>
        <v>-4.3052577877606817</v>
      </c>
      <c r="D11">
        <v>-4</v>
      </c>
      <c r="E11" t="s">
        <v>139</v>
      </c>
      <c r="F11" s="1">
        <f t="shared" si="0"/>
        <v>-0.30525778776068169</v>
      </c>
      <c r="H11" t="s">
        <v>57</v>
      </c>
    </row>
    <row r="12" spans="1:12" x14ac:dyDescent="0.2">
      <c r="A12" t="s">
        <v>2</v>
      </c>
      <c r="B12" t="s">
        <v>3</v>
      </c>
      <c r="C12" s="1">
        <f>VLOOKUP(A12,'Week 15 Power Rankings'!C$3:D$34,2,FALSE)-VLOOKUP(B12,'Week 15 Power Rankings'!C$3:D$34,2,FALSE)-1.75</f>
        <v>-0.65487046801426096</v>
      </c>
      <c r="D12">
        <v>-2.5</v>
      </c>
      <c r="E12" t="s">
        <v>133</v>
      </c>
      <c r="F12" s="1">
        <f t="shared" si="0"/>
        <v>1.845129531985739</v>
      </c>
      <c r="G12" t="s">
        <v>142</v>
      </c>
      <c r="H12" t="s">
        <v>57</v>
      </c>
    </row>
    <row r="13" spans="1:12" x14ac:dyDescent="0.2">
      <c r="A13" t="s">
        <v>9</v>
      </c>
      <c r="B13" t="s">
        <v>6</v>
      </c>
      <c r="C13" s="1">
        <f>VLOOKUP(A13,'Week 15 Power Rankings'!C$3:D$34,2,FALSE)-VLOOKUP(B13,'Week 15 Power Rankings'!C$3:D$34,2,FALSE)-1.75</f>
        <v>-2.3716668278604196</v>
      </c>
      <c r="D13">
        <v>-3</v>
      </c>
      <c r="F13" s="1">
        <f t="shared" si="0"/>
        <v>0.6283331721395804</v>
      </c>
      <c r="H13" t="s">
        <v>57</v>
      </c>
    </row>
    <row r="14" spans="1:12" x14ac:dyDescent="0.2">
      <c r="A14" t="s">
        <v>24</v>
      </c>
      <c r="B14" t="s">
        <v>4</v>
      </c>
      <c r="C14" s="1">
        <f>VLOOKUP(A14,'Week 15 Power Rankings'!C$3:D$34,2,FALSE)-VLOOKUP(B14,'Week 15 Power Rankings'!C$3:D$34,2,FALSE)-1.25</f>
        <v>-8.8105372786257306</v>
      </c>
      <c r="D14">
        <v>-6</v>
      </c>
      <c r="F14" s="1">
        <f t="shared" si="0"/>
        <v>-2.8105372786257306</v>
      </c>
      <c r="G14" t="s">
        <v>137</v>
      </c>
      <c r="H14" t="s">
        <v>57</v>
      </c>
    </row>
    <row r="15" spans="1:12" x14ac:dyDescent="0.2">
      <c r="A15" t="s">
        <v>7</v>
      </c>
      <c r="B15" t="s">
        <v>15</v>
      </c>
      <c r="C15" s="1">
        <f>VLOOKUP(A15,'Week 15 Power Rankings'!C$3:D$34,2,FALSE)-VLOOKUP(B15,'Week 15 Power Rankings'!C$3:D$34,2,FALSE)-1.5</f>
        <v>2.2687061163751596</v>
      </c>
      <c r="D15">
        <v>2.5</v>
      </c>
      <c r="F15" s="1">
        <f t="shared" si="0"/>
        <v>-0.23129388362484038</v>
      </c>
      <c r="H15" t="s">
        <v>58</v>
      </c>
    </row>
    <row r="16" spans="1:12" x14ac:dyDescent="0.2">
      <c r="A16" t="s">
        <v>23</v>
      </c>
      <c r="B16" t="s">
        <v>14</v>
      </c>
      <c r="C16" s="1">
        <f>VLOOKUP(A16,'Week 15 Power Rankings'!C$3:D$34,2,FALSE)-VLOOKUP(B16,'Week 15 Power Rankings'!C$3:D$34,2,FALSE)-1.25</f>
        <v>-6.187571384650564</v>
      </c>
      <c r="D16">
        <v>-7</v>
      </c>
      <c r="F16" s="1">
        <f t="shared" si="0"/>
        <v>0.812428615349436</v>
      </c>
      <c r="G16" t="s">
        <v>145</v>
      </c>
    </row>
    <row r="17" spans="1:6" x14ac:dyDescent="0.2">
      <c r="A17" t="s">
        <v>19</v>
      </c>
      <c r="B17" t="s">
        <v>30</v>
      </c>
      <c r="C17" s="1">
        <f>VLOOKUP(A17,'Week 15 Power Rankings'!C$3:D$34,2,FALSE)-VLOOKUP(B17,'Week 15 Power Rankings'!C$3:D$34,2,FALSE)-1.5</f>
        <v>4.6852493485696804</v>
      </c>
      <c r="D17">
        <v>4</v>
      </c>
      <c r="F17" s="1">
        <f t="shared" si="0"/>
        <v>0.68524934856968045</v>
      </c>
    </row>
    <row r="18" spans="1:6" x14ac:dyDescent="0.2">
      <c r="C18" s="1"/>
    </row>
    <row r="19" spans="1:6" x14ac:dyDescent="0.2">
      <c r="C19" s="1"/>
    </row>
    <row r="20" spans="1:6" x14ac:dyDescent="0.2">
      <c r="C20" s="1"/>
    </row>
    <row r="21" spans="1:6" x14ac:dyDescent="0.2">
      <c r="C21" s="1"/>
    </row>
    <row r="22" spans="1:6" x14ac:dyDescent="0.2">
      <c r="C2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3F06-3C3B-7447-BE57-F801B903F12F}">
  <dimension ref="A1:L17"/>
  <sheetViews>
    <sheetView tabSelected="1" workbookViewId="0">
      <selection activeCell="D14" sqref="D14"/>
    </sheetView>
  </sheetViews>
  <sheetFormatPr baseColWidth="10" defaultRowHeight="16" x14ac:dyDescent="0.2"/>
  <cols>
    <col min="4" max="4" width="23.6640625" bestFit="1" customWidth="1"/>
    <col min="5" max="5" width="32.33203125" bestFit="1" customWidth="1"/>
    <col min="7" max="7" width="22.5" bestFit="1" customWidth="1"/>
    <col min="8" max="8" width="13" bestFit="1" customWidth="1"/>
  </cols>
  <sheetData>
    <row r="1" spans="1:12" x14ac:dyDescent="0.2">
      <c r="A1" s="2" t="s">
        <v>32</v>
      </c>
      <c r="B1" s="2" t="s">
        <v>33</v>
      </c>
      <c r="C1" s="2" t="s">
        <v>34</v>
      </c>
      <c r="D1" s="2" t="s">
        <v>60</v>
      </c>
      <c r="E1" s="2" t="s">
        <v>35</v>
      </c>
      <c r="F1" s="2" t="s">
        <v>36</v>
      </c>
      <c r="G1" s="2" t="s">
        <v>37</v>
      </c>
      <c r="H1" s="2" t="s">
        <v>49</v>
      </c>
    </row>
    <row r="2" spans="1:12" x14ac:dyDescent="0.2">
      <c r="A2" t="s">
        <v>26</v>
      </c>
      <c r="B2" t="s">
        <v>5</v>
      </c>
      <c r="C2" s="1">
        <f>VLOOKUP(A2,'Week 16 Power Rankings'!C$3:D$34,2,FALSE)-VLOOKUP(B2,'Week 16 Power Rankings'!C$3:D$34,2,FALSE)-1</f>
        <v>-9.2129020561073904</v>
      </c>
      <c r="D2">
        <v>-7</v>
      </c>
      <c r="E2" t="s">
        <v>82</v>
      </c>
      <c r="F2" s="1">
        <f>C2-D2</f>
        <v>-2.2129020561073904</v>
      </c>
    </row>
    <row r="3" spans="1:12" x14ac:dyDescent="0.2">
      <c r="A3" t="s">
        <v>17</v>
      </c>
      <c r="B3" t="s">
        <v>6</v>
      </c>
      <c r="C3" s="1">
        <f>VLOOKUP(A3,'Week 16 Power Rankings'!C$3:D$34,2,FALSE)-VLOOKUP(B3,'Week 16 Power Rankings'!C$3:D$34,2,FALSE)-1</f>
        <v>-2.8627424772538999</v>
      </c>
      <c r="D3">
        <v>-3</v>
      </c>
      <c r="E3" t="s">
        <v>82</v>
      </c>
      <c r="F3" s="1">
        <f t="shared" ref="F3:F17" si="0">C3-D3</f>
        <v>0.13725752274610015</v>
      </c>
    </row>
    <row r="4" spans="1:12" x14ac:dyDescent="0.2">
      <c r="A4" t="s">
        <v>10</v>
      </c>
      <c r="B4" t="s">
        <v>0</v>
      </c>
      <c r="C4" s="1">
        <f>VLOOKUP(A4,'Week 16 Power Rankings'!C$3:D$34,2,FALSE)-VLOOKUP(B4,'Week 16 Power Rankings'!C$3:D$34,2,FALSE)+5</f>
        <v>0.31173717983764959</v>
      </c>
      <c r="D4">
        <v>2.5</v>
      </c>
      <c r="F4" s="1">
        <f t="shared" si="0"/>
        <v>-2.1882628201623504</v>
      </c>
      <c r="G4" t="s">
        <v>57</v>
      </c>
    </row>
    <row r="5" spans="1:12" x14ac:dyDescent="0.2">
      <c r="A5" t="s">
        <v>16</v>
      </c>
      <c r="B5" t="s">
        <v>1</v>
      </c>
      <c r="C5" s="1">
        <f>VLOOKUP(A5,'Week 16 Power Rankings'!C$3:D$34,2,FALSE)-VLOOKUP(B5,'Week 16 Power Rankings'!C$3:D$34,2,FALSE)-1</f>
        <v>-8.4630369135683701</v>
      </c>
      <c r="D5">
        <v>-6.5</v>
      </c>
      <c r="E5" t="s">
        <v>82</v>
      </c>
      <c r="F5" s="1">
        <f t="shared" si="0"/>
        <v>-1.9630369135683701</v>
      </c>
    </row>
    <row r="6" spans="1:12" x14ac:dyDescent="0.2">
      <c r="A6" t="s">
        <v>11</v>
      </c>
      <c r="B6" t="s">
        <v>18</v>
      </c>
      <c r="C6" s="1">
        <f>VLOOKUP(A6,'Week 16 Power Rankings'!C$3:D$34,2,FALSE)-VLOOKUP(B6,'Week 16 Power Rankings'!C$3:D$34,2,FALSE)-1.5</f>
        <v>2.9092669200633798</v>
      </c>
      <c r="D6">
        <v>3</v>
      </c>
      <c r="F6" s="1">
        <f t="shared" si="0"/>
        <v>-9.0733079936620165E-2</v>
      </c>
      <c r="K6" s="2" t="s">
        <v>56</v>
      </c>
      <c r="L6" s="24" t="e">
        <f>COUNTIF(H2:H17, "Yes") / COUNTA(H2:H17)</f>
        <v>#DIV/0!</v>
      </c>
    </row>
    <row r="7" spans="1:12" x14ac:dyDescent="0.2">
      <c r="A7" t="s">
        <v>12</v>
      </c>
      <c r="B7" t="s">
        <v>8</v>
      </c>
      <c r="C7" s="1">
        <f>VLOOKUP(A7,'Week 16 Power Rankings'!C$3:D$34,2,FALSE)-VLOOKUP(B7,'Week 16 Power Rankings'!C$3:D$34,2,FALSE)-1</f>
        <v>0.65680647419897031</v>
      </c>
      <c r="D7">
        <v>3.5</v>
      </c>
      <c r="E7" s="51" t="s">
        <v>82</v>
      </c>
      <c r="F7" s="1">
        <f t="shared" si="0"/>
        <v>-2.8431935258010297</v>
      </c>
      <c r="G7" t="s">
        <v>57</v>
      </c>
    </row>
    <row r="8" spans="1:12" x14ac:dyDescent="0.2">
      <c r="A8" t="s">
        <v>4</v>
      </c>
      <c r="B8" t="s">
        <v>31</v>
      </c>
      <c r="C8" s="1">
        <f>VLOOKUP(A8,'Week 16 Power Rankings'!C$3:D$34,2,FALSE)-VLOOKUP(B8,'Week 16 Power Rankings'!C$3:D$34,2,FALSE)-1.5</f>
        <v>8.0332992701781194</v>
      </c>
      <c r="D8">
        <v>4.5</v>
      </c>
      <c r="F8" s="1">
        <f t="shared" si="0"/>
        <v>3.5332992701781194</v>
      </c>
      <c r="G8" t="s">
        <v>57</v>
      </c>
    </row>
    <row r="9" spans="1:12" x14ac:dyDescent="0.2">
      <c r="A9" t="s">
        <v>27</v>
      </c>
      <c r="B9" t="s">
        <v>22</v>
      </c>
      <c r="C9" s="1">
        <f>VLOOKUP(A9,'Week 16 Power Rankings'!C$3:D$34,2,FALSE)-VLOOKUP(B9,'Week 16 Power Rankings'!C$3:D$34,2,FALSE)-1</f>
        <v>-3.4676420694022361</v>
      </c>
      <c r="D9">
        <v>-4.5</v>
      </c>
      <c r="E9" s="51" t="s">
        <v>82</v>
      </c>
      <c r="F9" s="1">
        <f t="shared" si="0"/>
        <v>1.0323579305977639</v>
      </c>
    </row>
    <row r="10" spans="1:12" x14ac:dyDescent="0.2">
      <c r="A10" t="s">
        <v>3</v>
      </c>
      <c r="B10" t="s">
        <v>23</v>
      </c>
      <c r="C10" s="1">
        <f>VLOOKUP(A10,'Week 16 Power Rankings'!C$3:D$34,2,FALSE)-VLOOKUP(B10,'Week 16 Power Rankings'!C$3:D$34,2,FALSE)-1</f>
        <v>8.1428351908257035</v>
      </c>
      <c r="D10">
        <v>7.5</v>
      </c>
      <c r="E10" s="51" t="s">
        <v>82</v>
      </c>
      <c r="F10" s="1">
        <f t="shared" si="0"/>
        <v>0.64283519082570351</v>
      </c>
    </row>
    <row r="11" spans="1:12" x14ac:dyDescent="0.2">
      <c r="A11" t="s">
        <v>24</v>
      </c>
      <c r="B11" t="s">
        <v>2</v>
      </c>
      <c r="C11" s="1">
        <f>VLOOKUP(A11,'Week 16 Power Rankings'!C$3:D$34,2,FALSE)-VLOOKUP(B11,'Week 16 Power Rankings'!C$3:D$34,2,FALSE)-1</f>
        <v>-14.209833825217521</v>
      </c>
      <c r="D11">
        <v>-14</v>
      </c>
      <c r="E11" s="51" t="s">
        <v>82</v>
      </c>
      <c r="F11" s="1">
        <f t="shared" si="0"/>
        <v>-0.2098338252175207</v>
      </c>
    </row>
    <row r="12" spans="1:12" x14ac:dyDescent="0.2">
      <c r="A12" t="s">
        <v>28</v>
      </c>
      <c r="B12" t="s">
        <v>19</v>
      </c>
      <c r="C12" s="1">
        <f>VLOOKUP(A12,'Week 16 Power Rankings'!C$3:D$34,2,FALSE)-VLOOKUP(B12,'Week 16 Power Rankings'!C$3:D$34,2,FALSE)-1.25</f>
        <v>-7.6806049283652005</v>
      </c>
      <c r="D12">
        <v>-10</v>
      </c>
      <c r="E12" s="51" t="s">
        <v>146</v>
      </c>
      <c r="F12" s="1">
        <f t="shared" si="0"/>
        <v>2.3193950716347995</v>
      </c>
    </row>
    <row r="13" spans="1:12" x14ac:dyDescent="0.2">
      <c r="A13" t="s">
        <v>14</v>
      </c>
      <c r="B13" t="s">
        <v>15</v>
      </c>
      <c r="C13" s="1">
        <f>VLOOKUP(A13,'Week 16 Power Rankings'!C$3:D$34,2,FALSE)-VLOOKUP(B13,'Week 16 Power Rankings'!C$3:D$34,2,FALSE)-1.5</f>
        <v>0.5543308623793699</v>
      </c>
      <c r="D13">
        <v>4.5</v>
      </c>
      <c r="F13" s="1">
        <f t="shared" si="0"/>
        <v>-3.9456691376206301</v>
      </c>
      <c r="G13" t="s">
        <v>57</v>
      </c>
    </row>
    <row r="14" spans="1:12" x14ac:dyDescent="0.2">
      <c r="A14" t="s">
        <v>13</v>
      </c>
      <c r="B14" t="s">
        <v>20</v>
      </c>
      <c r="C14" s="1">
        <f>VLOOKUP(A14,'Week 16 Power Rankings'!C$3:D$34,2,FALSE)-VLOOKUP(B14,'Week 16 Power Rankings'!C$3:D$34,2,FALSE)-1.5</f>
        <v>0.26514993199822978</v>
      </c>
      <c r="D14">
        <v>-2.5</v>
      </c>
      <c r="F14" s="1">
        <f t="shared" si="0"/>
        <v>2.7651499319982298</v>
      </c>
    </row>
    <row r="15" spans="1:12" x14ac:dyDescent="0.2">
      <c r="A15" t="s">
        <v>25</v>
      </c>
      <c r="B15" t="s">
        <v>30</v>
      </c>
      <c r="C15" s="1">
        <f>VLOOKUP(A15,'Week 16 Power Rankings'!C$3:D$34,2,FALSE)-VLOOKUP(B15,'Week 16 Power Rankings'!C$3:D$34,2,FALSE)-1.25</f>
        <v>0.33813539202535003</v>
      </c>
      <c r="D15">
        <v>-1.5</v>
      </c>
      <c r="E15" s="51" t="s">
        <v>75</v>
      </c>
      <c r="F15" s="1">
        <f t="shared" si="0"/>
        <v>1.83813539202535</v>
      </c>
      <c r="G15" t="s">
        <v>57</v>
      </c>
    </row>
    <row r="16" spans="1:12" x14ac:dyDescent="0.2">
      <c r="A16" t="s">
        <v>9</v>
      </c>
      <c r="B16" t="s">
        <v>29</v>
      </c>
      <c r="C16" s="1">
        <f>VLOOKUP(A16,'Week 16 Power Rankings'!C$3:D$34,2,FALSE)-VLOOKUP(B16,'Week 16 Power Rankings'!C$3:D$34,2,FALSE)-1.5</f>
        <v>6.7822344582418506</v>
      </c>
      <c r="D16">
        <v>4.5</v>
      </c>
      <c r="F16" s="1">
        <f t="shared" si="0"/>
        <v>2.2822344582418506</v>
      </c>
      <c r="G16" t="s">
        <v>57</v>
      </c>
    </row>
    <row r="17" spans="1:6" x14ac:dyDescent="0.2">
      <c r="A17" t="s">
        <v>21</v>
      </c>
      <c r="B17" t="s">
        <v>7</v>
      </c>
      <c r="C17" s="1">
        <f>VLOOKUP(A17,'Week 16 Power Rankings'!C$3:D$34,2,FALSE)-VLOOKUP(B17,'Week 16 Power Rankings'!C$3:D$34,2,FALSE)-1.5</f>
        <v>-8.5401819918058486</v>
      </c>
      <c r="D17">
        <v>-13.5</v>
      </c>
      <c r="F17" s="1">
        <f t="shared" si="0"/>
        <v>4.9598180081941514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CD61-8EBB-D641-A38E-381B6EC5B104}">
  <dimension ref="A1:N37"/>
  <sheetViews>
    <sheetView zoomScale="80" zoomScaleNormal="80" workbookViewId="0">
      <selection activeCell="N2" sqref="N2"/>
    </sheetView>
  </sheetViews>
  <sheetFormatPr baseColWidth="10" defaultRowHeight="16" x14ac:dyDescent="0.2"/>
  <cols>
    <col min="1" max="1" width="11.6640625" style="2" bestFit="1" customWidth="1"/>
    <col min="2" max="2" width="14.33203125" style="2" bestFit="1" customWidth="1"/>
    <col min="3" max="3" width="9.33203125" bestFit="1" customWidth="1"/>
    <col min="4" max="4" width="15.83203125" bestFit="1" customWidth="1"/>
    <col min="5" max="5" width="12.5" bestFit="1" customWidth="1"/>
    <col min="6" max="6" width="29.1640625" bestFit="1" customWidth="1"/>
    <col min="7" max="7" width="23.6640625" bestFit="1" customWidth="1"/>
    <col min="8" max="8" width="15.1640625" bestFit="1" customWidth="1"/>
    <col min="9" max="9" width="24" bestFit="1" customWidth="1"/>
    <col min="10" max="10" width="15.33203125" bestFit="1" customWidth="1"/>
    <col min="11" max="11" width="14.33203125" customWidth="1"/>
    <col min="12" max="12" width="34.33203125" customWidth="1"/>
    <col min="13" max="14" width="9.83203125" customWidth="1"/>
    <col min="16" max="16" width="10.83203125" customWidth="1"/>
  </cols>
  <sheetData>
    <row r="1" spans="1:14" ht="24" x14ac:dyDescent="0.3">
      <c r="A1" s="52" t="s">
        <v>123</v>
      </c>
      <c r="B1" s="52"/>
      <c r="C1" s="52"/>
      <c r="D1" s="52"/>
      <c r="E1" s="52"/>
      <c r="F1" s="52"/>
      <c r="G1" s="52"/>
      <c r="H1" s="52"/>
      <c r="I1" s="52"/>
      <c r="J1" s="52"/>
      <c r="K1" s="43"/>
      <c r="M1" s="44" t="s">
        <v>130</v>
      </c>
      <c r="N1" s="44" t="s">
        <v>131</v>
      </c>
    </row>
    <row r="2" spans="1:14" s="2" customFormat="1" x14ac:dyDescent="0.2">
      <c r="A2" s="3" t="s">
        <v>40</v>
      </c>
      <c r="B2" s="3" t="s">
        <v>62</v>
      </c>
      <c r="C2" s="3" t="s">
        <v>39</v>
      </c>
      <c r="D2" s="3" t="s">
        <v>41</v>
      </c>
      <c r="E2" s="3" t="s">
        <v>42</v>
      </c>
      <c r="F2" s="3" t="s">
        <v>61</v>
      </c>
      <c r="G2" s="3" t="s">
        <v>44</v>
      </c>
      <c r="H2" s="3" t="s">
        <v>45</v>
      </c>
      <c r="I2" s="3" t="s">
        <v>46</v>
      </c>
      <c r="J2" s="3" t="s">
        <v>47</v>
      </c>
      <c r="L2" s="45" t="str">
        <f>"Line Prediction (" &amp; M2 &amp; " vs " &amp; N2 &amp; "): " &amp; ROUND(INDEX(D$3:D$34, MATCH(M2, C$3:C$34, 0)) - INDEX(D$3:D$34, MATCH(N2, C$3:C$34, 0)) - 1.5, 1)</f>
        <v>Line Prediction (GB vs DET): -4.6</v>
      </c>
      <c r="M2" s="44" t="s">
        <v>7</v>
      </c>
      <c r="N2" s="44" t="s">
        <v>3</v>
      </c>
    </row>
    <row r="3" spans="1:14" x14ac:dyDescent="0.2">
      <c r="A3" s="16">
        <f t="shared" ref="A3:A34" si="0">_xlfn.RANK.EQ(D3,D$3:D$34,0)</f>
        <v>1</v>
      </c>
      <c r="B3" s="31" t="s">
        <v>63</v>
      </c>
      <c r="C3" s="17" t="s">
        <v>1</v>
      </c>
      <c r="D3" s="46">
        <v>11.0431501357393</v>
      </c>
      <c r="E3" s="18">
        <v>6.5</v>
      </c>
      <c r="F3" s="18">
        <f t="shared" ref="F3:F34" si="1">D3-E3</f>
        <v>4.5431501357392996</v>
      </c>
      <c r="G3" s="19">
        <v>4.4571328518491701E-2</v>
      </c>
      <c r="H3" s="19">
        <v>0.11611652769386099</v>
      </c>
      <c r="I3" s="19">
        <v>-1.07530492054514E-2</v>
      </c>
      <c r="J3" s="19">
        <v>2.5153609561661398E-2</v>
      </c>
      <c r="K3" s="24"/>
      <c r="L3" s="2"/>
      <c r="N3" s="2"/>
    </row>
    <row r="4" spans="1:14" x14ac:dyDescent="0.2">
      <c r="A4" s="16">
        <f t="shared" si="0"/>
        <v>2</v>
      </c>
      <c r="B4" s="31" t="s">
        <v>63</v>
      </c>
      <c r="C4" s="17" t="s">
        <v>0</v>
      </c>
      <c r="D4" s="18">
        <v>10.5851602313044</v>
      </c>
      <c r="E4" s="18">
        <v>7</v>
      </c>
      <c r="F4" s="18">
        <f t="shared" si="1"/>
        <v>3.5851602313043998</v>
      </c>
      <c r="G4" s="19">
        <v>4.8562694006515403E-2</v>
      </c>
      <c r="H4" s="19">
        <v>5.7849547507721998E-2</v>
      </c>
      <c r="I4" s="19">
        <v>-1.2637813637456001E-2</v>
      </c>
      <c r="J4" s="19">
        <v>-2.2301962567400999E-2</v>
      </c>
      <c r="K4" s="24"/>
      <c r="M4" s="1"/>
    </row>
    <row r="5" spans="1:14" x14ac:dyDescent="0.2">
      <c r="A5" s="16">
        <f t="shared" si="0"/>
        <v>3</v>
      </c>
      <c r="B5" s="31" t="s">
        <v>63</v>
      </c>
      <c r="C5" s="17" t="s">
        <v>2</v>
      </c>
      <c r="D5" s="18">
        <v>10.531849419662199</v>
      </c>
      <c r="E5" s="18">
        <v>6.5</v>
      </c>
      <c r="F5" s="18">
        <f t="shared" si="1"/>
        <v>4.0318494196621995</v>
      </c>
      <c r="G5" s="19">
        <v>2.8602215055686001E-2</v>
      </c>
      <c r="H5" s="19">
        <v>0.103090711333889</v>
      </c>
      <c r="I5" s="19">
        <v>8.4847466404503798E-3</v>
      </c>
      <c r="J5" s="19">
        <v>-1.7567195143007499E-2</v>
      </c>
      <c r="K5" s="24"/>
      <c r="L5" s="42" t="s">
        <v>50</v>
      </c>
    </row>
    <row r="6" spans="1:14" x14ac:dyDescent="0.2">
      <c r="A6" s="16">
        <f t="shared" si="0"/>
        <v>4</v>
      </c>
      <c r="B6" s="31" t="s">
        <v>64</v>
      </c>
      <c r="C6" s="17" t="s">
        <v>3</v>
      </c>
      <c r="D6" s="18">
        <v>10.3093787559412</v>
      </c>
      <c r="E6" s="18">
        <v>3.5</v>
      </c>
      <c r="F6" s="18">
        <f t="shared" si="1"/>
        <v>6.8093787559412</v>
      </c>
      <c r="G6" s="19">
        <v>5.1659973189337197E-2</v>
      </c>
      <c r="H6" s="19">
        <v>0.111951088568453</v>
      </c>
      <c r="I6" s="19">
        <v>-1.80292612763274E-2</v>
      </c>
      <c r="J6" s="19">
        <v>-9.4445392500464298E-2</v>
      </c>
      <c r="K6" s="24"/>
      <c r="L6" s="17" t="s">
        <v>51</v>
      </c>
    </row>
    <row r="7" spans="1:14" x14ac:dyDescent="0.2">
      <c r="A7" s="4">
        <f t="shared" si="0"/>
        <v>5</v>
      </c>
      <c r="B7" s="32" t="s">
        <v>64</v>
      </c>
      <c r="C7" s="5" t="s">
        <v>7</v>
      </c>
      <c r="D7" s="6">
        <v>7.1881986342759401</v>
      </c>
      <c r="E7" s="6">
        <v>4.5</v>
      </c>
      <c r="F7" s="6">
        <f t="shared" si="1"/>
        <v>2.6881986342759401</v>
      </c>
      <c r="G7" s="7">
        <v>9.6432805486961395E-3</v>
      </c>
      <c r="H7" s="7">
        <v>7.16648626594341E-2</v>
      </c>
      <c r="I7" s="7">
        <v>2.3801962009887202E-2</v>
      </c>
      <c r="J7" s="7">
        <v>-3.2710008546191299E-2</v>
      </c>
      <c r="K7" s="24"/>
      <c r="L7" s="5" t="s">
        <v>52</v>
      </c>
    </row>
    <row r="8" spans="1:14" x14ac:dyDescent="0.2">
      <c r="A8" s="4">
        <f t="shared" si="0"/>
        <v>6</v>
      </c>
      <c r="B8" s="32" t="s">
        <v>64</v>
      </c>
      <c r="C8" s="5" t="s">
        <v>12</v>
      </c>
      <c r="D8" s="6">
        <v>6.9161012753763798</v>
      </c>
      <c r="E8" s="6">
        <v>4.5</v>
      </c>
      <c r="F8" s="6">
        <f t="shared" si="1"/>
        <v>2.4161012753763798</v>
      </c>
      <c r="G8" s="7">
        <v>-1.1830833510035501E-2</v>
      </c>
      <c r="H8" s="7">
        <v>1.43348417328954E-2</v>
      </c>
      <c r="I8" s="7">
        <v>-2.0971922453419199E-2</v>
      </c>
      <c r="J8" s="7">
        <v>-7.0971894197478597E-2</v>
      </c>
      <c r="K8" s="24"/>
      <c r="L8" s="9" t="s">
        <v>126</v>
      </c>
    </row>
    <row r="9" spans="1:14" x14ac:dyDescent="0.2">
      <c r="A9" s="4">
        <f t="shared" si="0"/>
        <v>7</v>
      </c>
      <c r="B9" s="32" t="s">
        <v>63</v>
      </c>
      <c r="C9" s="5" t="s">
        <v>5</v>
      </c>
      <c r="D9" s="6">
        <v>6.7802831293887804</v>
      </c>
      <c r="E9" s="6">
        <v>6</v>
      </c>
      <c r="F9" s="6">
        <f t="shared" si="1"/>
        <v>0.78028312938878042</v>
      </c>
      <c r="G9" s="7">
        <v>2.3538343820272398E-2</v>
      </c>
      <c r="H9" s="7">
        <v>7.38529471956723E-2</v>
      </c>
      <c r="I9" s="7">
        <v>3.3815512820294699E-2</v>
      </c>
      <c r="J9" s="7">
        <v>7.5826559484188497E-2</v>
      </c>
      <c r="K9" s="24"/>
      <c r="L9" s="13" t="s">
        <v>54</v>
      </c>
    </row>
    <row r="10" spans="1:14" x14ac:dyDescent="0.2">
      <c r="A10" s="4">
        <f t="shared" si="0"/>
        <v>8</v>
      </c>
      <c r="B10" s="32" t="s">
        <v>64</v>
      </c>
      <c r="C10" s="5" t="s">
        <v>4</v>
      </c>
      <c r="D10" s="47">
        <v>6.5458197802337299</v>
      </c>
      <c r="E10" s="6">
        <v>4</v>
      </c>
      <c r="F10" s="6">
        <f t="shared" si="1"/>
        <v>2.5458197802337299</v>
      </c>
      <c r="G10" s="7">
        <v>3.8804989993000902E-2</v>
      </c>
      <c r="H10" s="7">
        <v>8.0652483127073502E-2</v>
      </c>
      <c r="I10" s="7">
        <v>2.6525635681801302E-2</v>
      </c>
      <c r="J10" s="7">
        <v>2.2299746408823401E-2</v>
      </c>
      <c r="K10" s="24"/>
      <c r="L10" s="28" t="s">
        <v>55</v>
      </c>
    </row>
    <row r="11" spans="1:14" x14ac:dyDescent="0.2">
      <c r="A11" s="4">
        <f t="shared" si="0"/>
        <v>9</v>
      </c>
      <c r="B11" s="32" t="s">
        <v>63</v>
      </c>
      <c r="C11" s="5" t="s">
        <v>6</v>
      </c>
      <c r="D11" s="6">
        <v>6.5410288362348403</v>
      </c>
      <c r="E11" s="6">
        <v>5.5</v>
      </c>
      <c r="F11" s="6">
        <f t="shared" si="1"/>
        <v>1.0410288362348403</v>
      </c>
      <c r="G11" s="7">
        <v>-4.1204146157664601E-2</v>
      </c>
      <c r="H11" s="7">
        <v>-4.0374208914442499E-3</v>
      </c>
      <c r="I11" s="7">
        <v>-2.3838443372727499E-2</v>
      </c>
      <c r="J11" s="7">
        <v>-9.2765120828420006E-2</v>
      </c>
      <c r="K11" s="24"/>
    </row>
    <row r="12" spans="1:14" x14ac:dyDescent="0.2">
      <c r="A12" s="4">
        <f t="shared" si="0"/>
        <v>10</v>
      </c>
      <c r="B12" s="32" t="s">
        <v>64</v>
      </c>
      <c r="C12" s="5" t="s">
        <v>9</v>
      </c>
      <c r="D12" s="6">
        <v>6.4173796371016802</v>
      </c>
      <c r="E12" s="6">
        <v>3</v>
      </c>
      <c r="F12" s="6">
        <f t="shared" si="1"/>
        <v>3.4173796371016802</v>
      </c>
      <c r="G12" s="7">
        <v>3.9123106570647E-2</v>
      </c>
      <c r="H12" s="7">
        <v>8.8719626236370794E-2</v>
      </c>
      <c r="I12" s="7">
        <v>1.7886252279928998E-2</v>
      </c>
      <c r="J12" s="7">
        <v>-2.30034849716583E-3</v>
      </c>
      <c r="K12" s="24"/>
      <c r="M12" s="2" t="s">
        <v>128</v>
      </c>
      <c r="N12" s="48">
        <f>AVERAGEIF($B$3:$B$34, "AFC", $D$3:$D$34)</f>
        <v>3.908317541857854</v>
      </c>
    </row>
    <row r="13" spans="1:14" x14ac:dyDescent="0.2">
      <c r="A13" s="4">
        <f t="shared" si="0"/>
        <v>11</v>
      </c>
      <c r="B13" s="32" t="s">
        <v>63</v>
      </c>
      <c r="C13" s="5" t="s">
        <v>10</v>
      </c>
      <c r="D13" s="6">
        <v>5.483317472285</v>
      </c>
      <c r="E13" s="6">
        <v>5.5</v>
      </c>
      <c r="F13" s="6">
        <f t="shared" si="1"/>
        <v>-1.6682527715000006E-2</v>
      </c>
      <c r="G13" s="7">
        <v>-2.8915477754983002E-2</v>
      </c>
      <c r="H13" s="7">
        <v>-2.29131526732044E-3</v>
      </c>
      <c r="I13" s="7">
        <v>-2.2789219025964001E-2</v>
      </c>
      <c r="J13" s="7">
        <v>-2.1655279439486499E-2</v>
      </c>
      <c r="K13" s="24"/>
      <c r="M13" s="2" t="s">
        <v>129</v>
      </c>
      <c r="N13" s="48">
        <f>AVERAGEIF($B$4:$B$35, "NFC", $D$4:$D$35)</f>
        <v>3.1723185414459798</v>
      </c>
    </row>
    <row r="14" spans="1:14" x14ac:dyDescent="0.2">
      <c r="A14" s="4">
        <f t="shared" si="0"/>
        <v>12</v>
      </c>
      <c r="B14" s="32" t="s">
        <v>64</v>
      </c>
      <c r="C14" s="5" t="s">
        <v>11</v>
      </c>
      <c r="D14" s="6">
        <v>5.4057110854178001</v>
      </c>
      <c r="E14" s="6">
        <v>5.5</v>
      </c>
      <c r="F14" s="6">
        <f t="shared" si="1"/>
        <v>-9.4288914582199901E-2</v>
      </c>
      <c r="G14" s="7">
        <v>2.7059864167026399E-2</v>
      </c>
      <c r="H14" s="7">
        <v>3.8690912163489399E-3</v>
      </c>
      <c r="I14" s="7">
        <v>1.0307380190712799E-2</v>
      </c>
      <c r="J14" s="7">
        <v>2.38857123566605E-2</v>
      </c>
      <c r="K14" s="24"/>
    </row>
    <row r="15" spans="1:14" x14ac:dyDescent="0.2">
      <c r="A15" s="4">
        <f t="shared" si="0"/>
        <v>13</v>
      </c>
      <c r="B15" s="32" t="s">
        <v>64</v>
      </c>
      <c r="C15" s="5" t="s">
        <v>8</v>
      </c>
      <c r="D15" s="6">
        <v>5.2670181563008196</v>
      </c>
      <c r="E15" s="6">
        <v>2.5</v>
      </c>
      <c r="F15" s="6">
        <f t="shared" si="1"/>
        <v>2.7670181563008196</v>
      </c>
      <c r="G15" s="7">
        <v>3.3682450747906101E-2</v>
      </c>
      <c r="H15" s="7">
        <v>0.100092216825086</v>
      </c>
      <c r="I15" s="7">
        <v>1.12896749385164E-2</v>
      </c>
      <c r="J15" s="7">
        <v>4.54232246535839E-2</v>
      </c>
      <c r="K15" s="24"/>
    </row>
    <row r="16" spans="1:14" x14ac:dyDescent="0.2">
      <c r="A16" s="8">
        <f t="shared" si="0"/>
        <v>14</v>
      </c>
      <c r="B16" s="33" t="s">
        <v>63</v>
      </c>
      <c r="C16" s="9" t="s">
        <v>20</v>
      </c>
      <c r="D16" s="10">
        <f>1.86383188901008+3</f>
        <v>4.86383188901008</v>
      </c>
      <c r="E16" s="10">
        <v>4</v>
      </c>
      <c r="F16" s="10">
        <f t="shared" si="1"/>
        <v>0.86383188901008001</v>
      </c>
      <c r="G16" s="11">
        <v>-1.35958458523519E-2</v>
      </c>
      <c r="H16" s="11">
        <v>-6.3952115805667301E-2</v>
      </c>
      <c r="I16" s="11">
        <v>-1.2615974622487499E-2</v>
      </c>
      <c r="J16" s="11">
        <v>3.34740549242038E-3</v>
      </c>
      <c r="K16" s="24"/>
      <c r="M16" s="1"/>
    </row>
    <row r="17" spans="1:13" x14ac:dyDescent="0.2">
      <c r="A17" s="8">
        <f t="shared" si="0"/>
        <v>15</v>
      </c>
      <c r="B17" s="33" t="s">
        <v>64</v>
      </c>
      <c r="C17" s="9" t="s">
        <v>14</v>
      </c>
      <c r="D17" s="10">
        <v>4.8151524979630604</v>
      </c>
      <c r="E17" s="10">
        <v>2</v>
      </c>
      <c r="F17" s="10">
        <f t="shared" si="1"/>
        <v>2.8151524979630604</v>
      </c>
      <c r="G17" s="11">
        <v>4.7951557303705901E-3</v>
      </c>
      <c r="H17" s="11">
        <v>9.3344749273186305E-3</v>
      </c>
      <c r="I17" s="11">
        <v>-3.0273969059110301E-2</v>
      </c>
      <c r="J17" s="11">
        <v>-9.8056491049879096E-2</v>
      </c>
      <c r="K17" s="24"/>
    </row>
    <row r="18" spans="1:13" x14ac:dyDescent="0.2">
      <c r="A18" s="8">
        <f t="shared" si="0"/>
        <v>16</v>
      </c>
      <c r="B18" s="33" t="s">
        <v>64</v>
      </c>
      <c r="C18" s="9" t="s">
        <v>13</v>
      </c>
      <c r="D18" s="10">
        <f>4.60736985690121</f>
        <v>4.6073698569012098</v>
      </c>
      <c r="E18" s="10">
        <v>4</v>
      </c>
      <c r="F18" s="10">
        <f t="shared" si="1"/>
        <v>0.60736985690120981</v>
      </c>
      <c r="G18" s="11">
        <v>2.0458182350859801E-2</v>
      </c>
      <c r="H18" s="11">
        <v>1.91861423201071E-2</v>
      </c>
      <c r="I18" s="11">
        <v>1.4135083078503001E-2</v>
      </c>
      <c r="J18" s="11">
        <v>1.33821362647973E-2</v>
      </c>
      <c r="K18" s="24"/>
    </row>
    <row r="19" spans="1:13" x14ac:dyDescent="0.2">
      <c r="A19" s="8">
        <f t="shared" si="0"/>
        <v>17</v>
      </c>
      <c r="B19" s="33" t="s">
        <v>64</v>
      </c>
      <c r="C19" s="9" t="s">
        <v>15</v>
      </c>
      <c r="D19" s="10">
        <v>3.6849359857888899</v>
      </c>
      <c r="E19" s="10">
        <v>3.5</v>
      </c>
      <c r="F19" s="10">
        <f t="shared" si="1"/>
        <v>0.18493598578888992</v>
      </c>
      <c r="G19" s="11">
        <v>-4.4916217429753404E-3</v>
      </c>
      <c r="H19" s="11">
        <v>-1.5057344547681401E-2</v>
      </c>
      <c r="I19" s="11">
        <v>-2.2735466225026899E-2</v>
      </c>
      <c r="J19" s="11">
        <v>-2.0395743620915899E-2</v>
      </c>
      <c r="K19" s="24"/>
    </row>
    <row r="20" spans="1:13" x14ac:dyDescent="0.2">
      <c r="A20" s="8">
        <f t="shared" si="0"/>
        <v>18</v>
      </c>
      <c r="B20" s="33" t="s">
        <v>63</v>
      </c>
      <c r="C20" s="9" t="s">
        <v>16</v>
      </c>
      <c r="D20" s="10">
        <v>3.60881001527975</v>
      </c>
      <c r="E20" s="10">
        <v>2.5</v>
      </c>
      <c r="F20" s="10">
        <f t="shared" si="1"/>
        <v>1.10881001527975</v>
      </c>
      <c r="G20" s="11">
        <v>-1.50977922630778E-2</v>
      </c>
      <c r="H20" s="11">
        <v>8.2721806501593106E-3</v>
      </c>
      <c r="I20" s="11">
        <v>-3.1672449662393203E-4</v>
      </c>
      <c r="J20" s="11">
        <v>-6.1666926745128102E-2</v>
      </c>
      <c r="K20" s="24"/>
    </row>
    <row r="21" spans="1:13" x14ac:dyDescent="0.2">
      <c r="A21" s="8">
        <f t="shared" si="0"/>
        <v>19</v>
      </c>
      <c r="B21" s="33" t="s">
        <v>63</v>
      </c>
      <c r="C21" s="9" t="s">
        <v>17</v>
      </c>
      <c r="D21" s="10">
        <v>3.5015564024889501</v>
      </c>
      <c r="E21" s="10">
        <v>2.5</v>
      </c>
      <c r="F21" s="10">
        <f t="shared" si="1"/>
        <v>1.0015564024889501</v>
      </c>
      <c r="G21" s="11">
        <v>-1.30300168519027E-2</v>
      </c>
      <c r="H21" s="11">
        <v>-1.86421795515266E-2</v>
      </c>
      <c r="I21" s="11">
        <v>-2.7506134518502999E-2</v>
      </c>
      <c r="J21" s="11">
        <v>-7.3699009627738898E-2</v>
      </c>
      <c r="K21" s="24"/>
    </row>
    <row r="22" spans="1:13" x14ac:dyDescent="0.2">
      <c r="A22" s="8">
        <f t="shared" si="0"/>
        <v>20</v>
      </c>
      <c r="B22" s="33" t="s">
        <v>64</v>
      </c>
      <c r="C22" s="9" t="s">
        <v>19</v>
      </c>
      <c r="D22" s="10">
        <v>3.1376145874310799</v>
      </c>
      <c r="E22" s="10">
        <v>3.5</v>
      </c>
      <c r="F22" s="10">
        <f t="shared" si="1"/>
        <v>-0.3623854125689201</v>
      </c>
      <c r="G22" s="11">
        <v>1.77097033355137E-2</v>
      </c>
      <c r="H22" s="11">
        <v>1.57039133614797E-2</v>
      </c>
      <c r="I22" s="11">
        <v>1.52306339824412E-2</v>
      </c>
      <c r="J22" s="11">
        <v>5.2389294353226597E-2</v>
      </c>
      <c r="K22" s="24"/>
    </row>
    <row r="23" spans="1:13" x14ac:dyDescent="0.2">
      <c r="A23" s="12">
        <f t="shared" si="0"/>
        <v>22</v>
      </c>
      <c r="B23" s="34" t="s">
        <v>64</v>
      </c>
      <c r="C23" s="13" t="s">
        <v>21</v>
      </c>
      <c r="D23" s="14">
        <v>1.14232173805463</v>
      </c>
      <c r="E23" s="14">
        <v>2.5</v>
      </c>
      <c r="F23" s="14">
        <f t="shared" si="1"/>
        <v>-1.35767826194537</v>
      </c>
      <c r="G23" s="15">
        <v>-2.4222250236157199E-2</v>
      </c>
      <c r="H23" s="15">
        <v>-3.8198558524969999E-2</v>
      </c>
      <c r="I23" s="15">
        <v>-5.9420785290709597E-3</v>
      </c>
      <c r="J23" s="15">
        <v>-1.52351785885799E-2</v>
      </c>
      <c r="K23" s="24"/>
      <c r="M23" s="1"/>
    </row>
    <row r="24" spans="1:13" x14ac:dyDescent="0.2">
      <c r="A24" s="12">
        <f t="shared" si="0"/>
        <v>23</v>
      </c>
      <c r="B24" s="34" t="s">
        <v>63</v>
      </c>
      <c r="C24" s="13" t="s">
        <v>22</v>
      </c>
      <c r="D24" s="14">
        <v>0.65567976209443701</v>
      </c>
      <c r="E24" s="14">
        <v>2</v>
      </c>
      <c r="F24" s="14">
        <f t="shared" si="1"/>
        <v>-1.344320237905563</v>
      </c>
      <c r="G24" s="15">
        <v>-2.8013522284232099E-2</v>
      </c>
      <c r="H24" s="15">
        <v>-3.1215485114393999E-2</v>
      </c>
      <c r="I24" s="15">
        <v>6.9912760887703004E-3</v>
      </c>
      <c r="J24" s="15">
        <v>-1.98675756981808E-2</v>
      </c>
      <c r="K24" s="24"/>
    </row>
    <row r="25" spans="1:13" x14ac:dyDescent="0.2">
      <c r="A25" s="12">
        <f t="shared" si="0"/>
        <v>24</v>
      </c>
      <c r="B25" s="34" t="s">
        <v>64</v>
      </c>
      <c r="C25" s="13" t="s">
        <v>23</v>
      </c>
      <c r="D25" s="14">
        <v>0.458676596181948</v>
      </c>
      <c r="E25" s="14">
        <v>2.5</v>
      </c>
      <c r="F25" s="14">
        <f t="shared" si="1"/>
        <v>-2.0413234038180521</v>
      </c>
      <c r="G25" s="15">
        <v>-3.9909561491130799E-2</v>
      </c>
      <c r="H25" s="15">
        <v>-5.2448727690580503E-2</v>
      </c>
      <c r="I25" s="15">
        <v>-1.2806566201243E-2</v>
      </c>
      <c r="J25" s="15">
        <v>-1.6888948557949399E-2</v>
      </c>
      <c r="K25" s="24"/>
    </row>
    <row r="26" spans="1:13" x14ac:dyDescent="0.2">
      <c r="A26" s="27">
        <f t="shared" si="0"/>
        <v>21</v>
      </c>
      <c r="B26" s="35" t="s">
        <v>63</v>
      </c>
      <c r="C26" s="28" t="s">
        <v>18</v>
      </c>
      <c r="D26" s="29">
        <f>-0.189556440833932+3</f>
        <v>2.8104435591660679</v>
      </c>
      <c r="E26" s="29">
        <v>0.5</v>
      </c>
      <c r="F26" s="29">
        <f t="shared" si="1"/>
        <v>2.3104435591660679</v>
      </c>
      <c r="G26" s="30">
        <v>-5.0664935733248104E-3</v>
      </c>
      <c r="H26" s="30">
        <v>2.7348217631033402E-3</v>
      </c>
      <c r="I26" s="30">
        <v>-3.6657555474273501E-3</v>
      </c>
      <c r="J26" s="30">
        <v>3.4996254380266101E-2</v>
      </c>
      <c r="K26" s="24"/>
    </row>
    <row r="27" spans="1:13" x14ac:dyDescent="0.2">
      <c r="A27" s="27">
        <f t="shared" si="0"/>
        <v>25</v>
      </c>
      <c r="B27" s="35" t="s">
        <v>63</v>
      </c>
      <c r="C27" s="28" t="s">
        <v>27</v>
      </c>
      <c r="D27" s="29">
        <v>-1.2339570600106899</v>
      </c>
      <c r="E27" s="29">
        <v>1.5</v>
      </c>
      <c r="F27" s="29">
        <f t="shared" si="1"/>
        <v>-2.7339570600106899</v>
      </c>
      <c r="G27" s="30">
        <v>-2.5324796980544999E-2</v>
      </c>
      <c r="H27" s="30">
        <v>-7.6739881079896002E-2</v>
      </c>
      <c r="I27" s="30">
        <v>-1.0332254714755299E-2</v>
      </c>
      <c r="J27" s="30">
        <v>-2.3187738089239102E-3</v>
      </c>
      <c r="K27" s="24"/>
    </row>
    <row r="28" spans="1:13" x14ac:dyDescent="0.2">
      <c r="A28" s="27">
        <f t="shared" si="0"/>
        <v>26</v>
      </c>
      <c r="B28" s="35" t="s">
        <v>63</v>
      </c>
      <c r="C28" s="28" t="s">
        <v>25</v>
      </c>
      <c r="D28" s="29">
        <f>-1.37738279800221</f>
        <v>-1.37738279800221</v>
      </c>
      <c r="E28" s="29">
        <v>0.5</v>
      </c>
      <c r="F28" s="29">
        <f t="shared" si="1"/>
        <v>-1.87738279800221</v>
      </c>
      <c r="G28" s="30">
        <v>5.3603810230277004E-3</v>
      </c>
      <c r="H28" s="30">
        <v>3.37164093952197E-2</v>
      </c>
      <c r="I28" s="30">
        <v>3.1921870195596197E-2</v>
      </c>
      <c r="J28" s="30">
        <v>0.12720282762502699</v>
      </c>
      <c r="K28" s="24"/>
    </row>
    <row r="29" spans="1:13" x14ac:dyDescent="0.2">
      <c r="A29" s="27">
        <f t="shared" si="0"/>
        <v>27</v>
      </c>
      <c r="B29" s="35" t="s">
        <v>63</v>
      </c>
      <c r="C29" s="28" t="s">
        <v>24</v>
      </c>
      <c r="D29" s="29">
        <v>-1.8044127442681599</v>
      </c>
      <c r="E29" s="29">
        <v>2.5</v>
      </c>
      <c r="F29" s="29">
        <f t="shared" si="1"/>
        <v>-4.3044127442681601</v>
      </c>
      <c r="G29" s="30">
        <v>-1.18632596409298E-2</v>
      </c>
      <c r="H29" s="30">
        <v>-9.9065212868585703E-2</v>
      </c>
      <c r="I29" s="30">
        <v>1.0178480486491E-2</v>
      </c>
      <c r="J29" s="30">
        <v>4.4159882994499099E-2</v>
      </c>
      <c r="K29" s="24"/>
    </row>
    <row r="30" spans="1:13" x14ac:dyDescent="0.2">
      <c r="A30" s="27">
        <f t="shared" si="0"/>
        <v>28</v>
      </c>
      <c r="B30" s="35" t="s">
        <v>64</v>
      </c>
      <c r="C30" s="28" t="s">
        <v>26</v>
      </c>
      <c r="D30" s="29">
        <v>-1.9337995929592799</v>
      </c>
      <c r="E30" s="29">
        <v>2.5</v>
      </c>
      <c r="F30" s="29">
        <f t="shared" si="1"/>
        <v>-4.4337995929592804</v>
      </c>
      <c r="G30" s="30">
        <v>-6.2318521375689301E-2</v>
      </c>
      <c r="H30" s="30">
        <v>-0.13767851281658899</v>
      </c>
      <c r="I30" s="30">
        <v>-3.9185675327528098E-2</v>
      </c>
      <c r="J30" s="30">
        <v>-3.3336684800886002E-2</v>
      </c>
      <c r="K30" s="24"/>
    </row>
    <row r="31" spans="1:13" x14ac:dyDescent="0.2">
      <c r="A31" s="27">
        <f t="shared" si="0"/>
        <v>29</v>
      </c>
      <c r="B31" s="35" t="s">
        <v>64</v>
      </c>
      <c r="C31" s="28" t="s">
        <v>29</v>
      </c>
      <c r="D31" s="29">
        <v>-2.2629272879240201</v>
      </c>
      <c r="E31" s="29">
        <v>0.5</v>
      </c>
      <c r="F31" s="29">
        <f t="shared" si="1"/>
        <v>-2.7629272879240201</v>
      </c>
      <c r="G31" s="30">
        <v>-1.4414939040222501E-2</v>
      </c>
      <c r="H31" s="30">
        <v>-6.35129626742474E-2</v>
      </c>
      <c r="I31" s="30">
        <v>-1.0119438324761299E-2</v>
      </c>
      <c r="J31" s="30">
        <v>3.2447825328122799E-2</v>
      </c>
      <c r="K31" s="24"/>
    </row>
    <row r="32" spans="1:13" x14ac:dyDescent="0.2">
      <c r="A32" s="27">
        <f t="shared" si="0"/>
        <v>30</v>
      </c>
      <c r="B32" s="35" t="s">
        <v>64</v>
      </c>
      <c r="C32" s="28" t="s">
        <v>28</v>
      </c>
      <c r="D32" s="29">
        <v>-3.1984482960485301</v>
      </c>
      <c r="E32" s="29">
        <v>0.5</v>
      </c>
      <c r="F32" s="29">
        <f t="shared" si="1"/>
        <v>-3.6984482960485301</v>
      </c>
      <c r="G32" s="30">
        <v>-1.7247319341758001E-2</v>
      </c>
      <c r="H32" s="30">
        <v>-8.5314368574095995E-2</v>
      </c>
      <c r="I32" s="30">
        <v>1.32890244821904E-2</v>
      </c>
      <c r="J32" s="30">
        <v>2.5424944402442098E-2</v>
      </c>
      <c r="K32" s="24"/>
    </row>
    <row r="33" spans="1:11" x14ac:dyDescent="0.2">
      <c r="A33" s="27">
        <f t="shared" si="0"/>
        <v>31</v>
      </c>
      <c r="B33" s="35" t="s">
        <v>63</v>
      </c>
      <c r="C33" s="28" t="s">
        <v>30</v>
      </c>
      <c r="D33" s="29">
        <v>-3.3645951225049302</v>
      </c>
      <c r="E33" s="29">
        <v>0.5</v>
      </c>
      <c r="F33" s="29">
        <f t="shared" si="1"/>
        <v>-3.8645951225049302</v>
      </c>
      <c r="G33" s="30">
        <v>-4.36496964123305E-3</v>
      </c>
      <c r="H33" s="30">
        <v>-0.102957297902996</v>
      </c>
      <c r="I33" s="30">
        <v>8.4968606615858696E-3</v>
      </c>
      <c r="J33" s="30">
        <v>2.69649517230208E-2</v>
      </c>
      <c r="K33" s="24"/>
    </row>
    <row r="34" spans="1:11" x14ac:dyDescent="0.2">
      <c r="A34" s="27">
        <f t="shared" si="0"/>
        <v>32</v>
      </c>
      <c r="B34" s="35" t="s">
        <v>64</v>
      </c>
      <c r="C34" s="28" t="s">
        <v>31</v>
      </c>
      <c r="D34" s="29">
        <v>-4.5710882054548803</v>
      </c>
      <c r="E34" s="29">
        <v>1.5</v>
      </c>
      <c r="F34" s="29">
        <f t="shared" si="1"/>
        <v>-6.0710882054548803</v>
      </c>
      <c r="G34" s="30">
        <v>-2.0385563395166999E-2</v>
      </c>
      <c r="H34" s="30">
        <v>-9.0309903166933797E-2</v>
      </c>
      <c r="I34" s="30">
        <v>4.5038759000113303E-2</v>
      </c>
      <c r="J34" s="30">
        <v>0.10882853202829899</v>
      </c>
      <c r="K34" s="24"/>
    </row>
    <row r="36" spans="1:11" x14ac:dyDescent="0.2">
      <c r="B36" s="48"/>
    </row>
    <row r="37" spans="1:11" x14ac:dyDescent="0.2">
      <c r="B37" s="48"/>
    </row>
  </sheetData>
  <autoFilter ref="A2:J34" xr:uid="{7D88CD61-8EBB-D641-A38E-381B6EC5B104}">
    <sortState xmlns:xlrd2="http://schemas.microsoft.com/office/spreadsheetml/2017/richdata2" ref="A3:J34">
      <sortCondition descending="1" ref="D2:D34"/>
    </sortState>
  </autoFilter>
  <mergeCells count="1">
    <mergeCell ref="A1:J1"/>
  </mergeCells>
  <conditionalFormatting sqref="A2:K34">
    <cfRule type="colorScale" priority="2">
      <colorScale>
        <cfvo type="min"/>
        <cfvo type="num" val="$D$3:$D$34&lt;0"/>
        <color rgb="FFFF7128"/>
        <color rgb="FFFF0000"/>
      </colorScale>
    </cfRule>
  </conditionalFormatting>
  <dataValidations count="1">
    <dataValidation type="list" allowBlank="1" showInputMessage="1" showErrorMessage="1" sqref="M2:N2" xr:uid="{C8FC155E-4936-6045-8C78-91577F6D746E}">
      <formula1>$C$3:$C$34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48EF-5DF1-B748-B59A-C3073AE329F0}">
  <dimension ref="A1:N34"/>
  <sheetViews>
    <sheetView zoomScaleNormal="100" workbookViewId="0">
      <selection activeCell="D19" sqref="D19"/>
    </sheetView>
  </sheetViews>
  <sheetFormatPr baseColWidth="10" defaultRowHeight="16" x14ac:dyDescent="0.2"/>
  <cols>
    <col min="1" max="1" width="11.6640625" style="2" bestFit="1" customWidth="1"/>
    <col min="2" max="2" width="14.33203125" bestFit="1" customWidth="1"/>
    <col min="3" max="3" width="9.33203125" bestFit="1" customWidth="1"/>
    <col min="4" max="4" width="15.83203125" bestFit="1" customWidth="1"/>
    <col min="5" max="5" width="12.5" bestFit="1" customWidth="1"/>
    <col min="6" max="6" width="29.1640625" bestFit="1" customWidth="1"/>
    <col min="7" max="7" width="23.6640625" bestFit="1" customWidth="1"/>
    <col min="8" max="8" width="15.1640625" bestFit="1" customWidth="1"/>
    <col min="9" max="9" width="24" bestFit="1" customWidth="1"/>
    <col min="10" max="10" width="15.33203125" bestFit="1" customWidth="1"/>
    <col min="12" max="12" width="29.5" bestFit="1" customWidth="1"/>
    <col min="13" max="13" width="9" bestFit="1" customWidth="1"/>
    <col min="14" max="14" width="8.1640625" customWidth="1"/>
  </cols>
  <sheetData>
    <row r="1" spans="1:14" ht="24" x14ac:dyDescent="0.3">
      <c r="A1" s="52" t="s">
        <v>123</v>
      </c>
      <c r="B1" s="52"/>
      <c r="C1" s="52"/>
      <c r="D1" s="52"/>
      <c r="E1" s="52"/>
      <c r="F1" s="52"/>
      <c r="G1" s="52"/>
      <c r="H1" s="52"/>
      <c r="I1" s="52"/>
      <c r="J1" s="52"/>
      <c r="M1" s="44" t="s">
        <v>130</v>
      </c>
      <c r="N1" s="44" t="s">
        <v>131</v>
      </c>
    </row>
    <row r="2" spans="1:14" x14ac:dyDescent="0.2">
      <c r="A2" s="3" t="s">
        <v>40</v>
      </c>
      <c r="B2" s="3" t="s">
        <v>62</v>
      </c>
      <c r="C2" s="3" t="s">
        <v>39</v>
      </c>
      <c r="D2" s="3" t="s">
        <v>41</v>
      </c>
      <c r="E2" s="3" t="s">
        <v>42</v>
      </c>
      <c r="F2" s="3" t="s">
        <v>61</v>
      </c>
      <c r="G2" s="3" t="s">
        <v>44</v>
      </c>
      <c r="H2" s="3" t="s">
        <v>45</v>
      </c>
      <c r="I2" s="3" t="s">
        <v>46</v>
      </c>
      <c r="J2" s="3" t="s">
        <v>47</v>
      </c>
      <c r="L2" s="45" t="str">
        <f>"Line Prediction (" &amp; M2 &amp; " vs " &amp; N2 &amp; "): " &amp; ROUND(INDEX(D$3:D$34, MATCH(M2, C$3:C$34, 0)) - INDEX(D$3:D$34, MATCH(N2, C$3:C$34, 0)) - 1.5, 1)</f>
        <v>Line Prediction (KC vs CLE): 9.7</v>
      </c>
      <c r="M2" s="44" t="s">
        <v>0</v>
      </c>
      <c r="N2" s="44" t="s">
        <v>26</v>
      </c>
    </row>
    <row r="3" spans="1:14" x14ac:dyDescent="0.2">
      <c r="A3" s="16">
        <f t="shared" ref="A3:A34" si="0">_xlfn.RANK.EQ(D3,D$3:D$34,0)</f>
        <v>1</v>
      </c>
      <c r="B3" s="17" t="s">
        <v>63</v>
      </c>
      <c r="C3" s="17" t="s">
        <v>2</v>
      </c>
      <c r="D3" s="18">
        <v>10.8620811764076</v>
      </c>
      <c r="E3" s="18">
        <v>6.5</v>
      </c>
      <c r="F3" s="18">
        <f t="shared" ref="F3:F34" si="1">D3-E3</f>
        <v>4.3620811764075995</v>
      </c>
      <c r="G3" s="19">
        <v>2.6977356525999901E-2</v>
      </c>
      <c r="H3" s="19">
        <v>9.97292276111333E-2</v>
      </c>
      <c r="I3" s="19">
        <v>1.0563019829122999E-2</v>
      </c>
      <c r="J3" s="19">
        <v>-1.8554197367095099E-2</v>
      </c>
      <c r="L3" s="2"/>
      <c r="N3" s="2"/>
    </row>
    <row r="4" spans="1:14" x14ac:dyDescent="0.2">
      <c r="A4" s="16">
        <f t="shared" si="0"/>
        <v>2</v>
      </c>
      <c r="B4" s="17" t="s">
        <v>63</v>
      </c>
      <c r="C4" s="17" t="s">
        <v>1</v>
      </c>
      <c r="D4" s="18">
        <v>10.613019093507701</v>
      </c>
      <c r="E4" s="18">
        <v>6.5</v>
      </c>
      <c r="F4" s="18">
        <f t="shared" si="1"/>
        <v>4.1130190935077007</v>
      </c>
      <c r="G4" s="19">
        <v>3.6193711750766099E-2</v>
      </c>
      <c r="H4" s="19">
        <v>0.122623323876719</v>
      </c>
      <c r="I4" s="19">
        <v>-3.2384597720638598E-3</v>
      </c>
      <c r="J4" s="19">
        <v>2.5955015657197201E-2</v>
      </c>
      <c r="M4" s="1"/>
    </row>
    <row r="5" spans="1:14" x14ac:dyDescent="0.2">
      <c r="A5" s="16">
        <f t="shared" si="0"/>
        <v>3</v>
      </c>
      <c r="B5" s="17" t="s">
        <v>64</v>
      </c>
      <c r="C5" s="17" t="s">
        <v>3</v>
      </c>
      <c r="D5" s="18">
        <v>9.9024629420040196</v>
      </c>
      <c r="E5" s="18">
        <v>3.5</v>
      </c>
      <c r="F5" s="18">
        <f t="shared" si="1"/>
        <v>6.4024629420040196</v>
      </c>
      <c r="G5" s="19">
        <v>4.9062013392042199E-2</v>
      </c>
      <c r="H5" s="19">
        <v>0.10733189726358</v>
      </c>
      <c r="I5" s="19">
        <v>-1.6400531561911801E-2</v>
      </c>
      <c r="J5" s="19">
        <v>-8.5497385793344205E-2</v>
      </c>
      <c r="L5" s="42" t="s">
        <v>50</v>
      </c>
    </row>
    <row r="6" spans="1:14" x14ac:dyDescent="0.2">
      <c r="A6" s="16">
        <f t="shared" si="0"/>
        <v>4</v>
      </c>
      <c r="B6" s="17" t="s">
        <v>63</v>
      </c>
      <c r="C6" s="17" t="s">
        <v>0</v>
      </c>
      <c r="D6" s="18">
        <v>9.7567539607967007</v>
      </c>
      <c r="E6" s="18">
        <v>7</v>
      </c>
      <c r="F6" s="18">
        <f t="shared" si="1"/>
        <v>2.7567539607967007</v>
      </c>
      <c r="G6" s="19">
        <v>3.51423926027567E-2</v>
      </c>
      <c r="H6" s="19">
        <v>4.76276123355234E-2</v>
      </c>
      <c r="I6" s="19">
        <v>-1.3223309792540799E-2</v>
      </c>
      <c r="J6" s="19">
        <v>-1.25508064386984E-2</v>
      </c>
      <c r="L6" s="17" t="s">
        <v>51</v>
      </c>
    </row>
    <row r="7" spans="1:14" x14ac:dyDescent="0.2">
      <c r="A7" s="4">
        <f t="shared" si="0"/>
        <v>5</v>
      </c>
      <c r="B7" s="5" t="s">
        <v>64</v>
      </c>
      <c r="C7" s="5" t="s">
        <v>12</v>
      </c>
      <c r="D7" s="6">
        <v>7.3671294990691099</v>
      </c>
      <c r="E7" s="6">
        <v>4.5</v>
      </c>
      <c r="F7" s="6">
        <f t="shared" si="1"/>
        <v>2.8671294990691099</v>
      </c>
      <c r="G7" s="7">
        <v>-3.0185109094267798E-3</v>
      </c>
      <c r="H7" s="7">
        <v>3.5298490529179202E-2</v>
      </c>
      <c r="I7" s="7">
        <v>-2.6629582892378399E-2</v>
      </c>
      <c r="J7" s="7">
        <v>-7.4209690627186395E-2</v>
      </c>
      <c r="L7" s="5" t="s">
        <v>52</v>
      </c>
    </row>
    <row r="8" spans="1:14" x14ac:dyDescent="0.2">
      <c r="A8" s="4">
        <f t="shared" si="0"/>
        <v>6</v>
      </c>
      <c r="B8" s="5" t="s">
        <v>64</v>
      </c>
      <c r="C8" s="5" t="s">
        <v>7</v>
      </c>
      <c r="D8" s="6">
        <v>7.27095847899911</v>
      </c>
      <c r="E8" s="6">
        <v>4.5</v>
      </c>
      <c r="F8" s="6">
        <f t="shared" si="1"/>
        <v>2.77095847899911</v>
      </c>
      <c r="G8" s="7">
        <v>1.0323944296479501E-2</v>
      </c>
      <c r="H8" s="7">
        <v>8.0558750941571305E-2</v>
      </c>
      <c r="I8" s="7">
        <v>2.44648540525511E-2</v>
      </c>
      <c r="J8" s="7">
        <v>-2.3153507706412401E-2</v>
      </c>
      <c r="L8" s="9" t="s">
        <v>126</v>
      </c>
    </row>
    <row r="9" spans="1:14" x14ac:dyDescent="0.2">
      <c r="A9" s="4">
        <f t="shared" si="0"/>
        <v>7</v>
      </c>
      <c r="B9" s="5" t="s">
        <v>63</v>
      </c>
      <c r="C9" s="5" t="s">
        <v>5</v>
      </c>
      <c r="D9" s="6">
        <v>6.8677663604071597</v>
      </c>
      <c r="E9" s="6">
        <v>6</v>
      </c>
      <c r="F9" s="6">
        <f t="shared" si="1"/>
        <v>0.86776636040715971</v>
      </c>
      <c r="G9" s="7">
        <v>3.0609784648397299E-2</v>
      </c>
      <c r="H9" s="7">
        <v>8.0952024903992698E-2</v>
      </c>
      <c r="I9" s="7">
        <v>4.4839380495330303E-2</v>
      </c>
      <c r="J9" s="7">
        <v>8.2672414774629902E-2</v>
      </c>
      <c r="L9" s="13" t="s">
        <v>54</v>
      </c>
    </row>
    <row r="10" spans="1:14" x14ac:dyDescent="0.2">
      <c r="A10" s="4">
        <f t="shared" si="0"/>
        <v>8</v>
      </c>
      <c r="B10" s="5" t="s">
        <v>64</v>
      </c>
      <c r="C10" s="5" t="s">
        <v>4</v>
      </c>
      <c r="D10" s="6">
        <v>6.5559234763054004</v>
      </c>
      <c r="E10" s="6">
        <v>4</v>
      </c>
      <c r="F10" s="6">
        <f t="shared" si="1"/>
        <v>2.5559234763054004</v>
      </c>
      <c r="G10" s="7">
        <v>4.1839864696422903E-2</v>
      </c>
      <c r="H10" s="7">
        <v>7.9244837346025304E-2</v>
      </c>
      <c r="I10" s="7">
        <v>3.3152853113245097E-2</v>
      </c>
      <c r="J10" s="7">
        <v>1.8506273239362499E-2</v>
      </c>
      <c r="L10" s="28" t="s">
        <v>55</v>
      </c>
    </row>
    <row r="11" spans="1:14" x14ac:dyDescent="0.2">
      <c r="A11" s="4">
        <f t="shared" si="0"/>
        <v>9</v>
      </c>
      <c r="B11" s="5" t="s">
        <v>63</v>
      </c>
      <c r="C11" s="5" t="s">
        <v>6</v>
      </c>
      <c r="D11" s="6">
        <v>6.1076485283183297</v>
      </c>
      <c r="E11" s="6">
        <v>5.5</v>
      </c>
      <c r="F11" s="6">
        <f t="shared" si="1"/>
        <v>0.60764852831832972</v>
      </c>
      <c r="G11" s="7">
        <v>-3.9570994985241303E-2</v>
      </c>
      <c r="H11" s="7">
        <v>-1.45929404867197E-2</v>
      </c>
      <c r="I11" s="7">
        <v>-2.3362973210693701E-2</v>
      </c>
      <c r="J11" s="7">
        <v>-8.4213350969527895E-2</v>
      </c>
    </row>
    <row r="12" spans="1:14" x14ac:dyDescent="0.2">
      <c r="A12" s="4">
        <f t="shared" si="0"/>
        <v>10</v>
      </c>
      <c r="B12" s="5" t="s">
        <v>64</v>
      </c>
      <c r="C12" s="5" t="s">
        <v>8</v>
      </c>
      <c r="D12" s="6">
        <v>5.7664398007768201</v>
      </c>
      <c r="E12" s="6">
        <v>2.5</v>
      </c>
      <c r="F12" s="6">
        <f t="shared" si="1"/>
        <v>3.2664398007768201</v>
      </c>
      <c r="G12" s="7">
        <v>3.9555669861235203E-2</v>
      </c>
      <c r="H12" s="7">
        <v>0.105025566954944</v>
      </c>
      <c r="I12" s="7">
        <v>4.1741975127753597E-3</v>
      </c>
      <c r="J12" s="7">
        <v>4.0530299585537999E-2</v>
      </c>
      <c r="M12" s="2" t="s">
        <v>128</v>
      </c>
      <c r="N12" s="48">
        <f>AVERAGEIF($B$3:$B$34, "AFC", $D$3:$D$34)</f>
        <v>3.4077043643920963</v>
      </c>
    </row>
    <row r="13" spans="1:14" x14ac:dyDescent="0.2">
      <c r="A13" s="4">
        <f t="shared" si="0"/>
        <v>11</v>
      </c>
      <c r="B13" s="5" t="s">
        <v>64</v>
      </c>
      <c r="C13" s="5" t="s">
        <v>11</v>
      </c>
      <c r="D13" s="6">
        <v>5.7051934600865799</v>
      </c>
      <c r="E13" s="6">
        <v>5.5</v>
      </c>
      <c r="F13" s="6">
        <f t="shared" si="1"/>
        <v>0.2051934600865799</v>
      </c>
      <c r="G13" s="7">
        <v>2.8580620860496099E-2</v>
      </c>
      <c r="H13" s="7">
        <v>1.12498312234077E-2</v>
      </c>
      <c r="I13" s="7">
        <v>1.03736196500194E-2</v>
      </c>
      <c r="J13" s="7">
        <v>3.4560635168887903E-2</v>
      </c>
      <c r="M13" s="2" t="s">
        <v>129</v>
      </c>
      <c r="N13" s="48">
        <f>AVERAGEIF($B$4:$B$35, "NFC", $D$4:$D$35)</f>
        <v>3.4477675260197689</v>
      </c>
    </row>
    <row r="14" spans="1:14" x14ac:dyDescent="0.2">
      <c r="A14" s="4">
        <f t="shared" si="0"/>
        <v>12</v>
      </c>
      <c r="B14" s="5" t="s">
        <v>64</v>
      </c>
      <c r="C14" s="5" t="s">
        <v>9</v>
      </c>
      <c r="D14" s="6">
        <v>5.53243429304489</v>
      </c>
      <c r="E14" s="6">
        <v>3</v>
      </c>
      <c r="F14" s="6">
        <f t="shared" si="1"/>
        <v>2.53243429304489</v>
      </c>
      <c r="G14" s="7">
        <v>3.51296799895401E-2</v>
      </c>
      <c r="H14" s="7">
        <v>6.8431376706018704E-2</v>
      </c>
      <c r="I14" s="7">
        <v>2.2641404111466701E-2</v>
      </c>
      <c r="J14" s="7">
        <v>2.9563973101085902E-3</v>
      </c>
    </row>
    <row r="15" spans="1:14" x14ac:dyDescent="0.2">
      <c r="A15" s="4">
        <f t="shared" si="0"/>
        <v>13</v>
      </c>
      <c r="B15" s="5" t="s">
        <v>63</v>
      </c>
      <c r="C15" s="5" t="s">
        <v>10</v>
      </c>
      <c r="D15" s="6">
        <v>5.2738516991370004</v>
      </c>
      <c r="E15" s="6">
        <v>5.5</v>
      </c>
      <c r="F15" s="6">
        <f t="shared" si="1"/>
        <v>-0.22614830086299964</v>
      </c>
      <c r="G15" s="7">
        <v>-3.1586597837027199E-2</v>
      </c>
      <c r="H15" s="7">
        <v>-8.9519511635434701E-3</v>
      </c>
      <c r="I15" s="7">
        <v>-2.5377036570528699E-2</v>
      </c>
      <c r="J15" s="7">
        <v>-2.2570981570552599E-2</v>
      </c>
    </row>
    <row r="16" spans="1:14" x14ac:dyDescent="0.2">
      <c r="A16" s="4">
        <f t="shared" si="0"/>
        <v>14</v>
      </c>
      <c r="B16" s="5" t="s">
        <v>63</v>
      </c>
      <c r="C16" s="5" t="s">
        <v>20</v>
      </c>
      <c r="D16" s="6">
        <f>1.99381745721749+3</f>
        <v>4.9938174572174905</v>
      </c>
      <c r="E16" s="6">
        <v>4</v>
      </c>
      <c r="F16" s="6">
        <f t="shared" si="1"/>
        <v>0.99381745721749049</v>
      </c>
      <c r="G16" s="7">
        <v>-1.2075574571029601E-2</v>
      </c>
      <c r="H16" s="7">
        <v>-5.21099686140684E-2</v>
      </c>
      <c r="I16" s="7">
        <v>-9.2375298857819803E-3</v>
      </c>
      <c r="J16" s="7">
        <v>1.3977853418572101E-2</v>
      </c>
    </row>
    <row r="17" spans="1:10" x14ac:dyDescent="0.2">
      <c r="A17" s="8">
        <f t="shared" si="0"/>
        <v>15</v>
      </c>
      <c r="B17" s="9" t="s">
        <v>64</v>
      </c>
      <c r="C17" s="9" t="s">
        <v>14</v>
      </c>
      <c r="D17" s="10">
        <v>4.6114822170834504</v>
      </c>
      <c r="E17" s="10">
        <v>2</v>
      </c>
      <c r="F17" s="10">
        <f t="shared" si="1"/>
        <v>2.6114822170834504</v>
      </c>
      <c r="G17" s="11">
        <v>1.09557213842342E-2</v>
      </c>
      <c r="H17" s="11">
        <v>1.67580628213193E-3</v>
      </c>
      <c r="I17" s="11">
        <v>-2.7401102887989699E-2</v>
      </c>
      <c r="J17" s="11">
        <v>-9.3814922534689593E-2</v>
      </c>
    </row>
    <row r="18" spans="1:10" x14ac:dyDescent="0.2">
      <c r="A18" s="8">
        <f t="shared" si="0"/>
        <v>16</v>
      </c>
      <c r="B18" s="9" t="s">
        <v>63</v>
      </c>
      <c r="C18" s="9" t="s">
        <v>16</v>
      </c>
      <c r="D18" s="10">
        <v>3.9811357758675499</v>
      </c>
      <c r="E18" s="10">
        <v>2.5</v>
      </c>
      <c r="F18" s="10">
        <f t="shared" si="1"/>
        <v>1.4811357758675499</v>
      </c>
      <c r="G18" s="11">
        <v>-3.7127998726887799E-3</v>
      </c>
      <c r="H18" s="11">
        <v>1.9454020048838401E-2</v>
      </c>
      <c r="I18" s="11">
        <v>6.87636643594698E-3</v>
      </c>
      <c r="J18" s="11">
        <v>-5.4674033387941301E-2</v>
      </c>
    </row>
    <row r="19" spans="1:10" x14ac:dyDescent="0.2">
      <c r="A19" s="8">
        <f t="shared" si="0"/>
        <v>17</v>
      </c>
      <c r="B19" s="9" t="s">
        <v>64</v>
      </c>
      <c r="C19" s="9" t="s">
        <v>13</v>
      </c>
      <c r="D19" s="10">
        <v>3.8822488764891299</v>
      </c>
      <c r="E19" s="10">
        <v>4</v>
      </c>
      <c r="F19" s="10">
        <f t="shared" si="1"/>
        <v>-0.11775112351087014</v>
      </c>
      <c r="G19" s="11">
        <v>2.0221493382740801E-2</v>
      </c>
      <c r="H19" s="11">
        <v>2.0405719816829999E-2</v>
      </c>
      <c r="I19" s="11">
        <v>1.60412935706114E-2</v>
      </c>
      <c r="J19" s="11">
        <v>1.3097135900113299E-2</v>
      </c>
    </row>
    <row r="20" spans="1:10" x14ac:dyDescent="0.2">
      <c r="A20" s="8">
        <f t="shared" si="0"/>
        <v>18</v>
      </c>
      <c r="B20" s="9" t="s">
        <v>63</v>
      </c>
      <c r="C20" s="9" t="s">
        <v>17</v>
      </c>
      <c r="D20" s="10">
        <v>3.5685049988114801</v>
      </c>
      <c r="E20" s="10">
        <v>2.5</v>
      </c>
      <c r="F20" s="10">
        <f t="shared" si="1"/>
        <v>1.0685049988114801</v>
      </c>
      <c r="G20" s="11">
        <v>-1.1639133176943201E-2</v>
      </c>
      <c r="H20" s="11">
        <v>-1.6491875407272798E-2</v>
      </c>
      <c r="I20" s="11">
        <v>-2.5720071775802499E-2</v>
      </c>
      <c r="J20" s="11">
        <v>-7.1116194740461297E-2</v>
      </c>
    </row>
    <row r="21" spans="1:10" x14ac:dyDescent="0.2">
      <c r="A21" s="8">
        <f t="shared" si="0"/>
        <v>19</v>
      </c>
      <c r="B21" s="9" t="s">
        <v>64</v>
      </c>
      <c r="C21" s="9" t="s">
        <v>15</v>
      </c>
      <c r="D21" s="49">
        <v>3.5327153379182898</v>
      </c>
      <c r="E21" s="10">
        <v>3.5</v>
      </c>
      <c r="F21" s="10">
        <f t="shared" si="1"/>
        <v>3.2715337918289844E-2</v>
      </c>
      <c r="G21" s="11">
        <v>-1.0097433476498E-2</v>
      </c>
      <c r="H21" s="11">
        <v>-2.16454957692442E-2</v>
      </c>
      <c r="I21" s="11">
        <v>-2.5725394444290801E-2</v>
      </c>
      <c r="J21" s="11">
        <v>-2.74317565621853E-2</v>
      </c>
    </row>
    <row r="22" spans="1:10" x14ac:dyDescent="0.2">
      <c r="A22" s="8">
        <f t="shared" si="0"/>
        <v>20</v>
      </c>
      <c r="B22" s="9" t="s">
        <v>64</v>
      </c>
      <c r="C22" s="9" t="s">
        <v>19</v>
      </c>
      <c r="D22" s="10">
        <v>2.7709711455340802</v>
      </c>
      <c r="E22" s="10">
        <v>3</v>
      </c>
      <c r="F22" s="10">
        <f t="shared" si="1"/>
        <v>-0.22902885446591981</v>
      </c>
      <c r="G22" s="11">
        <v>1.8222223314978699E-2</v>
      </c>
      <c r="H22" s="11">
        <v>9.60675086792619E-3</v>
      </c>
      <c r="I22" s="11">
        <v>1.18414252969406E-2</v>
      </c>
      <c r="J22" s="11">
        <v>3.9758279196202798E-2</v>
      </c>
    </row>
    <row r="23" spans="1:10" x14ac:dyDescent="0.2">
      <c r="A23" s="12">
        <f t="shared" si="0"/>
        <v>21</v>
      </c>
      <c r="B23" s="13" t="s">
        <v>63</v>
      </c>
      <c r="C23" s="13" t="s">
        <v>18</v>
      </c>
      <c r="D23" s="14">
        <v>1.43775769882511</v>
      </c>
      <c r="E23" s="14">
        <v>2.5</v>
      </c>
      <c r="F23" s="14">
        <f t="shared" si="1"/>
        <v>-1.06224230117489</v>
      </c>
      <c r="G23" s="15">
        <v>-1.3872555469473601E-2</v>
      </c>
      <c r="H23" s="15">
        <v>-1.30865191952487E-2</v>
      </c>
      <c r="I23" s="15">
        <v>-1.3647407321540799E-2</v>
      </c>
      <c r="J23" s="15">
        <v>2.61051594595713E-2</v>
      </c>
    </row>
    <row r="24" spans="1:10" x14ac:dyDescent="0.2">
      <c r="A24" s="12">
        <f t="shared" si="0"/>
        <v>22</v>
      </c>
      <c r="B24" s="13" t="s">
        <v>64</v>
      </c>
      <c r="C24" s="13" t="s">
        <v>23</v>
      </c>
      <c r="D24" s="14">
        <v>0.95116202545565298</v>
      </c>
      <c r="E24" s="14">
        <v>2.5</v>
      </c>
      <c r="F24" s="14">
        <f t="shared" si="1"/>
        <v>-1.548837974544347</v>
      </c>
      <c r="G24" s="15">
        <v>-3.9809773423998197E-2</v>
      </c>
      <c r="H24" s="15">
        <v>-4.3605514478016999E-2</v>
      </c>
      <c r="I24" s="15">
        <v>-1.6477901466773401E-2</v>
      </c>
      <c r="J24" s="15">
        <v>-2.53701636697258E-2</v>
      </c>
    </row>
    <row r="25" spans="1:10" x14ac:dyDescent="0.2">
      <c r="A25" s="12">
        <f t="shared" si="0"/>
        <v>23</v>
      </c>
      <c r="B25" s="13" t="s">
        <v>64</v>
      </c>
      <c r="C25" s="13" t="s">
        <v>21</v>
      </c>
      <c r="D25" s="14">
        <v>0.89640710183344796</v>
      </c>
      <c r="E25" s="14">
        <v>2.5</v>
      </c>
      <c r="F25" s="14">
        <f t="shared" si="1"/>
        <v>-1.6035928981665521</v>
      </c>
      <c r="G25" s="15">
        <v>-2.6291307950284001E-2</v>
      </c>
      <c r="H25" s="15">
        <v>-3.5707937124410297E-2</v>
      </c>
      <c r="I25" s="15">
        <v>-5.1080754785583502E-3</v>
      </c>
      <c r="J25" s="15">
        <v>-2.4153391072241799E-3</v>
      </c>
    </row>
    <row r="26" spans="1:10" x14ac:dyDescent="0.2">
      <c r="A26" s="12">
        <f t="shared" si="0"/>
        <v>24</v>
      </c>
      <c r="B26" s="13" t="s">
        <v>63</v>
      </c>
      <c r="C26" s="13" t="s">
        <v>22</v>
      </c>
      <c r="D26" s="14">
        <v>0.63882765781638196</v>
      </c>
      <c r="E26" s="14">
        <v>2</v>
      </c>
      <c r="F26" s="14">
        <f t="shared" si="1"/>
        <v>-1.3611723421836182</v>
      </c>
      <c r="G26" s="15">
        <v>-2.1608431359120502E-2</v>
      </c>
      <c r="H26" s="15">
        <v>-2.9300260448178999E-2</v>
      </c>
      <c r="I26" s="15">
        <v>9.2757805325177096E-3</v>
      </c>
      <c r="J26" s="15">
        <v>-9.8591481613767001E-3</v>
      </c>
    </row>
    <row r="27" spans="1:10" x14ac:dyDescent="0.2">
      <c r="A27" s="27">
        <f t="shared" si="0"/>
        <v>25</v>
      </c>
      <c r="B27" s="28" t="s">
        <v>63</v>
      </c>
      <c r="C27" s="28" t="s">
        <v>25</v>
      </c>
      <c r="D27" s="29">
        <v>-1.42025996706285</v>
      </c>
      <c r="E27" s="29">
        <v>0.5</v>
      </c>
      <c r="F27" s="29">
        <f t="shared" si="1"/>
        <v>-1.92025996706285</v>
      </c>
      <c r="G27" s="30">
        <v>1.09481189912197E-3</v>
      </c>
      <c r="H27" s="30">
        <v>2.7260143151562E-2</v>
      </c>
      <c r="I27" s="30">
        <v>2.74510472590885E-2</v>
      </c>
      <c r="J27" s="30">
        <v>0.117683442510071</v>
      </c>
    </row>
    <row r="28" spans="1:10" x14ac:dyDescent="0.2">
      <c r="A28" s="27">
        <f t="shared" si="0"/>
        <v>26</v>
      </c>
      <c r="B28" s="28" t="s">
        <v>63</v>
      </c>
      <c r="C28" s="28" t="s">
        <v>26</v>
      </c>
      <c r="D28" s="29">
        <v>-1.4676872417953699</v>
      </c>
      <c r="E28" s="29">
        <v>2.5</v>
      </c>
      <c r="F28" s="29">
        <f t="shared" si="1"/>
        <v>-3.9676872417953701</v>
      </c>
      <c r="G28" s="30">
        <v>-6.3349031416622598E-2</v>
      </c>
      <c r="H28" s="30">
        <v>-0.13912424058388601</v>
      </c>
      <c r="I28" s="30">
        <v>-4.0822401964865598E-2</v>
      </c>
      <c r="J28" s="30">
        <v>-3.576599105798E-2</v>
      </c>
    </row>
    <row r="29" spans="1:10" x14ac:dyDescent="0.2">
      <c r="A29" s="27">
        <f t="shared" si="0"/>
        <v>27</v>
      </c>
      <c r="B29" s="28" t="s">
        <v>63</v>
      </c>
      <c r="C29" s="28" t="s">
        <v>24</v>
      </c>
      <c r="D29" s="29">
        <v>-1.7195268445570799</v>
      </c>
      <c r="E29" s="29">
        <v>2.5</v>
      </c>
      <c r="F29" s="29">
        <f t="shared" si="1"/>
        <v>-4.2195268445570804</v>
      </c>
      <c r="G29" s="30">
        <v>-8.3964188836374697E-3</v>
      </c>
      <c r="H29" s="30">
        <v>-9.0364731052901395E-2</v>
      </c>
      <c r="I29" s="30">
        <v>1.9162833762140001E-2</v>
      </c>
      <c r="J29" s="30">
        <v>5.0561596722350201E-2</v>
      </c>
    </row>
    <row r="30" spans="1:10" x14ac:dyDescent="0.2">
      <c r="A30" s="27">
        <f t="shared" si="0"/>
        <v>28</v>
      </c>
      <c r="B30" s="28" t="s">
        <v>63</v>
      </c>
      <c r="C30" s="28" t="s">
        <v>27</v>
      </c>
      <c r="D30" s="50">
        <v>-1.9093667649972701</v>
      </c>
      <c r="E30" s="29">
        <v>1.5</v>
      </c>
      <c r="F30" s="29">
        <f t="shared" si="1"/>
        <v>-3.4093667649972703</v>
      </c>
      <c r="G30" s="30">
        <v>-3.3516909268052598E-2</v>
      </c>
      <c r="H30" s="30">
        <v>-9.0789515539902402E-2</v>
      </c>
      <c r="I30" s="30">
        <v>-5.3445455259551198E-3</v>
      </c>
      <c r="J30" s="30">
        <v>-3.6036625005895599E-3</v>
      </c>
    </row>
    <row r="31" spans="1:10" x14ac:dyDescent="0.2">
      <c r="A31" s="27">
        <f t="shared" si="0"/>
        <v>29</v>
      </c>
      <c r="B31" s="28" t="s">
        <v>64</v>
      </c>
      <c r="C31" s="28" t="s">
        <v>29</v>
      </c>
      <c r="D31" s="29">
        <v>-2.2991265601394999</v>
      </c>
      <c r="E31" s="29">
        <v>0.5</v>
      </c>
      <c r="F31" s="29">
        <f t="shared" si="1"/>
        <v>-2.7991265601394999</v>
      </c>
      <c r="G31" s="30">
        <v>-1.8190239450857001E-2</v>
      </c>
      <c r="H31" s="30">
        <v>-6.6963572387315207E-2</v>
      </c>
      <c r="I31" s="30">
        <v>-9.5194073719016697E-3</v>
      </c>
      <c r="J31" s="30">
        <v>2.39127256413574E-2</v>
      </c>
    </row>
    <row r="32" spans="1:10" x14ac:dyDescent="0.2">
      <c r="A32" s="27">
        <f t="shared" si="0"/>
        <v>30</v>
      </c>
      <c r="B32" s="28" t="s">
        <v>63</v>
      </c>
      <c r="C32" s="28" t="s">
        <v>30</v>
      </c>
      <c r="D32" s="29">
        <v>-3.0610537584263802</v>
      </c>
      <c r="E32" s="29">
        <v>0.5</v>
      </c>
      <c r="F32" s="29">
        <f t="shared" si="1"/>
        <v>-3.5610537584263802</v>
      </c>
      <c r="G32" s="30">
        <v>-8.7697166311257908E-3</v>
      </c>
      <c r="H32" s="30">
        <v>-0.104710251511982</v>
      </c>
      <c r="I32" s="30">
        <v>-6.06656295277282E-3</v>
      </c>
      <c r="J32" s="30">
        <v>1.4575087079017701E-2</v>
      </c>
    </row>
    <row r="33" spans="1:10" x14ac:dyDescent="0.2">
      <c r="A33" s="27">
        <f t="shared" si="0"/>
        <v>31</v>
      </c>
      <c r="B33" s="28" t="s">
        <v>64</v>
      </c>
      <c r="C33" s="28" t="s">
        <v>28</v>
      </c>
      <c r="D33" s="29">
        <v>-3.1653241780891599</v>
      </c>
      <c r="E33" s="29">
        <v>0.5</v>
      </c>
      <c r="F33" s="29">
        <f t="shared" si="1"/>
        <v>-3.6653241780891599</v>
      </c>
      <c r="G33" s="30">
        <v>-1.6423067187901801E-2</v>
      </c>
      <c r="H33" s="30">
        <v>-9.1287594621269202E-2</v>
      </c>
      <c r="I33" s="30">
        <v>5.5249361908154201E-3</v>
      </c>
      <c r="J33" s="30">
        <v>2.1662280844565202E-2</v>
      </c>
    </row>
    <row r="34" spans="1:10" x14ac:dyDescent="0.2">
      <c r="A34" s="27">
        <f t="shared" si="0"/>
        <v>32</v>
      </c>
      <c r="B34" s="28" t="s">
        <v>64</v>
      </c>
      <c r="C34" s="28" t="s">
        <v>31</v>
      </c>
      <c r="D34" s="29">
        <v>-4.1167975000550197</v>
      </c>
      <c r="E34" s="29">
        <v>1.5</v>
      </c>
      <c r="F34" s="29">
        <f t="shared" si="1"/>
        <v>-5.6167975000550197</v>
      </c>
      <c r="G34" s="30">
        <v>-1.8129607435195299E-2</v>
      </c>
      <c r="H34" s="30">
        <v>-9.2529933766966097E-2</v>
      </c>
      <c r="I34" s="30">
        <v>4.0034407730092099E-2</v>
      </c>
      <c r="J34" s="30">
        <v>8.9357159260738603E-2</v>
      </c>
    </row>
  </sheetData>
  <autoFilter ref="A2:J34" xr:uid="{AAD748EF-5DF1-B748-B59A-C3073AE329F0}">
    <sortState xmlns:xlrd2="http://schemas.microsoft.com/office/spreadsheetml/2017/richdata2" ref="A3:J34">
      <sortCondition descending="1" ref="D2:D34"/>
    </sortState>
  </autoFilter>
  <mergeCells count="1">
    <mergeCell ref="A1:J1"/>
  </mergeCells>
  <conditionalFormatting sqref="A2:J2">
    <cfRule type="colorScale" priority="1">
      <colorScale>
        <cfvo type="min"/>
        <cfvo type="num" val="$D$3:$D$34&lt;0"/>
        <color rgb="FFFF7128"/>
        <color rgb="FFFF0000"/>
      </colorScale>
    </cfRule>
  </conditionalFormatting>
  <dataValidations count="1">
    <dataValidation type="list" allowBlank="1" showInputMessage="1" showErrorMessage="1" sqref="M2:N2" xr:uid="{999C26C8-DC4C-4B44-8BAA-3CB97529B0E9}">
      <formula1>$C$3:$C$34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4B0A-924C-754C-8935-7D213F7DE571}">
  <dimension ref="A1:N34"/>
  <sheetViews>
    <sheetView workbookViewId="0">
      <selection activeCell="L1" sqref="L1:N13"/>
    </sheetView>
  </sheetViews>
  <sheetFormatPr baseColWidth="10" defaultRowHeight="16" x14ac:dyDescent="0.2"/>
  <cols>
    <col min="1" max="1" width="10.33203125" style="2" bestFit="1" customWidth="1"/>
    <col min="2" max="2" width="13.33203125" bestFit="1" customWidth="1"/>
    <col min="3" max="3" width="8.1640625" bestFit="1" customWidth="1"/>
    <col min="4" max="4" width="14.5" bestFit="1" customWidth="1"/>
    <col min="5" max="5" width="11.1640625" bestFit="1" customWidth="1"/>
    <col min="6" max="6" width="26.6640625" bestFit="1" customWidth="1"/>
    <col min="7" max="7" width="22" bestFit="1" customWidth="1"/>
    <col min="8" max="8" width="14" bestFit="1" customWidth="1"/>
    <col min="9" max="9" width="22.33203125" bestFit="1" customWidth="1"/>
    <col min="10" max="10" width="14.33203125" bestFit="1" customWidth="1"/>
    <col min="12" max="12" width="30.33203125" customWidth="1"/>
    <col min="13" max="13" width="10.6640625" customWidth="1"/>
    <col min="14" max="14" width="9.83203125" customWidth="1"/>
  </cols>
  <sheetData>
    <row r="1" spans="1:14" ht="24" x14ac:dyDescent="0.3">
      <c r="A1" s="52" t="s">
        <v>123</v>
      </c>
      <c r="B1" s="52"/>
      <c r="C1" s="52"/>
      <c r="D1" s="52"/>
      <c r="E1" s="52"/>
      <c r="F1" s="52"/>
      <c r="G1" s="52"/>
      <c r="H1" s="52"/>
      <c r="I1" s="52"/>
      <c r="J1" s="52"/>
      <c r="M1" s="44" t="s">
        <v>130</v>
      </c>
      <c r="N1" s="44" t="s">
        <v>131</v>
      </c>
    </row>
    <row r="2" spans="1:14" x14ac:dyDescent="0.2">
      <c r="A2" s="3" t="s">
        <v>40</v>
      </c>
      <c r="B2" s="3" t="s">
        <v>62</v>
      </c>
      <c r="C2" s="3" t="s">
        <v>39</v>
      </c>
      <c r="D2" s="3" t="s">
        <v>41</v>
      </c>
      <c r="E2" s="3" t="s">
        <v>42</v>
      </c>
      <c r="F2" s="3" t="s">
        <v>61</v>
      </c>
      <c r="G2" s="3" t="s">
        <v>44</v>
      </c>
      <c r="H2" s="3" t="s">
        <v>45</v>
      </c>
      <c r="I2" s="3" t="s">
        <v>46</v>
      </c>
      <c r="J2" s="3" t="s">
        <v>47</v>
      </c>
      <c r="L2" s="45" t="str">
        <f>"Line Prediction (" &amp; M2 &amp; " vs " &amp; N2 &amp; "): " &amp; ROUND(INDEX(D$3:D$34, MATCH(M2, C$3:C$34, 0)) - INDEX(D$3:D$34, MATCH(N2, C$3:C$34, 0)) - 1.5, 1)</f>
        <v>Line Prediction (BUF vs DET): -0.4</v>
      </c>
      <c r="M2" s="44" t="s">
        <v>2</v>
      </c>
      <c r="N2" s="44" t="s">
        <v>3</v>
      </c>
    </row>
    <row r="3" spans="1:14" x14ac:dyDescent="0.2">
      <c r="A3" s="4">
        <f>_xlfn.RANK.EQ(D3,D$3:D$34,0)</f>
        <v>10</v>
      </c>
      <c r="B3" s="5" t="s">
        <v>64</v>
      </c>
      <c r="C3" s="5" t="s">
        <v>4</v>
      </c>
      <c r="D3" s="6">
        <v>5.7851727918894502</v>
      </c>
      <c r="E3" s="6">
        <v>4</v>
      </c>
      <c r="F3" s="6">
        <f>D3-E3</f>
        <v>1.7851727918894502</v>
      </c>
      <c r="G3" s="7">
        <v>3.7234800971282803E-2</v>
      </c>
      <c r="H3" s="7">
        <v>5.5979336298158898E-2</v>
      </c>
      <c r="I3" s="7">
        <v>3.1667501030177798E-2</v>
      </c>
      <c r="J3" s="7">
        <v>1.7503240294235899E-2</v>
      </c>
      <c r="L3" s="2"/>
      <c r="N3" s="2"/>
    </row>
    <row r="4" spans="1:14" x14ac:dyDescent="0.2">
      <c r="A4" s="8">
        <f>_xlfn.RANK.EQ(D4,D$3:D$34,0)</f>
        <v>20</v>
      </c>
      <c r="B4" s="9" t="s">
        <v>64</v>
      </c>
      <c r="C4" s="9" t="s">
        <v>19</v>
      </c>
      <c r="D4" s="10">
        <v>2.98254539832452</v>
      </c>
      <c r="E4" s="10">
        <v>3</v>
      </c>
      <c r="F4" s="10">
        <f>D4-E4</f>
        <v>-1.7454601675479964E-2</v>
      </c>
      <c r="G4" s="11">
        <v>2.8271103563984601E-2</v>
      </c>
      <c r="H4" s="11">
        <v>2.1252926479516598E-2</v>
      </c>
      <c r="I4" s="11">
        <v>1.4890449356632701E-2</v>
      </c>
      <c r="J4" s="11">
        <v>5.6923162240554902E-2</v>
      </c>
      <c r="M4" s="1"/>
    </row>
    <row r="5" spans="1:14" x14ac:dyDescent="0.2">
      <c r="A5" s="16">
        <f>_xlfn.RANK.EQ(D5,D$3:D$34,0)</f>
        <v>2</v>
      </c>
      <c r="B5" s="17" t="s">
        <v>63</v>
      </c>
      <c r="C5" s="17" t="s">
        <v>1</v>
      </c>
      <c r="D5" s="54">
        <v>10.6285226772538</v>
      </c>
      <c r="E5" s="18">
        <v>6.5</v>
      </c>
      <c r="F5" s="18">
        <f>D5-E5</f>
        <v>4.1285226772538</v>
      </c>
      <c r="G5" s="19">
        <v>3.65104139176822E-2</v>
      </c>
      <c r="H5" s="19">
        <v>0.12178769338763901</v>
      </c>
      <c r="I5" s="19">
        <v>-3.7480584033027799E-3</v>
      </c>
      <c r="J5" s="19">
        <v>2.4704467418345501E-2</v>
      </c>
      <c r="L5" s="42" t="s">
        <v>50</v>
      </c>
    </row>
    <row r="6" spans="1:14" x14ac:dyDescent="0.2">
      <c r="A6" s="16">
        <f>_xlfn.RANK.EQ(D6,D$3:D$34,0)</f>
        <v>1</v>
      </c>
      <c r="B6" s="17" t="s">
        <v>63</v>
      </c>
      <c r="C6" s="17" t="s">
        <v>2</v>
      </c>
      <c r="D6" s="18">
        <v>10.748849665897399</v>
      </c>
      <c r="E6" s="18">
        <v>6.5</v>
      </c>
      <c r="F6" s="18">
        <f>D6-E6</f>
        <v>4.2488496658973993</v>
      </c>
      <c r="G6" s="19">
        <v>2.6363692702553999E-2</v>
      </c>
      <c r="H6" s="19">
        <v>0.11076941392649101</v>
      </c>
      <c r="I6" s="19">
        <v>3.0914781196673298E-3</v>
      </c>
      <c r="J6" s="19">
        <v>-1.5652355116690501E-2</v>
      </c>
      <c r="L6" s="17" t="s">
        <v>51</v>
      </c>
    </row>
    <row r="7" spans="1:14" x14ac:dyDescent="0.2">
      <c r="A7" s="27">
        <f>_xlfn.RANK.EQ(D7,D$3:D$34,0)</f>
        <v>32</v>
      </c>
      <c r="B7" s="28" t="s">
        <v>64</v>
      </c>
      <c r="C7" s="28" t="s">
        <v>31</v>
      </c>
      <c r="D7" s="29">
        <v>-3.6097213027759598</v>
      </c>
      <c r="E7" s="29">
        <v>1.5</v>
      </c>
      <c r="F7" s="29">
        <f>D7-E7</f>
        <v>-5.1097213027759594</v>
      </c>
      <c r="G7" s="30">
        <v>-1.8755190999146298E-2</v>
      </c>
      <c r="H7" s="30">
        <v>-8.0820789988331795E-2</v>
      </c>
      <c r="I7" s="30">
        <v>3.6425632555360098E-2</v>
      </c>
      <c r="J7" s="30">
        <v>8.3491666990847604E-2</v>
      </c>
      <c r="L7" s="5" t="s">
        <v>52</v>
      </c>
    </row>
    <row r="8" spans="1:14" x14ac:dyDescent="0.2">
      <c r="A8" s="12">
        <f>_xlfn.RANK.EQ(D8,D$3:D$34,0)</f>
        <v>23</v>
      </c>
      <c r="B8" s="13" t="s">
        <v>64</v>
      </c>
      <c r="C8" s="13" t="s">
        <v>23</v>
      </c>
      <c r="D8" s="55">
        <v>0.358716868161776</v>
      </c>
      <c r="E8" s="14">
        <v>2.5</v>
      </c>
      <c r="F8" s="14">
        <f>D8-E8</f>
        <v>-2.1412831318382239</v>
      </c>
      <c r="G8" s="15">
        <v>-3.9260248236510503E-2</v>
      </c>
      <c r="H8" s="15">
        <v>-4.9070367601273798E-2</v>
      </c>
      <c r="I8" s="15">
        <v>-1.37869149999895E-2</v>
      </c>
      <c r="J8" s="15">
        <v>-5.2765188556455197E-3</v>
      </c>
      <c r="L8" s="9" t="s">
        <v>126</v>
      </c>
    </row>
    <row r="9" spans="1:14" x14ac:dyDescent="0.2">
      <c r="A9" s="4">
        <f>_xlfn.RANK.EQ(D9,D$3:D$34,0)</f>
        <v>7</v>
      </c>
      <c r="B9" s="5" t="s">
        <v>63</v>
      </c>
      <c r="C9" s="5" t="s">
        <v>5</v>
      </c>
      <c r="D9" s="6">
        <v>6.8705729885904603</v>
      </c>
      <c r="E9" s="6">
        <v>6</v>
      </c>
      <c r="F9" s="6">
        <f>D9-E9</f>
        <v>0.87057298859046028</v>
      </c>
      <c r="G9" s="7">
        <v>3.15592537470109E-2</v>
      </c>
      <c r="H9" s="7">
        <v>8.2066562659903503E-2</v>
      </c>
      <c r="I9" s="7">
        <v>4.6117060917404799E-2</v>
      </c>
      <c r="J9" s="7">
        <v>8.3152039983965795E-2</v>
      </c>
      <c r="L9" s="13" t="s">
        <v>54</v>
      </c>
    </row>
    <row r="10" spans="1:14" x14ac:dyDescent="0.2">
      <c r="A10" s="27">
        <f>_xlfn.RANK.EQ(D10,D$3:D$34,0)</f>
        <v>24</v>
      </c>
      <c r="B10" s="28" t="s">
        <v>63</v>
      </c>
      <c r="C10" s="28" t="s">
        <v>26</v>
      </c>
      <c r="D10" s="29">
        <v>-1.28800994355071</v>
      </c>
      <c r="E10" s="29">
        <v>2.5</v>
      </c>
      <c r="F10" s="29">
        <f>D10-E10</f>
        <v>-3.7880099435507102</v>
      </c>
      <c r="G10" s="30">
        <v>-5.2832818164404098E-2</v>
      </c>
      <c r="H10" s="30">
        <v>-0.114302496048069</v>
      </c>
      <c r="I10" s="30">
        <v>-3.0495191023265599E-2</v>
      </c>
      <c r="J10" s="30">
        <v>-2.52228763326241E-2</v>
      </c>
      <c r="L10" s="28" t="s">
        <v>55</v>
      </c>
    </row>
    <row r="11" spans="1:14" x14ac:dyDescent="0.2">
      <c r="A11" s="27">
        <f>_xlfn.RANK.EQ(D11,D$3:D$34,0)</f>
        <v>28</v>
      </c>
      <c r="B11" s="28" t="s">
        <v>64</v>
      </c>
      <c r="C11" s="28" t="s">
        <v>29</v>
      </c>
      <c r="D11" s="50">
        <v>-2.3302561939417399</v>
      </c>
      <c r="E11" s="29">
        <v>0.5</v>
      </c>
      <c r="F11" s="29">
        <f>D11-E11</f>
        <v>-2.8302561939417399</v>
      </c>
      <c r="G11" s="30">
        <v>-1.64966752762798E-2</v>
      </c>
      <c r="H11" s="30">
        <v>-6.6282824473278198E-2</v>
      </c>
      <c r="I11" s="30">
        <v>-7.4557355441738898E-3</v>
      </c>
      <c r="J11" s="30">
        <v>2.63569727205492E-2</v>
      </c>
    </row>
    <row r="12" spans="1:14" x14ac:dyDescent="0.2">
      <c r="A12" s="8">
        <f>_xlfn.RANK.EQ(D12,D$3:D$34,0)</f>
        <v>19</v>
      </c>
      <c r="B12" s="9" t="s">
        <v>63</v>
      </c>
      <c r="C12" s="9" t="s">
        <v>17</v>
      </c>
      <c r="D12" s="10">
        <v>3.6254632082316198</v>
      </c>
      <c r="E12" s="10">
        <v>2.5</v>
      </c>
      <c r="F12" s="10">
        <f>D12-E12</f>
        <v>1.1254632082316198</v>
      </c>
      <c r="G12" s="11">
        <v>-3.85493743006972E-3</v>
      </c>
      <c r="H12" s="11">
        <v>-6.1770076442920199E-3</v>
      </c>
      <c r="I12" s="11">
        <v>-1.9144974617041999E-2</v>
      </c>
      <c r="J12" s="11">
        <v>-5.5998612702825003E-2</v>
      </c>
      <c r="M12" s="2" t="s">
        <v>128</v>
      </c>
      <c r="N12" s="48">
        <f>AVERAGEIF($B$3:$B$34, "AFC", $D$3:$D$34)</f>
        <v>3.4064088108592454</v>
      </c>
    </row>
    <row r="13" spans="1:14" x14ac:dyDescent="0.2">
      <c r="A13" s="16">
        <f>_xlfn.RANK.EQ(D13,D$3:D$34,0)</f>
        <v>4</v>
      </c>
      <c r="B13" s="17" t="s">
        <v>64</v>
      </c>
      <c r="C13" s="17" t="s">
        <v>3</v>
      </c>
      <c r="D13" s="18">
        <v>9.6537201339116603</v>
      </c>
      <c r="E13" s="18">
        <v>3.5</v>
      </c>
      <c r="F13" s="18">
        <f>D13-E13</f>
        <v>6.1537201339116603</v>
      </c>
      <c r="G13" s="19">
        <v>4.7771735583590498E-2</v>
      </c>
      <c r="H13" s="19">
        <v>0.103537636378727</v>
      </c>
      <c r="I13" s="19">
        <v>-1.5400260873581499E-2</v>
      </c>
      <c r="J13" s="19">
        <v>-8.1114686992817694E-2</v>
      </c>
      <c r="M13" s="2" t="s">
        <v>129</v>
      </c>
      <c r="N13" s="48">
        <f>AVERAGEIF($B$3:$B$34, "NFC", $D$3:$D$34)</f>
        <v>3.3589268890216193</v>
      </c>
    </row>
    <row r="14" spans="1:14" x14ac:dyDescent="0.2">
      <c r="A14" s="4">
        <f>_xlfn.RANK.EQ(D14,D$3:D$34,0)</f>
        <v>5</v>
      </c>
      <c r="B14" s="5" t="s">
        <v>64</v>
      </c>
      <c r="C14" s="5" t="s">
        <v>7</v>
      </c>
      <c r="D14" s="6">
        <v>7.5089785687376596</v>
      </c>
      <c r="E14" s="6">
        <v>4.5</v>
      </c>
      <c r="F14" s="6">
        <f>D14-E14</f>
        <v>3.0089785687376596</v>
      </c>
      <c r="G14" s="7">
        <v>1.12202243937986E-2</v>
      </c>
      <c r="H14" s="7">
        <v>8.3071212637540304E-2</v>
      </c>
      <c r="I14" s="7">
        <v>2.2663144867803998E-2</v>
      </c>
      <c r="J14" s="7">
        <v>-2.8814187639177299E-2</v>
      </c>
    </row>
    <row r="15" spans="1:14" x14ac:dyDescent="0.2">
      <c r="A15" s="4">
        <f>_xlfn.RANK.EQ(D15,D$3:D$34,0)</f>
        <v>15</v>
      </c>
      <c r="B15" s="5" t="s">
        <v>63</v>
      </c>
      <c r="C15" s="5" t="s">
        <v>10</v>
      </c>
      <c r="D15" s="6">
        <v>5.20825383717838</v>
      </c>
      <c r="E15" s="6">
        <v>5.5</v>
      </c>
      <c r="F15" s="6">
        <f>D15-E15</f>
        <v>-0.29174616282162003</v>
      </c>
      <c r="G15" s="7">
        <v>-3.3267979634607203E-2</v>
      </c>
      <c r="H15" s="7">
        <v>-1.2828829812935399E-2</v>
      </c>
      <c r="I15" s="7">
        <v>-2.6666237587618699E-2</v>
      </c>
      <c r="J15" s="7">
        <v>-2.6241232930867602E-2</v>
      </c>
    </row>
    <row r="16" spans="1:14" x14ac:dyDescent="0.2">
      <c r="A16" s="12">
        <f>_xlfn.RANK.EQ(D16,D$3:D$34,0)</f>
        <v>22</v>
      </c>
      <c r="B16" s="13" t="s">
        <v>63</v>
      </c>
      <c r="C16" s="13" t="s">
        <v>22</v>
      </c>
      <c r="D16" s="14">
        <v>0.57020542047093803</v>
      </c>
      <c r="E16" s="14">
        <v>2</v>
      </c>
      <c r="F16" s="14">
        <f>D16-E16</f>
        <v>-1.4297945795290619</v>
      </c>
      <c r="G16" s="15">
        <v>-2.3787467683152701E-2</v>
      </c>
      <c r="H16" s="15">
        <v>-3.43239323829393E-2</v>
      </c>
      <c r="I16" s="15">
        <v>6.9607887807772899E-3</v>
      </c>
      <c r="J16" s="15">
        <v>-1.4951095787479799E-2</v>
      </c>
    </row>
    <row r="17" spans="1:10" x14ac:dyDescent="0.2">
      <c r="A17" s="27">
        <f>_xlfn.RANK.EQ(D17,D$3:D$34,0)</f>
        <v>26</v>
      </c>
      <c r="B17" s="28" t="s">
        <v>63</v>
      </c>
      <c r="C17" s="28" t="s">
        <v>25</v>
      </c>
      <c r="D17" s="29">
        <v>-1.6046029395616399</v>
      </c>
      <c r="E17" s="29">
        <v>0.5</v>
      </c>
      <c r="F17" s="29">
        <f>D17-E17</f>
        <v>-2.1046029395616399</v>
      </c>
      <c r="G17" s="30">
        <v>-3.6185993100490898E-3</v>
      </c>
      <c r="H17" s="30">
        <v>1.48344877931628E-2</v>
      </c>
      <c r="I17" s="30">
        <v>2.2038526664010401E-2</v>
      </c>
      <c r="J17" s="30">
        <v>0.106429734532257</v>
      </c>
    </row>
    <row r="18" spans="1:10" x14ac:dyDescent="0.2">
      <c r="A18" s="16">
        <f>_xlfn.RANK.EQ(D18,D$3:D$34,0)</f>
        <v>3</v>
      </c>
      <c r="B18" s="17" t="s">
        <v>63</v>
      </c>
      <c r="C18" s="17" t="s">
        <v>0</v>
      </c>
      <c r="D18" s="18">
        <v>10.016713273507801</v>
      </c>
      <c r="E18" s="18">
        <v>7</v>
      </c>
      <c r="F18" s="18">
        <f>D18-E18</f>
        <v>3.0167132735078006</v>
      </c>
      <c r="G18" s="19">
        <v>3.6613884092793599E-2</v>
      </c>
      <c r="H18" s="19">
        <v>4.7067016836354898E-2</v>
      </c>
      <c r="I18" s="19">
        <v>-1.2785726375629299E-2</v>
      </c>
      <c r="J18" s="19">
        <v>-1.43404999552163E-2</v>
      </c>
    </row>
    <row r="19" spans="1:10" x14ac:dyDescent="0.2">
      <c r="A19" s="4">
        <f>_xlfn.RANK.EQ(D19,D$3:D$34,0)</f>
        <v>8</v>
      </c>
      <c r="B19" s="5" t="s">
        <v>64</v>
      </c>
      <c r="C19" s="5" t="s">
        <v>11</v>
      </c>
      <c r="D19" s="6">
        <v>6.1224249035534601</v>
      </c>
      <c r="E19" s="6">
        <v>5.5</v>
      </c>
      <c r="F19" s="6">
        <f>D19-E19</f>
        <v>0.62242490355346014</v>
      </c>
      <c r="G19" s="7">
        <v>3.1672497106791202E-2</v>
      </c>
      <c r="H19" s="7">
        <v>2.99375092759652E-2</v>
      </c>
      <c r="I19" s="7">
        <v>1.2944141397778801E-2</v>
      </c>
      <c r="J19" s="7">
        <v>4.3667534071429197E-2</v>
      </c>
    </row>
    <row r="20" spans="1:10" x14ac:dyDescent="0.2">
      <c r="A20" s="4">
        <f>_xlfn.RANK.EQ(D20,D$3:D$34,0)</f>
        <v>9</v>
      </c>
      <c r="B20" s="5" t="s">
        <v>63</v>
      </c>
      <c r="C20" s="5" t="s">
        <v>6</v>
      </c>
      <c r="D20" s="6">
        <v>6.0704500562631996</v>
      </c>
      <c r="E20" s="6">
        <v>5.5</v>
      </c>
      <c r="F20" s="6">
        <f>D20-E20</f>
        <v>0.57045005626319956</v>
      </c>
      <c r="G20" s="7">
        <v>-3.8720845989956301E-2</v>
      </c>
      <c r="H20" s="7">
        <v>-1.4925671934147899E-2</v>
      </c>
      <c r="I20" s="7">
        <v>-2.3489934680084701E-2</v>
      </c>
      <c r="J20" s="7">
        <v>-8.3154919479572403E-2</v>
      </c>
    </row>
    <row r="21" spans="1:10" x14ac:dyDescent="0.2">
      <c r="A21" s="27">
        <f>_xlfn.RANK.EQ(D21,D$3:D$34,0)</f>
        <v>31</v>
      </c>
      <c r="B21" s="28" t="s">
        <v>63</v>
      </c>
      <c r="C21" s="28" t="s">
        <v>30</v>
      </c>
      <c r="D21" s="29">
        <v>-3.20270395024516</v>
      </c>
      <c r="E21" s="29">
        <v>0.5</v>
      </c>
      <c r="F21" s="29">
        <f>D21-E21</f>
        <v>-3.70270395024516</v>
      </c>
      <c r="G21" s="30">
        <v>-1.3874323161162E-2</v>
      </c>
      <c r="H21" s="30">
        <v>-0.111645705501785</v>
      </c>
      <c r="I21" s="30">
        <v>-9.3102324648053503E-3</v>
      </c>
      <c r="J21" s="30">
        <v>7.3064096567314303E-3</v>
      </c>
    </row>
    <row r="22" spans="1:10" x14ac:dyDescent="0.2">
      <c r="A22" s="4">
        <f>_xlfn.RANK.EQ(D22,D$3:D$34,0)</f>
        <v>12</v>
      </c>
      <c r="B22" s="5" t="s">
        <v>63</v>
      </c>
      <c r="C22" s="5" t="s">
        <v>20</v>
      </c>
      <c r="D22" s="6">
        <f>2.47621382516595+3</f>
        <v>5.4762138251659493</v>
      </c>
      <c r="E22" s="6">
        <v>4</v>
      </c>
      <c r="F22" s="6">
        <f>D22-E22</f>
        <v>1.4762138251659493</v>
      </c>
      <c r="G22" s="7">
        <v>1.6833170460021701E-3</v>
      </c>
      <c r="H22" s="7">
        <v>-3.4432902622209598E-2</v>
      </c>
      <c r="I22" s="7">
        <v>-6.30836118937321E-4</v>
      </c>
      <c r="J22" s="7">
        <v>2.71172282050933E-2</v>
      </c>
    </row>
    <row r="23" spans="1:10" x14ac:dyDescent="0.2">
      <c r="A23" s="4">
        <f>_xlfn.RANK.EQ(D23,D$3:D$34,0)</f>
        <v>14</v>
      </c>
      <c r="B23" s="5" t="s">
        <v>64</v>
      </c>
      <c r="C23" s="5" t="s">
        <v>14</v>
      </c>
      <c r="D23" s="6">
        <f>4.79628825281234+0.5</f>
        <v>5.2962882528123396</v>
      </c>
      <c r="E23" s="6">
        <v>2.5</v>
      </c>
      <c r="F23" s="6">
        <f>D23-E23</f>
        <v>2.7962882528123396</v>
      </c>
      <c r="G23" s="7">
        <v>1.1914277749147301E-2</v>
      </c>
      <c r="H23" s="7">
        <v>1.4744158243897699E-2</v>
      </c>
      <c r="I23" s="7">
        <v>-2.0570014494878101E-2</v>
      </c>
      <c r="J23" s="7">
        <v>-8.73778172171778E-2</v>
      </c>
    </row>
    <row r="24" spans="1:10" x14ac:dyDescent="0.2">
      <c r="A24" s="27">
        <f>_xlfn.RANK.EQ(D24,D$3:D$34,0)</f>
        <v>27</v>
      </c>
      <c r="B24" s="28" t="s">
        <v>63</v>
      </c>
      <c r="C24" s="28" t="s">
        <v>24</v>
      </c>
      <c r="D24" s="29">
        <v>-1.7753644867362799</v>
      </c>
      <c r="E24" s="29">
        <v>2.5</v>
      </c>
      <c r="F24" s="29">
        <f>D24-E24</f>
        <v>-4.2753644867362794</v>
      </c>
      <c r="G24" s="30">
        <v>-1.21014629207524E-2</v>
      </c>
      <c r="H24" s="30">
        <v>-9.71090997141517E-2</v>
      </c>
      <c r="I24" s="30">
        <v>1.53546995370032E-2</v>
      </c>
      <c r="J24" s="30">
        <v>4.1461721461893697E-2</v>
      </c>
    </row>
    <row r="25" spans="1:10" x14ac:dyDescent="0.2">
      <c r="A25" s="27">
        <f>_xlfn.RANK.EQ(D25,D$3:D$34,0)</f>
        <v>25</v>
      </c>
      <c r="B25" s="28" t="s">
        <v>64</v>
      </c>
      <c r="C25" s="28" t="s">
        <v>21</v>
      </c>
      <c r="D25" s="29">
        <f>0.709481575382298-2</f>
        <v>-1.2905184246177019</v>
      </c>
      <c r="E25" s="29">
        <v>0.5</v>
      </c>
      <c r="F25" s="29">
        <f>D25-E25</f>
        <v>-1.7905184246177019</v>
      </c>
      <c r="G25" s="30">
        <v>-3.04115579888809E-2</v>
      </c>
      <c r="H25" s="30">
        <v>-5.0853635476959098E-2</v>
      </c>
      <c r="I25" s="30">
        <v>-1.506765664706E-2</v>
      </c>
      <c r="J25" s="30">
        <v>-1.34682369853598E-2</v>
      </c>
    </row>
    <row r="26" spans="1:10" x14ac:dyDescent="0.2">
      <c r="A26" s="27">
        <f>_xlfn.RANK.EQ(D26,D$3:D$34,0)</f>
        <v>30</v>
      </c>
      <c r="B26" s="28" t="s">
        <v>64</v>
      </c>
      <c r="C26" s="28" t="s">
        <v>28</v>
      </c>
      <c r="D26" s="29">
        <v>-3.18486146657099</v>
      </c>
      <c r="E26" s="29">
        <v>0.5</v>
      </c>
      <c r="F26" s="29">
        <f>D26-E26</f>
        <v>-3.68486146657099</v>
      </c>
      <c r="G26" s="30">
        <v>-2.5518986150962202E-2</v>
      </c>
      <c r="H26" s="30">
        <v>-9.6063859303381002E-2</v>
      </c>
      <c r="I26" s="30">
        <v>9.27896087790917E-4</v>
      </c>
      <c r="J26" s="30">
        <v>7.5526296189322197E-3</v>
      </c>
    </row>
    <row r="27" spans="1:10" x14ac:dyDescent="0.2">
      <c r="A27" s="12">
        <f>_xlfn.RANK.EQ(D27,D$3:D$34,0)</f>
        <v>21</v>
      </c>
      <c r="B27" s="13" t="s">
        <v>63</v>
      </c>
      <c r="C27" s="13" t="s">
        <v>18</v>
      </c>
      <c r="D27" s="14">
        <v>1.6619409433697601</v>
      </c>
      <c r="E27" s="14">
        <v>2.5</v>
      </c>
      <c r="F27" s="14">
        <f>D27-E27</f>
        <v>-0.83805905663023994</v>
      </c>
      <c r="G27" s="15">
        <v>-4.7995725438059796E-3</v>
      </c>
      <c r="H27" s="15">
        <v>2.5269855630775202E-3</v>
      </c>
      <c r="I27" s="15">
        <v>-9.0582995992781197E-4</v>
      </c>
      <c r="J27" s="15">
        <v>4.0373337966316501E-2</v>
      </c>
    </row>
    <row r="28" spans="1:10" x14ac:dyDescent="0.2">
      <c r="A28" s="4">
        <f>_xlfn.RANK.EQ(D28,D$3:D$34,0)</f>
        <v>6</v>
      </c>
      <c r="B28" s="5" t="s">
        <v>64</v>
      </c>
      <c r="C28" s="5" t="s">
        <v>12</v>
      </c>
      <c r="D28" s="6">
        <v>6.88867370882505</v>
      </c>
      <c r="E28" s="6">
        <v>4.5</v>
      </c>
      <c r="F28" s="6">
        <f>D28-E28</f>
        <v>2.38867370882505</v>
      </c>
      <c r="G28" s="7">
        <v>-6.4662452301927102E-3</v>
      </c>
      <c r="H28" s="7">
        <v>2.89658053701282E-2</v>
      </c>
      <c r="I28" s="7">
        <v>-2.8601544514583101E-2</v>
      </c>
      <c r="J28" s="7">
        <v>-6.2616625537863693E-2</v>
      </c>
    </row>
    <row r="29" spans="1:10" x14ac:dyDescent="0.2">
      <c r="A29" s="8">
        <f>_xlfn.RANK.EQ(D29,D$3:D$34,0)</f>
        <v>17</v>
      </c>
      <c r="B29" s="9" t="s">
        <v>63</v>
      </c>
      <c r="C29" s="9" t="s">
        <v>16</v>
      </c>
      <c r="D29" s="10">
        <v>3.8478871988429502</v>
      </c>
      <c r="E29" s="10">
        <v>2.5</v>
      </c>
      <c r="F29" s="10">
        <f>D29-E29</f>
        <v>1.3478871988429502</v>
      </c>
      <c r="G29" s="11">
        <v>-5.2950323713424497E-3</v>
      </c>
      <c r="H29" s="11">
        <v>1.4049069012743101E-2</v>
      </c>
      <c r="I29" s="11">
        <v>5.4683512017515996E-3</v>
      </c>
      <c r="J29" s="11">
        <v>-5.7040810288524701E-2</v>
      </c>
    </row>
    <row r="30" spans="1:10" x14ac:dyDescent="0.2">
      <c r="A30" s="8">
        <f>_xlfn.RANK.EQ(D30,D$3:D$34,0)</f>
        <v>18</v>
      </c>
      <c r="B30" s="9" t="s">
        <v>64</v>
      </c>
      <c r="C30" s="9" t="s">
        <v>15</v>
      </c>
      <c r="D30" s="56">
        <v>3.7402724523624999</v>
      </c>
      <c r="E30" s="10">
        <v>3.5</v>
      </c>
      <c r="F30" s="10">
        <f>D30-E30</f>
        <v>0.24027245236249994</v>
      </c>
      <c r="G30" s="11">
        <v>-1.11177762993146E-2</v>
      </c>
      <c r="H30" s="11">
        <v>-2.4810837131924598E-2</v>
      </c>
      <c r="I30" s="11">
        <v>-2.6047590400714301E-2</v>
      </c>
      <c r="J30" s="11">
        <v>-4.3591405889619898E-2</v>
      </c>
    </row>
    <row r="31" spans="1:10" x14ac:dyDescent="0.2">
      <c r="A31" s="8">
        <f>_xlfn.RANK.EQ(D31,D$3:D$34,0)</f>
        <v>16</v>
      </c>
      <c r="B31" s="9" t="s">
        <v>64</v>
      </c>
      <c r="C31" s="9" t="s">
        <v>13</v>
      </c>
      <c r="D31" s="10">
        <v>4.5995809830712098</v>
      </c>
      <c r="E31" s="10">
        <v>4</v>
      </c>
      <c r="F31" s="10">
        <f>D31-E31</f>
        <v>0.59958098307120977</v>
      </c>
      <c r="G31" s="11">
        <v>1.01684935135723E-2</v>
      </c>
      <c r="H31" s="11">
        <v>2.21604557200701E-2</v>
      </c>
      <c r="I31" s="11">
        <v>1.52648566201289E-2</v>
      </c>
      <c r="J31" s="11">
        <v>4.5236088534133297E-3</v>
      </c>
    </row>
    <row r="32" spans="1:10" x14ac:dyDescent="0.2">
      <c r="A32" s="4">
        <f>_xlfn.RANK.EQ(D32,D$3:D$34,0)</f>
        <v>13</v>
      </c>
      <c r="B32" s="5" t="s">
        <v>64</v>
      </c>
      <c r="C32" s="5" t="s">
        <v>9</v>
      </c>
      <c r="D32" s="6">
        <v>5.44878322840278</v>
      </c>
      <c r="E32" s="6">
        <v>3</v>
      </c>
      <c r="F32" s="6">
        <f>D32-E32</f>
        <v>2.44878322840278</v>
      </c>
      <c r="G32" s="7">
        <v>3.5006362772154902E-2</v>
      </c>
      <c r="H32" s="7">
        <v>6.4186685122429102E-2</v>
      </c>
      <c r="I32" s="7">
        <v>2.07926023324723E-2</v>
      </c>
      <c r="J32" s="7">
        <v>2.0043679793436799E-3</v>
      </c>
    </row>
    <row r="33" spans="1:10" x14ac:dyDescent="0.2">
      <c r="A33" s="27">
        <f>_xlfn.RANK.EQ(D33,D$3:D$34,0)</f>
        <v>29</v>
      </c>
      <c r="B33" s="28" t="s">
        <v>63</v>
      </c>
      <c r="C33" s="28" t="s">
        <v>27</v>
      </c>
      <c r="D33" s="29">
        <v>-2.3518508009305399</v>
      </c>
      <c r="E33" s="29">
        <v>1.5</v>
      </c>
      <c r="F33" s="29">
        <f>D33-E33</f>
        <v>-3.8518508009305399</v>
      </c>
      <c r="G33" s="30">
        <v>-3.9977200930263697E-2</v>
      </c>
      <c r="H33" s="30">
        <v>-0.107059046804592</v>
      </c>
      <c r="I33" s="30">
        <v>-9.4724111672364504E-3</v>
      </c>
      <c r="J33" s="30">
        <v>-1.0863222947763601E-2</v>
      </c>
    </row>
    <row r="34" spans="1:10" x14ac:dyDescent="0.2">
      <c r="A34" s="4">
        <f>_xlfn.RANK.EQ(D34,D$3:D$34,0)</f>
        <v>11</v>
      </c>
      <c r="B34" s="5" t="s">
        <v>64</v>
      </c>
      <c r="C34" s="5" t="s">
        <v>8</v>
      </c>
      <c r="D34" s="6">
        <v>5.7730303221998902</v>
      </c>
      <c r="E34" s="6">
        <v>2.5</v>
      </c>
      <c r="F34" s="6">
        <f>D34-E34</f>
        <v>3.2730303221998902</v>
      </c>
      <c r="G34" s="7">
        <v>4.1276028125955502E-2</v>
      </c>
      <c r="H34" s="7">
        <v>0.10630258298734301</v>
      </c>
      <c r="I34" s="7">
        <v>6.0164155039853003E-3</v>
      </c>
      <c r="J34" s="7">
        <v>4.2885081900476602E-2</v>
      </c>
    </row>
  </sheetData>
  <autoFilter ref="A2:J34" xr:uid="{806F4B0A-924C-754C-8935-7D213F7DE571}">
    <sortState xmlns:xlrd2="http://schemas.microsoft.com/office/spreadsheetml/2017/richdata2" ref="A3:J34">
      <sortCondition ref="C2:C34"/>
    </sortState>
  </autoFilter>
  <sortState xmlns:xlrd2="http://schemas.microsoft.com/office/spreadsheetml/2017/richdata2" ref="A3:J34">
    <sortCondition descending="1" ref="D22:D34"/>
  </sortState>
  <mergeCells count="1">
    <mergeCell ref="A1:J1"/>
  </mergeCells>
  <conditionalFormatting sqref="A2:J2">
    <cfRule type="colorScale" priority="1">
      <colorScale>
        <cfvo type="min"/>
        <cfvo type="num" val="$D$4:$D$35&lt;0"/>
        <color rgb="FFFF7128"/>
        <color rgb="FFFF0000"/>
      </colorScale>
    </cfRule>
  </conditionalFormatting>
  <dataValidations count="1">
    <dataValidation type="list" allowBlank="1" showInputMessage="1" showErrorMessage="1" sqref="M2:N2" xr:uid="{2C1C019F-B75E-BA44-A4DD-CF7826413202}">
      <formula1>$C$3:$C$34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A13E-67E2-ED40-8D6B-D4A7DE0D6F5A}">
  <dimension ref="A1:N34"/>
  <sheetViews>
    <sheetView workbookViewId="0">
      <selection activeCell="M2" sqref="M2"/>
    </sheetView>
  </sheetViews>
  <sheetFormatPr baseColWidth="10" defaultRowHeight="16" x14ac:dyDescent="0.2"/>
  <cols>
    <col min="1" max="1" width="10.33203125" style="2" bestFit="1" customWidth="1"/>
    <col min="2" max="2" width="13.33203125" bestFit="1" customWidth="1"/>
    <col min="3" max="3" width="8.1640625" bestFit="1" customWidth="1"/>
    <col min="4" max="4" width="14.5" bestFit="1" customWidth="1"/>
    <col min="5" max="5" width="11.1640625" bestFit="1" customWidth="1"/>
    <col min="6" max="6" width="26.6640625" bestFit="1" customWidth="1"/>
    <col min="7" max="7" width="22" bestFit="1" customWidth="1"/>
    <col min="8" max="8" width="14" bestFit="1" customWidth="1"/>
    <col min="9" max="9" width="22.33203125" bestFit="1" customWidth="1"/>
    <col min="10" max="10" width="14.33203125" bestFit="1" customWidth="1"/>
    <col min="12" max="12" width="28" bestFit="1" customWidth="1"/>
  </cols>
  <sheetData>
    <row r="1" spans="1:14" ht="24" x14ac:dyDescent="0.3">
      <c r="A1" s="52" t="s">
        <v>123</v>
      </c>
      <c r="B1" s="52"/>
      <c r="C1" s="52"/>
      <c r="D1" s="52"/>
      <c r="E1" s="52"/>
      <c r="F1" s="52"/>
      <c r="G1" s="52"/>
      <c r="H1" s="52"/>
      <c r="I1" s="52"/>
      <c r="J1" s="52"/>
      <c r="M1" s="44" t="s">
        <v>130</v>
      </c>
      <c r="N1" s="44" t="s">
        <v>131</v>
      </c>
    </row>
    <row r="2" spans="1:14" x14ac:dyDescent="0.2">
      <c r="A2" s="3" t="s">
        <v>40</v>
      </c>
      <c r="B2" s="3" t="s">
        <v>62</v>
      </c>
      <c r="C2" s="3" t="s">
        <v>39</v>
      </c>
      <c r="D2" s="3" t="s">
        <v>41</v>
      </c>
      <c r="E2" s="3" t="s">
        <v>42</v>
      </c>
      <c r="F2" s="3" t="s">
        <v>61</v>
      </c>
      <c r="G2" s="3" t="s">
        <v>44</v>
      </c>
      <c r="H2" s="3" t="s">
        <v>45</v>
      </c>
      <c r="I2" s="3" t="s">
        <v>46</v>
      </c>
      <c r="J2" s="3" t="s">
        <v>47</v>
      </c>
      <c r="L2" s="45" t="str">
        <f>"Line Prediction (" &amp; M2 &amp; " vs " &amp; N2 &amp; "): " &amp; ROUND(INDEX(D$3:D$34, MATCH(M2, C$3:C$34, 0)) - INDEX(D$3:D$34, MATCH(N2, C$3:C$34, 0)) - 1.5, 1)</f>
        <v>Line Prediction (BUF vs KC): 0.3</v>
      </c>
      <c r="M2" s="44" t="s">
        <v>2</v>
      </c>
      <c r="N2" s="44" t="s">
        <v>0</v>
      </c>
    </row>
    <row r="3" spans="1:14" x14ac:dyDescent="0.2">
      <c r="A3" s="16">
        <f>_xlfn.RANK.EQ(D3,D$3:D$34,0)</f>
        <v>1</v>
      </c>
      <c r="B3" s="17" t="s">
        <v>63</v>
      </c>
      <c r="C3" s="17" t="s">
        <v>2</v>
      </c>
      <c r="D3" s="18">
        <v>11.6532793711027</v>
      </c>
      <c r="E3" s="18">
        <v>6.5</v>
      </c>
      <c r="F3" s="18">
        <f>D3-E3</f>
        <v>5.1532793711027001</v>
      </c>
      <c r="G3" s="19">
        <v>3.6028321448313E-2</v>
      </c>
      <c r="H3" s="19">
        <v>0.138931499731383</v>
      </c>
      <c r="I3" s="19">
        <v>4.3135102266606898E-3</v>
      </c>
      <c r="J3" s="19">
        <v>-7.4664498176657103E-3</v>
      </c>
      <c r="L3" s="2"/>
      <c r="N3" s="2"/>
    </row>
    <row r="4" spans="1:14" x14ac:dyDescent="0.2">
      <c r="A4" s="16">
        <f>_xlfn.RANK.EQ(D4,D$3:D$34,0)</f>
        <v>2</v>
      </c>
      <c r="B4" s="17" t="s">
        <v>63</v>
      </c>
      <c r="C4" s="17" t="s">
        <v>1</v>
      </c>
      <c r="D4" s="18">
        <v>11.086743802156199</v>
      </c>
      <c r="E4" s="18">
        <v>6.5</v>
      </c>
      <c r="F4" s="18">
        <f>D4-E4</f>
        <v>4.5867438021561995</v>
      </c>
      <c r="G4" s="19">
        <v>3.9706220579205802E-2</v>
      </c>
      <c r="H4" s="19">
        <v>0.13333548117831301</v>
      </c>
      <c r="I4" s="19">
        <v>-7.4263725089599702E-3</v>
      </c>
      <c r="J4" s="19">
        <v>2.5868586765385299E-2</v>
      </c>
      <c r="M4" s="1"/>
    </row>
    <row r="5" spans="1:14" x14ac:dyDescent="0.2">
      <c r="A5" s="16">
        <f>_xlfn.RANK.EQ(D5,D$3:D$34,0)</f>
        <v>3</v>
      </c>
      <c r="B5" s="17" t="s">
        <v>63</v>
      </c>
      <c r="C5" s="17" t="s">
        <v>0</v>
      </c>
      <c r="D5" s="18">
        <v>9.8424867306155104</v>
      </c>
      <c r="E5" s="18">
        <v>7</v>
      </c>
      <c r="F5" s="18">
        <f>D5-E5</f>
        <v>2.8424867306155104</v>
      </c>
      <c r="G5" s="19">
        <v>3.4583331068605103E-2</v>
      </c>
      <c r="H5" s="19">
        <v>4.6082670943967702E-2</v>
      </c>
      <c r="I5" s="19">
        <v>-1.0982820101693699E-2</v>
      </c>
      <c r="J5" s="19">
        <v>-2.15340512027975E-2</v>
      </c>
      <c r="L5" s="42" t="s">
        <v>50</v>
      </c>
    </row>
    <row r="6" spans="1:14" x14ac:dyDescent="0.2">
      <c r="A6" s="16">
        <f>_xlfn.RANK.EQ(D6,D$3:D$34,0)</f>
        <v>4</v>
      </c>
      <c r="B6" s="17" t="s">
        <v>64</v>
      </c>
      <c r="C6" s="17" t="s">
        <v>3</v>
      </c>
      <c r="D6" s="18">
        <v>9.4393111005152601</v>
      </c>
      <c r="E6" s="18">
        <v>3.5</v>
      </c>
      <c r="F6" s="18">
        <f>D6-E6</f>
        <v>5.9393111005152601</v>
      </c>
      <c r="G6" s="19">
        <v>4.9387769259243E-2</v>
      </c>
      <c r="H6" s="19">
        <v>0.112778711240986</v>
      </c>
      <c r="I6" s="19">
        <v>-8.6387425557430605E-3</v>
      </c>
      <c r="J6" s="19">
        <v>-5.9583719673421798E-2</v>
      </c>
      <c r="L6" s="17" t="s">
        <v>51</v>
      </c>
    </row>
    <row r="7" spans="1:14" x14ac:dyDescent="0.2">
      <c r="A7" s="4">
        <f>_xlfn.RANK.EQ(D7,D$3:D$34,0)</f>
        <v>5</v>
      </c>
      <c r="B7" s="5" t="s">
        <v>64</v>
      </c>
      <c r="C7" s="5" t="s">
        <v>7</v>
      </c>
      <c r="D7" s="6">
        <v>7.8105989320268998</v>
      </c>
      <c r="E7" s="6">
        <v>4.5</v>
      </c>
      <c r="F7" s="6">
        <f>D7-E7</f>
        <v>3.3105989320268998</v>
      </c>
      <c r="G7" s="7">
        <v>1.02200658019707E-2</v>
      </c>
      <c r="H7" s="7">
        <v>8.0768711937641693E-2</v>
      </c>
      <c r="I7" s="7">
        <v>2.2380050874720499E-2</v>
      </c>
      <c r="J7" s="7">
        <v>-2.7390522371071702E-2</v>
      </c>
      <c r="L7" s="5" t="s">
        <v>52</v>
      </c>
    </row>
    <row r="8" spans="1:14" x14ac:dyDescent="0.2">
      <c r="A8" s="4">
        <f>_xlfn.RANK.EQ(D8,D$3:D$34,0)</f>
        <v>6</v>
      </c>
      <c r="B8" s="5" t="s">
        <v>64</v>
      </c>
      <c r="C8" s="5" t="s">
        <v>12</v>
      </c>
      <c r="D8" s="57">
        <v>7.4084557840829399</v>
      </c>
      <c r="E8" s="6">
        <v>4.5</v>
      </c>
      <c r="F8" s="6">
        <f>D8-E8</f>
        <v>2.9084557840829399</v>
      </c>
      <c r="G8" s="7">
        <v>-4.9923188714748601E-3</v>
      </c>
      <c r="H8" s="7">
        <v>4.1367947546319901E-2</v>
      </c>
      <c r="I8" s="7">
        <v>-2.8766207491560399E-2</v>
      </c>
      <c r="J8" s="7">
        <v>-6.8036610855340393E-2</v>
      </c>
      <c r="L8" s="9" t="s">
        <v>126</v>
      </c>
    </row>
    <row r="9" spans="1:14" x14ac:dyDescent="0.2">
      <c r="A9" s="4">
        <f>_xlfn.RANK.EQ(D9,D$3:D$34,0)</f>
        <v>7</v>
      </c>
      <c r="B9" s="5" t="s">
        <v>63</v>
      </c>
      <c r="C9" s="5" t="s">
        <v>5</v>
      </c>
      <c r="D9" s="6">
        <v>6.75257539539012</v>
      </c>
      <c r="E9" s="6">
        <v>6</v>
      </c>
      <c r="F9" s="6">
        <f>D9-E9</f>
        <v>0.75257539539011997</v>
      </c>
      <c r="G9" s="7">
        <v>3.1589866111671402E-2</v>
      </c>
      <c r="H9" s="7">
        <v>7.9071301027622595E-2</v>
      </c>
      <c r="I9" s="7">
        <v>5.0519852846520302E-2</v>
      </c>
      <c r="J9" s="7">
        <v>8.2575624776626597E-2</v>
      </c>
      <c r="L9" s="13" t="s">
        <v>54</v>
      </c>
    </row>
    <row r="10" spans="1:14" x14ac:dyDescent="0.2">
      <c r="A10" s="4">
        <f>_xlfn.RANK.EQ(D10,D$3:D$34,0)</f>
        <v>8</v>
      </c>
      <c r="B10" s="5" t="s">
        <v>64</v>
      </c>
      <c r="C10" s="5" t="s">
        <v>9</v>
      </c>
      <c r="D10" s="6">
        <v>6.2010685108764703</v>
      </c>
      <c r="E10" s="6">
        <v>3</v>
      </c>
      <c r="F10" s="6">
        <f>D10-E10</f>
        <v>3.2010685108764703</v>
      </c>
      <c r="G10" s="7">
        <v>4.0550976517451501E-2</v>
      </c>
      <c r="H10" s="7">
        <v>7.7580842568629904E-2</v>
      </c>
      <c r="I10" s="7">
        <v>2.2057995123799599E-2</v>
      </c>
      <c r="J10" s="7">
        <v>-9.5369373869142494E-3</v>
      </c>
      <c r="L10" s="28" t="s">
        <v>55</v>
      </c>
    </row>
    <row r="11" spans="1:14" x14ac:dyDescent="0.2">
      <c r="A11" s="4">
        <f>_xlfn.RANK.EQ(D11,D$3:D$34,0)</f>
        <v>9</v>
      </c>
      <c r="B11" s="5" t="s">
        <v>64</v>
      </c>
      <c r="C11" s="5" t="s">
        <v>11</v>
      </c>
      <c r="D11" s="6">
        <v>6.0706669053671796</v>
      </c>
      <c r="E11" s="6">
        <v>5.5</v>
      </c>
      <c r="F11" s="6">
        <f>D11-E11</f>
        <v>0.57066690536717957</v>
      </c>
      <c r="G11" s="7">
        <v>2.4573057649819999E-2</v>
      </c>
      <c r="H11" s="7">
        <v>1.8751928625490601E-2</v>
      </c>
      <c r="I11" s="7">
        <v>3.6046608128944501E-3</v>
      </c>
      <c r="J11" s="7">
        <v>2.7607374122481002E-2</v>
      </c>
    </row>
    <row r="12" spans="1:14" x14ac:dyDescent="0.2">
      <c r="A12" s="4">
        <f>_xlfn.RANK.EQ(D12,D$3:D$34,0)</f>
        <v>10</v>
      </c>
      <c r="B12" s="5" t="s">
        <v>64</v>
      </c>
      <c r="C12" s="5" t="s">
        <v>8</v>
      </c>
      <c r="D12" s="6">
        <v>5.7516493098839696</v>
      </c>
      <c r="E12" s="6">
        <v>2.5</v>
      </c>
      <c r="F12" s="6">
        <f>D12-E12</f>
        <v>3.2516493098839696</v>
      </c>
      <c r="G12" s="7">
        <v>4.0316403722508401E-2</v>
      </c>
      <c r="H12" s="7">
        <v>0.100571882181553</v>
      </c>
      <c r="I12" s="7">
        <v>1.6762634896669501E-3</v>
      </c>
      <c r="J12" s="7">
        <v>3.7413664814016E-2</v>
      </c>
      <c r="M12" s="2" t="s">
        <v>128</v>
      </c>
      <c r="N12" s="48">
        <f>AVERAGEIF($B$3:$B$34, "AFC", $D$3:$D$34)</f>
        <v>3.1932659508479944</v>
      </c>
    </row>
    <row r="13" spans="1:14" x14ac:dyDescent="0.2">
      <c r="A13" s="4">
        <f>_xlfn.RANK.EQ(D13,D$3:D$34,0)</f>
        <v>11</v>
      </c>
      <c r="B13" s="5" t="s">
        <v>64</v>
      </c>
      <c r="C13" s="5" t="s">
        <v>4</v>
      </c>
      <c r="D13" s="6">
        <v>5.5785293400064102</v>
      </c>
      <c r="E13" s="6">
        <v>4</v>
      </c>
      <c r="F13" s="6">
        <f>D13-E13</f>
        <v>1.5785293400064102</v>
      </c>
      <c r="G13" s="7">
        <v>3.2898703422243797E-2</v>
      </c>
      <c r="H13" s="7">
        <v>5.8055224285604799E-2</v>
      </c>
      <c r="I13" s="7">
        <v>3.7834178813924903E-2</v>
      </c>
      <c r="J13" s="7">
        <v>2.0904114595447498E-2</v>
      </c>
      <c r="M13" s="2" t="s">
        <v>129</v>
      </c>
      <c r="N13" s="48">
        <f>AVERAGEIF($B$3:$B$34, "NFC", $D$3:$D$34)</f>
        <v>3.4595446517231183</v>
      </c>
    </row>
    <row r="14" spans="1:14" x14ac:dyDescent="0.2">
      <c r="A14" s="4">
        <f>_xlfn.RANK.EQ(D14,D$3:D$34,0)</f>
        <v>12</v>
      </c>
      <c r="B14" s="5" t="s">
        <v>63</v>
      </c>
      <c r="C14" s="5" t="s">
        <v>6</v>
      </c>
      <c r="D14" s="6">
        <v>5.3849299477494199</v>
      </c>
      <c r="E14" s="6">
        <v>5.5</v>
      </c>
      <c r="F14" s="6">
        <f>D14-E14</f>
        <v>-0.11507005225058009</v>
      </c>
      <c r="G14" s="7">
        <v>-3.9069726281164098E-2</v>
      </c>
      <c r="H14" s="7">
        <v>-1.7633529819071202E-2</v>
      </c>
      <c r="I14" s="7">
        <v>-1.35553369828988E-2</v>
      </c>
      <c r="J14" s="7">
        <v>-5.9367447230358902E-2</v>
      </c>
    </row>
    <row r="15" spans="1:14" x14ac:dyDescent="0.2">
      <c r="A15" s="4">
        <f>_xlfn.RANK.EQ(D15,D$3:D$34,0)</f>
        <v>13</v>
      </c>
      <c r="B15" s="5" t="s">
        <v>64</v>
      </c>
      <c r="C15" s="5" t="s">
        <v>14</v>
      </c>
      <c r="D15" s="6">
        <v>5.1805241932741</v>
      </c>
      <c r="E15" s="6">
        <v>2.5</v>
      </c>
      <c r="F15" s="6">
        <f>D15-E15</f>
        <v>2.6805241932741</v>
      </c>
      <c r="G15" s="7">
        <v>1.0474805727421099E-2</v>
      </c>
      <c r="H15" s="7">
        <v>1.1873795590102799E-2</v>
      </c>
      <c r="I15" s="7">
        <v>-2.0138328793027901E-2</v>
      </c>
      <c r="J15" s="7">
        <v>-8.8018262524503302E-2</v>
      </c>
    </row>
    <row r="16" spans="1:14" x14ac:dyDescent="0.2">
      <c r="A16" s="4">
        <f>_xlfn.RANK.EQ(D16,D$3:D$34,0)</f>
        <v>14</v>
      </c>
      <c r="B16" s="5" t="s">
        <v>63</v>
      </c>
      <c r="C16" s="5" t="s">
        <v>10</v>
      </c>
      <c r="D16" s="6">
        <v>5.15422391045316</v>
      </c>
      <c r="E16" s="6">
        <v>5.5</v>
      </c>
      <c r="F16" s="6">
        <f>D16-E16</f>
        <v>-0.34577608954684003</v>
      </c>
      <c r="G16" s="7">
        <v>-3.3329609055909301E-2</v>
      </c>
      <c r="H16" s="7">
        <v>-2.4383365863569401E-2</v>
      </c>
      <c r="I16" s="7">
        <v>-2.91216310839599E-2</v>
      </c>
      <c r="J16" s="7">
        <v>-3.9107032324929202E-2</v>
      </c>
    </row>
    <row r="17" spans="1:10" x14ac:dyDescent="0.2">
      <c r="A17" s="8">
        <f>_xlfn.RANK.EQ(D17,D$3:D$34,0)</f>
        <v>15</v>
      </c>
      <c r="B17" s="9" t="s">
        <v>64</v>
      </c>
      <c r="C17" s="9" t="s">
        <v>13</v>
      </c>
      <c r="D17" s="10">
        <v>4.2052962031355596</v>
      </c>
      <c r="E17" s="10">
        <v>4</v>
      </c>
      <c r="F17" s="10">
        <f>D17-E17</f>
        <v>0.20529620313555963</v>
      </c>
      <c r="G17" s="11">
        <v>-3.6559119391141898E-5</v>
      </c>
      <c r="H17" s="11">
        <v>7.6762639061083498E-3</v>
      </c>
      <c r="I17" s="11">
        <v>9.0527628140811504E-3</v>
      </c>
      <c r="J17" s="11">
        <v>-5.5856853074154004E-3</v>
      </c>
    </row>
    <row r="18" spans="1:10" x14ac:dyDescent="0.2">
      <c r="A18" s="8">
        <f>_xlfn.RANK.EQ(D18,D$3:D$34,0)</f>
        <v>16</v>
      </c>
      <c r="B18" s="9" t="s">
        <v>63</v>
      </c>
      <c r="C18" s="9" t="s">
        <v>16</v>
      </c>
      <c r="D18" s="56">
        <v>3.6237068885878299</v>
      </c>
      <c r="E18" s="10">
        <v>2.5</v>
      </c>
      <c r="F18" s="10">
        <f>D18-E18</f>
        <v>1.1237068885878299</v>
      </c>
      <c r="G18" s="11">
        <v>-5.34488374394865E-3</v>
      </c>
      <c r="H18" s="11">
        <v>1.2523209124482E-2</v>
      </c>
      <c r="I18" s="11">
        <v>4.9408354148754901E-3</v>
      </c>
      <c r="J18" s="11">
        <v>-4.7787261983761098E-2</v>
      </c>
    </row>
    <row r="19" spans="1:10" x14ac:dyDescent="0.2">
      <c r="A19" s="8">
        <f>_xlfn.RANK.EQ(D19,D$3:D$34,0)</f>
        <v>17</v>
      </c>
      <c r="B19" s="9" t="s">
        <v>63</v>
      </c>
      <c r="C19" s="9" t="s">
        <v>17</v>
      </c>
      <c r="D19" s="10">
        <v>3.5221874704955201</v>
      </c>
      <c r="E19" s="10">
        <v>2.5</v>
      </c>
      <c r="F19" s="10">
        <f>D19-E19</f>
        <v>1.0221874704955201</v>
      </c>
      <c r="G19" s="11">
        <v>-9.9963941300379496E-3</v>
      </c>
      <c r="H19" s="11">
        <v>-2.0020924156460299E-2</v>
      </c>
      <c r="I19" s="11">
        <v>-2.3792902668183302E-2</v>
      </c>
      <c r="J19" s="11">
        <v>-7.57915754208765E-2</v>
      </c>
    </row>
    <row r="20" spans="1:10" x14ac:dyDescent="0.2">
      <c r="A20" s="8">
        <f>_xlfn.RANK.EQ(D20,D$3:D$34,0)</f>
        <v>18</v>
      </c>
      <c r="B20" s="9" t="s">
        <v>64</v>
      </c>
      <c r="C20" s="9" t="s">
        <v>15</v>
      </c>
      <c r="D20" s="10">
        <v>3.1261933308947301</v>
      </c>
      <c r="E20" s="10">
        <v>3.5</v>
      </c>
      <c r="F20" s="10">
        <f>D20-E20</f>
        <v>-0.37380666910526994</v>
      </c>
      <c r="G20" s="11">
        <v>-1.2735833222795199E-2</v>
      </c>
      <c r="H20" s="11">
        <v>-2.7058900961788299E-2</v>
      </c>
      <c r="I20" s="11">
        <v>-2.4847956700069999E-2</v>
      </c>
      <c r="J20" s="11">
        <v>-4.4800206054780398E-2</v>
      </c>
    </row>
    <row r="21" spans="1:10" x14ac:dyDescent="0.2">
      <c r="A21" s="8">
        <f>_xlfn.RANK.EQ(D21,D$3:D$34,0)</f>
        <v>19</v>
      </c>
      <c r="B21" s="9" t="s">
        <v>64</v>
      </c>
      <c r="C21" s="9" t="s">
        <v>19</v>
      </c>
      <c r="D21" s="10">
        <v>2.99003438674902</v>
      </c>
      <c r="E21" s="10">
        <v>3</v>
      </c>
      <c r="F21" s="10">
        <f>D21-E21</f>
        <v>-9.9656132509799988E-3</v>
      </c>
      <c r="G21" s="11">
        <v>2.67131700298638E-2</v>
      </c>
      <c r="H21" s="11">
        <v>2.1633461777199402E-2</v>
      </c>
      <c r="I21" s="11">
        <v>1.40551737678014E-2</v>
      </c>
      <c r="J21" s="11">
        <v>5.5798555539826801E-2</v>
      </c>
    </row>
    <row r="22" spans="1:10" x14ac:dyDescent="0.2">
      <c r="A22" s="8">
        <f>_xlfn.RANK.EQ(D22,D$3:D$34,0)</f>
        <v>20</v>
      </c>
      <c r="B22" s="9" t="s">
        <v>63</v>
      </c>
      <c r="C22" s="9" t="s">
        <v>20</v>
      </c>
      <c r="D22" s="10">
        <v>2.4401462711373298</v>
      </c>
      <c r="E22" s="10">
        <v>4</v>
      </c>
      <c r="F22" s="10">
        <f>D22-E22</f>
        <v>-1.5598537288626702</v>
      </c>
      <c r="G22" s="11">
        <v>2.7821985923670001E-3</v>
      </c>
      <c r="H22" s="11">
        <v>-4.5391476626373398E-2</v>
      </c>
      <c r="I22" s="11">
        <v>-2.0240108667078302E-3</v>
      </c>
      <c r="J22" s="11">
        <v>1.49012278940627E-2</v>
      </c>
    </row>
    <row r="23" spans="1:10" x14ac:dyDescent="0.2">
      <c r="A23" s="12">
        <f>_xlfn.RANK.EQ(D23,D$3:D$34,0)</f>
        <v>21</v>
      </c>
      <c r="B23" s="13" t="s">
        <v>63</v>
      </c>
      <c r="C23" s="13" t="s">
        <v>18</v>
      </c>
      <c r="D23" s="14">
        <v>1.6613999853038</v>
      </c>
      <c r="E23" s="14">
        <v>2.5</v>
      </c>
      <c r="F23" s="14">
        <f>D23-E23</f>
        <v>-0.83860001469620005</v>
      </c>
      <c r="G23" s="15">
        <v>-5.9810286413641703E-3</v>
      </c>
      <c r="H23" s="15">
        <v>1.43749187046856E-2</v>
      </c>
      <c r="I23" s="15">
        <v>7.6174047258127601E-3</v>
      </c>
      <c r="J23" s="15">
        <v>5.0303039445773502E-2</v>
      </c>
    </row>
    <row r="24" spans="1:10" x14ac:dyDescent="0.2">
      <c r="A24" s="12">
        <f>_xlfn.RANK.EQ(D24,D$3:D$34,0)</f>
        <v>22</v>
      </c>
      <c r="B24" s="13" t="s">
        <v>64</v>
      </c>
      <c r="C24" s="13" t="s">
        <v>21</v>
      </c>
      <c r="D24" s="14">
        <v>0.770416940221052</v>
      </c>
      <c r="E24" s="14">
        <v>2.5</v>
      </c>
      <c r="F24" s="14">
        <f>D24-E24</f>
        <v>-1.7295830597789479</v>
      </c>
      <c r="G24" s="15">
        <v>-3.2795978028573002E-2</v>
      </c>
      <c r="H24" s="15">
        <v>-4.9946926173227803E-2</v>
      </c>
      <c r="I24" s="15">
        <v>-1.4672385004219E-2</v>
      </c>
      <c r="J24" s="15">
        <v>-1.84319200534462E-2</v>
      </c>
    </row>
    <row r="25" spans="1:10" x14ac:dyDescent="0.2">
      <c r="A25" s="12">
        <f>_xlfn.RANK.EQ(D25,D$3:D$34,0)</f>
        <v>23</v>
      </c>
      <c r="B25" s="13" t="s">
        <v>64</v>
      </c>
      <c r="C25" s="13" t="s">
        <v>23</v>
      </c>
      <c r="D25" s="14">
        <v>0.29647590968955601</v>
      </c>
      <c r="E25" s="14">
        <v>2.5</v>
      </c>
      <c r="F25" s="14">
        <f>D25-E25</f>
        <v>-2.2035240903104438</v>
      </c>
      <c r="G25" s="15">
        <v>-3.93812591990867E-2</v>
      </c>
      <c r="H25" s="15">
        <v>-5.0387931330649303E-2</v>
      </c>
      <c r="I25" s="15">
        <v>-1.4766778733862999E-2</v>
      </c>
      <c r="J25" s="15">
        <v>-3.5571824289129601E-3</v>
      </c>
    </row>
    <row r="26" spans="1:10" x14ac:dyDescent="0.2">
      <c r="A26" s="12">
        <f>_xlfn.RANK.EQ(D26,D$3:D$34,0)</f>
        <v>24</v>
      </c>
      <c r="B26" s="13" t="s">
        <v>63</v>
      </c>
      <c r="C26" s="13" t="s">
        <v>22</v>
      </c>
      <c r="D26" s="14">
        <v>-1.4393760329034101E-2</v>
      </c>
      <c r="E26" s="14">
        <v>2</v>
      </c>
      <c r="F26" s="14">
        <f>D26-E26</f>
        <v>-2.0143937603290341</v>
      </c>
      <c r="G26" s="15">
        <v>-3.07730679611103E-2</v>
      </c>
      <c r="H26" s="15">
        <v>-6.0896050095701398E-2</v>
      </c>
      <c r="I26" s="15">
        <v>-7.1118040232388499E-4</v>
      </c>
      <c r="J26" s="15">
        <v>-2.85573367767454E-2</v>
      </c>
    </row>
    <row r="27" spans="1:10" x14ac:dyDescent="0.2">
      <c r="A27" s="27">
        <f>_xlfn.RANK.EQ(D27,D$3:D$34,0)</f>
        <v>25</v>
      </c>
      <c r="B27" s="28" t="s">
        <v>63</v>
      </c>
      <c r="C27" s="28" t="s">
        <v>26</v>
      </c>
      <c r="D27" s="29">
        <v>-1.46032666071727</v>
      </c>
      <c r="E27" s="29">
        <v>2.5</v>
      </c>
      <c r="F27" s="29">
        <f>D27-E27</f>
        <v>-3.96032666071727</v>
      </c>
      <c r="G27" s="30">
        <v>-5.24029273606842E-2</v>
      </c>
      <c r="H27" s="30">
        <v>-0.13014936888192</v>
      </c>
      <c r="I27" s="30">
        <v>-3.6268661647228299E-2</v>
      </c>
      <c r="J27" s="30">
        <v>-3.5509883252451198E-2</v>
      </c>
    </row>
    <row r="28" spans="1:10" x14ac:dyDescent="0.2">
      <c r="A28" s="27">
        <f>_xlfn.RANK.EQ(D28,D$3:D$34,0)</f>
        <v>26</v>
      </c>
      <c r="B28" s="28" t="s">
        <v>63</v>
      </c>
      <c r="C28" s="28" t="s">
        <v>25</v>
      </c>
      <c r="D28" s="29">
        <v>-1.4639892312529701</v>
      </c>
      <c r="E28" s="29">
        <v>0.5</v>
      </c>
      <c r="F28" s="29">
        <f>D28-E28</f>
        <v>-1.9639892312529701</v>
      </c>
      <c r="G28" s="30">
        <v>4.6987950453648598E-3</v>
      </c>
      <c r="H28" s="30">
        <v>2.01948226444186E-2</v>
      </c>
      <c r="I28" s="30">
        <v>1.8955113284147399E-2</v>
      </c>
      <c r="J28" s="30">
        <v>0.120148854372872</v>
      </c>
    </row>
    <row r="29" spans="1:10" x14ac:dyDescent="0.2">
      <c r="A29" s="27">
        <f>_xlfn.RANK.EQ(D29,D$3:D$34,0)</f>
        <v>27</v>
      </c>
      <c r="B29" s="28" t="s">
        <v>63</v>
      </c>
      <c r="C29" s="28" t="s">
        <v>24</v>
      </c>
      <c r="D29" s="29">
        <v>-1.55655445411482</v>
      </c>
      <c r="E29" s="29">
        <v>2.5</v>
      </c>
      <c r="F29" s="29">
        <f>D29-E29</f>
        <v>-4.0565544541148197</v>
      </c>
      <c r="G29" s="30">
        <v>-6.7352104466014704E-3</v>
      </c>
      <c r="H29" s="30">
        <v>-9.1096168627649493E-2</v>
      </c>
      <c r="I29" s="30">
        <v>1.24048472639652E-2</v>
      </c>
      <c r="J29" s="30">
        <v>4.8460821258041298E-2</v>
      </c>
    </row>
    <row r="30" spans="1:10" x14ac:dyDescent="0.2">
      <c r="A30" s="27">
        <f>_xlfn.RANK.EQ(D30,D$3:D$34,0)</f>
        <v>28</v>
      </c>
      <c r="B30" s="28" t="s">
        <v>64</v>
      </c>
      <c r="C30" s="28" t="s">
        <v>29</v>
      </c>
      <c r="D30" s="29">
        <v>-2.0811659473653799</v>
      </c>
      <c r="E30" s="29">
        <v>0.5</v>
      </c>
      <c r="F30" s="29">
        <f>D30-E30</f>
        <v>-2.5811659473653799</v>
      </c>
      <c r="G30" s="30">
        <v>-1.3987418695412099E-2</v>
      </c>
      <c r="H30" s="30">
        <v>-5.8291026901675598E-2</v>
      </c>
      <c r="I30" s="30">
        <v>-2.2350225853139398E-3</v>
      </c>
      <c r="J30" s="30">
        <v>2.5813750585476299E-2</v>
      </c>
    </row>
    <row r="31" spans="1:10" x14ac:dyDescent="0.2">
      <c r="A31" s="27">
        <f>_xlfn.RANK.EQ(D31,D$3:D$34,0)</f>
        <v>29</v>
      </c>
      <c r="B31" s="28" t="s">
        <v>63</v>
      </c>
      <c r="C31" s="28" t="s">
        <v>27</v>
      </c>
      <c r="D31" s="29">
        <v>-2.4820358297312701</v>
      </c>
      <c r="E31" s="29">
        <v>1.5</v>
      </c>
      <c r="F31" s="29">
        <f>D31-E31</f>
        <v>-3.9820358297312701</v>
      </c>
      <c r="G31" s="30">
        <v>-3.7003439689047603E-2</v>
      </c>
      <c r="H31" s="30">
        <v>-0.113373765831335</v>
      </c>
      <c r="I31" s="30">
        <v>-1.18395147156053E-2</v>
      </c>
      <c r="J31" s="30">
        <v>-8.3335208350455905E-3</v>
      </c>
    </row>
    <row r="32" spans="1:10" x14ac:dyDescent="0.2">
      <c r="A32" s="27">
        <f>_xlfn.RANK.EQ(D32,D$3:D$34,0)</f>
        <v>30</v>
      </c>
      <c r="B32" s="28" t="s">
        <v>63</v>
      </c>
      <c r="C32" s="28" t="s">
        <v>30</v>
      </c>
      <c r="D32" s="29">
        <v>-3.0521246232783201</v>
      </c>
      <c r="E32" s="29">
        <v>0.5</v>
      </c>
      <c r="F32" s="29">
        <f>D32-E32</f>
        <v>-3.5521246232783201</v>
      </c>
      <c r="G32" s="30">
        <v>-1.21631942130139E-2</v>
      </c>
      <c r="H32" s="30">
        <v>-0.104221171202917</v>
      </c>
      <c r="I32" s="30">
        <v>-8.4078205525373699E-3</v>
      </c>
      <c r="J32" s="30">
        <v>1.23763470076758E-2</v>
      </c>
    </row>
    <row r="33" spans="1:10" x14ac:dyDescent="0.2">
      <c r="A33" s="27">
        <f>_xlfn.RANK.EQ(D33,D$3:D$34,0)</f>
        <v>31</v>
      </c>
      <c r="B33" s="28" t="s">
        <v>64</v>
      </c>
      <c r="C33" s="28" t="s">
        <v>28</v>
      </c>
      <c r="D33" s="29">
        <v>-3.44057054161618</v>
      </c>
      <c r="E33" s="29">
        <v>0.5</v>
      </c>
      <c r="F33" s="29">
        <f>D33-E33</f>
        <v>-3.94057054161618</v>
      </c>
      <c r="G33" s="30">
        <v>-2.9114320020778899E-2</v>
      </c>
      <c r="H33" s="30">
        <v>-9.4452354290177107E-2</v>
      </c>
      <c r="I33" s="30">
        <v>3.4441623947522502E-3</v>
      </c>
      <c r="J33" s="30">
        <v>1.6373973823505601E-2</v>
      </c>
    </row>
    <row r="34" spans="1:10" x14ac:dyDescent="0.2">
      <c r="A34" s="27">
        <f>_xlfn.RANK.EQ(D34,D$3:D$34,0)</f>
        <v>32</v>
      </c>
      <c r="B34" s="28" t="s">
        <v>64</v>
      </c>
      <c r="C34" s="28" t="s">
        <v>31</v>
      </c>
      <c r="D34" s="29">
        <v>-3.9547699301717101</v>
      </c>
      <c r="E34" s="29">
        <v>1.5</v>
      </c>
      <c r="F34" s="29">
        <f>D34-E34</f>
        <v>-5.4547699301717101</v>
      </c>
      <c r="G34" s="30">
        <v>-1.8213686821489598E-2</v>
      </c>
      <c r="H34" s="30">
        <v>-8.2705374119579594E-2</v>
      </c>
      <c r="I34" s="30">
        <v>4.0965742750762799E-2</v>
      </c>
      <c r="J34" s="30">
        <v>9.5189019739281996E-2</v>
      </c>
    </row>
  </sheetData>
  <autoFilter ref="A2:J2" xr:uid="{FE2DA13E-67E2-ED40-8D6B-D4A7DE0D6F5A}">
    <sortState xmlns:xlrd2="http://schemas.microsoft.com/office/spreadsheetml/2017/richdata2" ref="A3:J34">
      <sortCondition descending="1" ref="D2:D34"/>
    </sortState>
  </autoFilter>
  <mergeCells count="1">
    <mergeCell ref="A1:J1"/>
  </mergeCells>
  <conditionalFormatting sqref="A2:J2">
    <cfRule type="colorScale" priority="1">
      <colorScale>
        <cfvo type="min"/>
        <cfvo type="num" val="$D$4:$D$35&lt;0"/>
        <color rgb="FFFF7128"/>
        <color rgb="FFFF0000"/>
      </colorScale>
    </cfRule>
  </conditionalFormatting>
  <dataValidations count="1">
    <dataValidation type="list" allowBlank="1" showInputMessage="1" showErrorMessage="1" sqref="M2:N2" xr:uid="{22C5BBF8-0734-7445-9274-4066AD1797C5}">
      <formula1>$C$3:$C$34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7133-0DE7-104A-B08E-08568769F9DC}">
  <dimension ref="A1:B33"/>
  <sheetViews>
    <sheetView workbookViewId="0">
      <selection activeCell="B3" sqref="B3"/>
    </sheetView>
  </sheetViews>
  <sheetFormatPr baseColWidth="10" defaultRowHeight="16" x14ac:dyDescent="0.2"/>
  <cols>
    <col min="1" max="1" width="8" bestFit="1" customWidth="1"/>
    <col min="2" max="2" width="16.83203125" style="24" bestFit="1" customWidth="1"/>
  </cols>
  <sheetData>
    <row r="1" spans="1:2" x14ac:dyDescent="0.2">
      <c r="A1" s="25" t="s">
        <v>39</v>
      </c>
      <c r="B1" s="26" t="s">
        <v>59</v>
      </c>
    </row>
    <row r="2" spans="1:2" x14ac:dyDescent="0.2">
      <c r="A2" s="25" t="s">
        <v>13</v>
      </c>
      <c r="B2" s="26">
        <f>VLOOKUP(A2,'Week 15 Power Rankings'!C$3:D$34, 2,FALSE) - VLOOKUP(A2,'Week 14 Power Rankings'!C$3:D$34, 2,FALSE)</f>
        <v>0.71733210658207991</v>
      </c>
    </row>
    <row r="3" spans="1:2" x14ac:dyDescent="0.2">
      <c r="A3" s="25" t="s">
        <v>31</v>
      </c>
      <c r="B3" s="26">
        <f>VLOOKUP(A3,'Week 15 Power Rankings'!C$3:D$34, 2,FALSE) - VLOOKUP(A3,'Week 14 Power Rankings'!C$3:D$34, 2,FALSE)</f>
        <v>0.50707619727905984</v>
      </c>
    </row>
    <row r="4" spans="1:2" x14ac:dyDescent="0.2">
      <c r="A4" s="25" t="s">
        <v>20</v>
      </c>
      <c r="B4" s="26">
        <f>VLOOKUP(A4,'Week 15 Power Rankings'!C$3:D$34, 2,FALSE) - VLOOKUP(A4,'Week 14 Power Rankings'!C$3:D$34, 2,FALSE)</f>
        <v>0.48239636794845886</v>
      </c>
    </row>
    <row r="5" spans="1:2" x14ac:dyDescent="0.2">
      <c r="A5" s="25" t="s">
        <v>11</v>
      </c>
      <c r="B5" s="26">
        <f>VLOOKUP(A5,'Week 15 Power Rankings'!C$3:D$34, 2,FALSE) - VLOOKUP(A5,'Week 14 Power Rankings'!C$3:D$34, 2,FALSE)</f>
        <v>0.41723144346688024</v>
      </c>
    </row>
    <row r="6" spans="1:2" x14ac:dyDescent="0.2">
      <c r="A6" s="25" t="s">
        <v>0</v>
      </c>
      <c r="B6" s="26">
        <f>VLOOKUP(A6,'Week 15 Power Rankings'!C$3:D$34, 2,FALSE) - VLOOKUP(A6,'Week 14 Power Rankings'!C$3:D$34, 2,FALSE)</f>
        <v>0.25995931271109995</v>
      </c>
    </row>
    <row r="7" spans="1:2" x14ac:dyDescent="0.2">
      <c r="A7" s="25" t="s">
        <v>7</v>
      </c>
      <c r="B7" s="26">
        <f>VLOOKUP(A7,'Week 15 Power Rankings'!C$3:D$34, 2,FALSE) - VLOOKUP(A7,'Week 14 Power Rankings'!C$3:D$34, 2,FALSE)</f>
        <v>0.2380200897385496</v>
      </c>
    </row>
    <row r="8" spans="1:2" x14ac:dyDescent="0.2">
      <c r="A8" s="25" t="s">
        <v>18</v>
      </c>
      <c r="B8" s="26">
        <f>VLOOKUP(A8,'Week 15 Power Rankings'!C$3:D$34, 2,FALSE) - VLOOKUP(A8,'Week 14 Power Rankings'!C$3:D$34, 2,FALSE)</f>
        <v>0.22418324454465011</v>
      </c>
    </row>
    <row r="9" spans="1:2" x14ac:dyDescent="0.2">
      <c r="A9" s="25" t="s">
        <v>19</v>
      </c>
      <c r="B9" s="26">
        <f>VLOOKUP(A9,'Week 15 Power Rankings'!C$3:D$34, 2,FALSE) - VLOOKUP(A9,'Week 14 Power Rankings'!C$3:D$34, 2,FALSE)</f>
        <v>0.21157425279043984</v>
      </c>
    </row>
    <row r="10" spans="1:2" x14ac:dyDescent="0.2">
      <c r="A10" s="25" t="s">
        <v>15</v>
      </c>
      <c r="B10" s="26">
        <f>VLOOKUP(A10,'Week 15 Power Rankings'!C$3:D$34, 2,FALSE) - VLOOKUP(A10,'Week 14 Power Rankings'!C$3:D$34, 2,FALSE)</f>
        <v>0.2075571144442101</v>
      </c>
    </row>
    <row r="11" spans="1:2" x14ac:dyDescent="0.2">
      <c r="A11" s="25" t="s">
        <v>14</v>
      </c>
      <c r="B11" s="26">
        <f>VLOOKUP(A11,'Week 15 Power Rankings'!C$3:D$34, 2,FALSE) - VLOOKUP(A11,'Week 14 Power Rankings'!C$3:D$34, 2,FALSE)</f>
        <v>0.68480603572888921</v>
      </c>
    </row>
    <row r="12" spans="1:2" x14ac:dyDescent="0.2">
      <c r="A12" s="25" t="s">
        <v>26</v>
      </c>
      <c r="B12" s="26">
        <f>VLOOKUP(A12,'Week 15 Power Rankings'!C$3:D$34, 2,FALSE) - VLOOKUP(A12,'Week 14 Power Rankings'!C$3:D$34, 2,FALSE)</f>
        <v>0.17967729824465994</v>
      </c>
    </row>
    <row r="13" spans="1:2" x14ac:dyDescent="0.2">
      <c r="A13" s="25" t="s">
        <v>17</v>
      </c>
      <c r="B13" s="26">
        <f>VLOOKUP(A13,'Week 15 Power Rankings'!C$3:D$34, 2,FALSE) - VLOOKUP(A13,'Week 14 Power Rankings'!C$3:D$34, 2,FALSE)</f>
        <v>5.6958209420139738E-2</v>
      </c>
    </row>
    <row r="14" spans="1:2" x14ac:dyDescent="0.2">
      <c r="A14" s="25" t="s">
        <v>5</v>
      </c>
      <c r="B14" s="26">
        <f>VLOOKUP(A14,'Week 15 Power Rankings'!C$3:D$34, 2,FALSE) - VLOOKUP(A14,'Week 14 Power Rankings'!C$3:D$34, 2,FALSE)</f>
        <v>2.8066281833005746E-3</v>
      </c>
    </row>
    <row r="15" spans="1:2" x14ac:dyDescent="0.2">
      <c r="A15" s="25" t="s">
        <v>1</v>
      </c>
      <c r="B15" s="26">
        <f>VLOOKUP(A15,'Week 15 Power Rankings'!C$3:D$34, 2,FALSE) - VLOOKUP(A15,'Week 14 Power Rankings'!C$3:D$34, 2,FALSE)</f>
        <v>1.5503583746099281E-2</v>
      </c>
    </row>
    <row r="16" spans="1:2" x14ac:dyDescent="0.2">
      <c r="A16" s="25" t="s">
        <v>8</v>
      </c>
      <c r="B16" s="26">
        <f>VLOOKUP(A16,'Week 15 Power Rankings'!C$3:D$34, 2,FALSE) - VLOOKUP(A16,'Week 14 Power Rankings'!C$3:D$34, 2,FALSE)</f>
        <v>6.5905214230701503E-3</v>
      </c>
    </row>
    <row r="17" spans="1:2" x14ac:dyDescent="0.2">
      <c r="A17" s="25" t="s">
        <v>29</v>
      </c>
      <c r="B17" s="26">
        <f>VLOOKUP(A17,'Week 15 Power Rankings'!C$3:D$34, 2,FALSE) - VLOOKUP(A17,'Week 14 Power Rankings'!C$3:D$34, 2,FALSE)</f>
        <v>-3.1129633802239987E-2</v>
      </c>
    </row>
    <row r="18" spans="1:2" x14ac:dyDescent="0.2">
      <c r="A18" s="25" t="s">
        <v>28</v>
      </c>
      <c r="B18" s="26">
        <f>VLOOKUP(A18,'Week 15 Power Rankings'!C$3:D$34, 2,FALSE) - VLOOKUP(A18,'Week 14 Power Rankings'!C$3:D$34, 2,FALSE)</f>
        <v>-1.9537288481830117E-2</v>
      </c>
    </row>
    <row r="19" spans="1:2" x14ac:dyDescent="0.2">
      <c r="A19" s="25" t="s">
        <v>6</v>
      </c>
      <c r="B19" s="26">
        <f>VLOOKUP(A19,'Week 15 Power Rankings'!C$3:D$34, 2,FALSE) - VLOOKUP(A19,'Week 14 Power Rankings'!C$3:D$34, 2,FALSE)</f>
        <v>-3.7198472055130161E-2</v>
      </c>
    </row>
    <row r="20" spans="1:2" x14ac:dyDescent="0.2">
      <c r="A20" s="25" t="s">
        <v>24</v>
      </c>
      <c r="B20" s="26">
        <f>VLOOKUP(A20,'Week 15 Power Rankings'!C$3:D$34, 2,FALSE) - VLOOKUP(A20,'Week 14 Power Rankings'!C$3:D$34, 2,FALSE)</f>
        <v>-5.5837642179199953E-2</v>
      </c>
    </row>
    <row r="21" spans="1:2" x14ac:dyDescent="0.2">
      <c r="A21" s="25" t="s">
        <v>10</v>
      </c>
      <c r="B21" s="26">
        <f>VLOOKUP(A21,'Week 15 Power Rankings'!C$3:D$34, 2,FALSE) - VLOOKUP(A21,'Week 14 Power Rankings'!C$3:D$34, 2,FALSE)</f>
        <v>-6.5597861958620385E-2</v>
      </c>
    </row>
    <row r="22" spans="1:2" x14ac:dyDescent="0.2">
      <c r="A22" s="25" t="s">
        <v>22</v>
      </c>
      <c r="B22" s="26">
        <f>VLOOKUP(A22,'Week 15 Power Rankings'!C$3:D$34, 2,FALSE) - VLOOKUP(A22,'Week 14 Power Rankings'!C$3:D$34, 2,FALSE)</f>
        <v>-6.8622237345443926E-2</v>
      </c>
    </row>
    <row r="23" spans="1:2" x14ac:dyDescent="0.2">
      <c r="A23" s="25" t="s">
        <v>9</v>
      </c>
      <c r="B23" s="26">
        <f>VLOOKUP(A23,'Week 15 Power Rankings'!C$3:D$34, 2,FALSE) - VLOOKUP(A23,'Week 14 Power Rankings'!C$3:D$34, 2,FALSE)</f>
        <v>-8.3651064642110029E-2</v>
      </c>
    </row>
    <row r="24" spans="1:2" x14ac:dyDescent="0.2">
      <c r="A24" s="25" t="s">
        <v>2</v>
      </c>
      <c r="B24" s="26">
        <f>VLOOKUP(A24,'Week 15 Power Rankings'!C$3:D$34, 2,FALSE) - VLOOKUP(A24,'Week 14 Power Rankings'!C$3:D$34, 2,FALSE)</f>
        <v>-0.1132315105102002</v>
      </c>
    </row>
    <row r="25" spans="1:2" x14ac:dyDescent="0.2">
      <c r="A25" s="25" t="s">
        <v>16</v>
      </c>
      <c r="B25" s="26">
        <f>VLOOKUP(A25,'Week 15 Power Rankings'!C$3:D$34, 2,FALSE) - VLOOKUP(A25,'Week 14 Power Rankings'!C$3:D$34, 2,FALSE)</f>
        <v>-0.13324857702459969</v>
      </c>
    </row>
    <row r="26" spans="1:2" x14ac:dyDescent="0.2">
      <c r="A26" s="25" t="s">
        <v>30</v>
      </c>
      <c r="B26" s="26">
        <f>VLOOKUP(A26,'Week 15 Power Rankings'!C$3:D$34, 2,FALSE) - VLOOKUP(A26,'Week 14 Power Rankings'!C$3:D$34, 2,FALSE)</f>
        <v>-0.1416501918187798</v>
      </c>
    </row>
    <row r="27" spans="1:2" x14ac:dyDescent="0.2">
      <c r="A27" s="25" t="s">
        <v>25</v>
      </c>
      <c r="B27" s="26">
        <f>VLOOKUP(A27,'Week 15 Power Rankings'!C$3:D$34, 2,FALSE) - VLOOKUP(A27,'Week 14 Power Rankings'!C$3:D$34, 2,FALSE)</f>
        <v>-0.18434297249878995</v>
      </c>
    </row>
    <row r="28" spans="1:2" x14ac:dyDescent="0.2">
      <c r="A28" s="25" t="s">
        <v>21</v>
      </c>
      <c r="B28" s="26">
        <f>VLOOKUP(A28,'Week 15 Power Rankings'!C$3:D$34, 2,FALSE) - VLOOKUP(A28,'Week 14 Power Rankings'!C$3:D$34, 2,FALSE)</f>
        <v>-2.1869255264511498</v>
      </c>
    </row>
    <row r="29" spans="1:2" x14ac:dyDescent="0.2">
      <c r="A29" s="25" t="s">
        <v>3</v>
      </c>
      <c r="B29" s="26">
        <f>VLOOKUP(A29,'Week 15 Power Rankings'!C$3:D$34, 2,FALSE) - VLOOKUP(A29,'Week 14 Power Rankings'!C$3:D$34, 2,FALSE)</f>
        <v>-0.24874280809235927</v>
      </c>
    </row>
    <row r="30" spans="1:2" x14ac:dyDescent="0.2">
      <c r="A30" s="25" t="s">
        <v>27</v>
      </c>
      <c r="B30" s="26">
        <f>VLOOKUP(A30,'Week 15 Power Rankings'!C$3:D$34, 2,FALSE) - VLOOKUP(A30,'Week 14 Power Rankings'!C$3:D$34, 2,FALSE)</f>
        <v>-0.44248403593326979</v>
      </c>
    </row>
    <row r="31" spans="1:2" x14ac:dyDescent="0.2">
      <c r="A31" s="25" t="s">
        <v>12</v>
      </c>
      <c r="B31" s="26">
        <f>VLOOKUP(A31,'Week 15 Power Rankings'!C$3:D$34, 2,FALSE) - VLOOKUP(A31,'Week 14 Power Rankings'!C$3:D$34, 2,FALSE)</f>
        <v>-0.47845579024405982</v>
      </c>
    </row>
    <row r="32" spans="1:2" x14ac:dyDescent="0.2">
      <c r="A32" s="25" t="s">
        <v>23</v>
      </c>
      <c r="B32" s="26">
        <f>VLOOKUP(A32,'Week 15 Power Rankings'!C$3:D$34, 2,FALSE) - VLOOKUP(A32,'Week 14 Power Rankings'!C$3:D$34, 2,FALSE)</f>
        <v>-0.59244515729387692</v>
      </c>
    </row>
    <row r="33" spans="1:2" x14ac:dyDescent="0.2">
      <c r="A33" s="25" t="s">
        <v>4</v>
      </c>
      <c r="B33" s="26">
        <f>VLOOKUP(A33,'Week 15 Power Rankings'!C$3:D$34, 2,FALSE) - VLOOKUP(A33,'Week 14 Power Rankings'!C$3:D$34, 2,FALSE)</f>
        <v>-0.77075068441595018</v>
      </c>
    </row>
  </sheetData>
  <autoFilter ref="A1:B1" xr:uid="{C0E07133-0DE7-104A-B08E-08568769F9DC}">
    <sortState xmlns:xlrd2="http://schemas.microsoft.com/office/spreadsheetml/2017/richdata2" ref="A2:B33">
      <sortCondition descending="1" ref="B1:B3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5E12-B203-C647-B698-C7E306CEF02B}">
  <dimension ref="A1:L48"/>
  <sheetViews>
    <sheetView workbookViewId="0">
      <selection activeCell="J20" sqref="J20"/>
    </sheetView>
  </sheetViews>
  <sheetFormatPr baseColWidth="10" defaultRowHeight="15" x14ac:dyDescent="0.2"/>
  <cols>
    <col min="1" max="6" width="10.83203125" style="37"/>
    <col min="7" max="7" width="15.6640625" style="37" bestFit="1" customWidth="1"/>
    <col min="8" max="9" width="10.83203125" style="37"/>
    <col min="10" max="10" width="31.5" style="37" customWidth="1"/>
    <col min="11" max="16384" width="10.83203125" style="37"/>
  </cols>
  <sheetData>
    <row r="1" spans="1:12" s="36" customFormat="1" ht="20" x14ac:dyDescent="0.25">
      <c r="A1" s="53" t="s">
        <v>122</v>
      </c>
      <c r="B1" s="53"/>
      <c r="C1" s="53"/>
      <c r="E1" s="53" t="s">
        <v>120</v>
      </c>
      <c r="F1" s="53"/>
      <c r="G1" s="53"/>
    </row>
    <row r="2" spans="1:12" s="38" customFormat="1" ht="16" x14ac:dyDescent="0.2">
      <c r="A2" s="39" t="s">
        <v>40</v>
      </c>
      <c r="B2" s="39" t="s">
        <v>39</v>
      </c>
      <c r="C2" s="39" t="s">
        <v>118</v>
      </c>
      <c r="E2" s="39" t="s">
        <v>40</v>
      </c>
      <c r="F2" s="39" t="s">
        <v>39</v>
      </c>
      <c r="G2" s="39" t="s">
        <v>121</v>
      </c>
    </row>
    <row r="3" spans="1:12" s="38" customFormat="1" ht="16" x14ac:dyDescent="0.2">
      <c r="A3" s="40">
        <f t="shared" ref="A3:A34" si="0">_xlfn.RANK.EQ(C3,C$3:C$34,0)</f>
        <v>1</v>
      </c>
      <c r="B3" s="40" t="s">
        <v>86</v>
      </c>
      <c r="C3" s="40">
        <v>6.8</v>
      </c>
      <c r="E3" s="41">
        <f t="shared" ref="E3:E34" si="1">_xlfn.RANK.EQ(G3,G$3:G$34,0)</f>
        <v>1</v>
      </c>
      <c r="F3" s="40" t="s">
        <v>93</v>
      </c>
      <c r="G3" s="41">
        <f>VLOOKUP(F3,B$3:C$34,2,FALSE)-VLOOKUP(F3,'Preseason Power Ratings'!B$2:C$33,2,FALSE)</f>
        <v>4.9000000000000004</v>
      </c>
      <c r="I3" s="2" t="s">
        <v>119</v>
      </c>
      <c r="J3" s="23" t="s">
        <v>141</v>
      </c>
    </row>
    <row r="4" spans="1:12" s="38" customFormat="1" ht="16" x14ac:dyDescent="0.2">
      <c r="A4" s="40">
        <f t="shared" si="0"/>
        <v>2</v>
      </c>
      <c r="B4" s="40" t="s">
        <v>87</v>
      </c>
      <c r="C4" s="40">
        <v>6.2</v>
      </c>
      <c r="E4" s="41">
        <f t="shared" si="1"/>
        <v>2</v>
      </c>
      <c r="F4" s="40" t="s">
        <v>86</v>
      </c>
      <c r="G4" s="41">
        <f>VLOOKUP(F4,B$3:C$34,2,FALSE)-VLOOKUP(F4,'Preseason Power Ratings'!B$2:C$33,2,FALSE)</f>
        <v>4.0999999999999996</v>
      </c>
    </row>
    <row r="5" spans="1:12" s="38" customFormat="1" ht="16" x14ac:dyDescent="0.2">
      <c r="A5" s="40">
        <f t="shared" si="0"/>
        <v>3</v>
      </c>
      <c r="B5" s="40" t="s">
        <v>88</v>
      </c>
      <c r="C5" s="40">
        <v>5.9</v>
      </c>
      <c r="E5" s="41">
        <f t="shared" si="1"/>
        <v>2</v>
      </c>
      <c r="F5" s="40" t="s">
        <v>99</v>
      </c>
      <c r="G5" s="41">
        <f>VLOOKUP(F5,B$3:C$34,2,FALSE)-VLOOKUP(F5,'Preseason Power Ratings'!B$2:C$33,2,FALSE)</f>
        <v>4.0999999999999996</v>
      </c>
    </row>
    <row r="6" spans="1:12" s="38" customFormat="1" ht="16" x14ac:dyDescent="0.2">
      <c r="A6" s="40">
        <f t="shared" si="0"/>
        <v>4</v>
      </c>
      <c r="B6" s="40" t="s">
        <v>127</v>
      </c>
      <c r="C6" s="40">
        <v>5</v>
      </c>
      <c r="E6" s="41">
        <f t="shared" si="1"/>
        <v>4</v>
      </c>
      <c r="F6" s="40" t="s">
        <v>102</v>
      </c>
      <c r="G6" s="41">
        <f>VLOOKUP(F6,B$3:C$34,2,FALSE)-VLOOKUP(F6,'Preseason Power Ratings'!B$2:C$33,2,FALSE)</f>
        <v>4</v>
      </c>
    </row>
    <row r="7" spans="1:12" s="38" customFormat="1" ht="16" x14ac:dyDescent="0.2">
      <c r="A7" s="40">
        <f t="shared" si="0"/>
        <v>5</v>
      </c>
      <c r="B7" s="40" t="s">
        <v>90</v>
      </c>
      <c r="C7" s="40">
        <v>4.5999999999999996</v>
      </c>
      <c r="E7" s="41">
        <f t="shared" si="1"/>
        <v>5</v>
      </c>
      <c r="F7" s="40" t="s">
        <v>87</v>
      </c>
      <c r="G7" s="41">
        <f>VLOOKUP(F7,B$3:C$34,2,FALSE)-VLOOKUP(F7,'Preseason Power Ratings'!B$2:C$33,2,FALSE)</f>
        <v>3.6</v>
      </c>
      <c r="I7" s="45"/>
      <c r="J7" s="2" t="str">
        <f>"Line Prediction ("&amp;K7&amp;" vs "&amp;L7&amp;"): " &amp; ROUND(INDEX(C$3:C$34, MATCH(K7, B$3:B$34, 0)) - INDEX(C$3:C$34, MATCH(L7, B$3:B$34, 0)), 1)</f>
        <v>Line Prediction ( MIA vs  BUF): -3.4</v>
      </c>
      <c r="K7" s="44" t="s">
        <v>94</v>
      </c>
      <c r="L7" s="44" t="s">
        <v>87</v>
      </c>
    </row>
    <row r="8" spans="1:12" s="38" customFormat="1" ht="16" x14ac:dyDescent="0.2">
      <c r="A8" s="40">
        <f t="shared" si="0"/>
        <v>6</v>
      </c>
      <c r="B8" s="40" t="s">
        <v>91</v>
      </c>
      <c r="C8" s="40">
        <v>3.5</v>
      </c>
      <c r="E8" s="41">
        <f t="shared" si="1"/>
        <v>6</v>
      </c>
      <c r="F8" s="40" t="s">
        <v>89</v>
      </c>
      <c r="G8" s="41">
        <f>VLOOKUP(F8,B$3:C$34,2,FALSE)-VLOOKUP(F8,'Preseason Power Ratings'!B$2:C$33,2,FALSE)</f>
        <v>3.4</v>
      </c>
    </row>
    <row r="9" spans="1:12" s="38" customFormat="1" ht="16" x14ac:dyDescent="0.2">
      <c r="A9" s="40">
        <f t="shared" si="0"/>
        <v>7</v>
      </c>
      <c r="B9" s="40" t="s">
        <v>92</v>
      </c>
      <c r="C9" s="40">
        <v>3</v>
      </c>
      <c r="E9" s="41">
        <f t="shared" si="1"/>
        <v>7</v>
      </c>
      <c r="F9" s="40" t="s">
        <v>96</v>
      </c>
      <c r="G9" s="41">
        <f>VLOOKUP(F9,B$3:C$34,2,FALSE)-VLOOKUP(F9,'Preseason Power Ratings'!B$2:C$33,2,FALSE)</f>
        <v>2.4</v>
      </c>
    </row>
    <row r="10" spans="1:12" s="38" customFormat="1" ht="16" x14ac:dyDescent="0.2">
      <c r="A10" s="40">
        <f t="shared" si="0"/>
        <v>7</v>
      </c>
      <c r="B10" s="40" t="s">
        <v>93</v>
      </c>
      <c r="C10" s="40">
        <v>3</v>
      </c>
      <c r="E10" s="41">
        <f t="shared" si="1"/>
        <v>7</v>
      </c>
      <c r="F10" s="40" t="s">
        <v>100</v>
      </c>
      <c r="G10" s="41">
        <f>VLOOKUP(F10,B$3:C$34,2,FALSE)-VLOOKUP(F10,'Preseason Power Ratings'!B$2:C$33,2,FALSE)</f>
        <v>2.4</v>
      </c>
    </row>
    <row r="11" spans="1:12" s="38" customFormat="1" ht="16" x14ac:dyDescent="0.2">
      <c r="A11" s="40">
        <f t="shared" si="0"/>
        <v>9</v>
      </c>
      <c r="B11" s="40" t="s">
        <v>94</v>
      </c>
      <c r="C11" s="40">
        <v>2.8</v>
      </c>
      <c r="E11" s="41">
        <f t="shared" si="1"/>
        <v>9</v>
      </c>
      <c r="F11" s="40" t="s">
        <v>88</v>
      </c>
      <c r="G11" s="41">
        <f>VLOOKUP(F11,B$3:C$34,2,FALSE)-VLOOKUP(F11,'Preseason Power Ratings'!B$2:C$33,2,FALSE)</f>
        <v>1.9000000000000004</v>
      </c>
    </row>
    <row r="12" spans="1:12" s="38" customFormat="1" ht="16" x14ac:dyDescent="0.2">
      <c r="A12" s="40">
        <f t="shared" si="0"/>
        <v>10</v>
      </c>
      <c r="B12" s="40" t="s">
        <v>96</v>
      </c>
      <c r="C12" s="40">
        <v>1.9</v>
      </c>
      <c r="E12" s="41">
        <f t="shared" si="1"/>
        <v>10</v>
      </c>
      <c r="F12" s="40" t="s">
        <v>97</v>
      </c>
      <c r="G12" s="41">
        <f>VLOOKUP(F12,B$3:C$34,2,FALSE)-VLOOKUP(F12,'Preseason Power Ratings'!B$2:C$33,2,FALSE)</f>
        <v>1.6</v>
      </c>
    </row>
    <row r="13" spans="1:12" s="38" customFormat="1" ht="16" x14ac:dyDescent="0.2">
      <c r="A13" s="40">
        <f t="shared" si="0"/>
        <v>11</v>
      </c>
      <c r="B13" s="40" t="s">
        <v>98</v>
      </c>
      <c r="C13" s="40">
        <v>1.8</v>
      </c>
      <c r="E13" s="41">
        <f t="shared" si="1"/>
        <v>11</v>
      </c>
      <c r="F13" s="40" t="s">
        <v>91</v>
      </c>
      <c r="G13" s="41">
        <f>VLOOKUP(F13,B$3:C$34,2,FALSE)-VLOOKUP(F13,'Preseason Power Ratings'!B$2:C$33,2,FALSE)</f>
        <v>1.5</v>
      </c>
    </row>
    <row r="14" spans="1:12" s="38" customFormat="1" ht="16" x14ac:dyDescent="0.2">
      <c r="A14" s="40">
        <f t="shared" si="0"/>
        <v>12</v>
      </c>
      <c r="B14" s="40" t="s">
        <v>95</v>
      </c>
      <c r="C14" s="40">
        <v>1.7</v>
      </c>
      <c r="E14" s="41">
        <f t="shared" si="1"/>
        <v>12</v>
      </c>
      <c r="F14" s="40" t="s">
        <v>92</v>
      </c>
      <c r="G14" s="41">
        <f>VLOOKUP(F14,B$3:C$34,2,FALSE)-VLOOKUP(F14,'Preseason Power Ratings'!B$2:C$33,2,FALSE)</f>
        <v>1.4</v>
      </c>
    </row>
    <row r="15" spans="1:12" s="38" customFormat="1" ht="16" x14ac:dyDescent="0.2">
      <c r="A15" s="40">
        <f t="shared" si="0"/>
        <v>13</v>
      </c>
      <c r="B15" s="40" t="s">
        <v>99</v>
      </c>
      <c r="C15" s="40">
        <v>1.2</v>
      </c>
      <c r="E15" s="41">
        <f t="shared" si="1"/>
        <v>13</v>
      </c>
      <c r="F15" s="40" t="s">
        <v>104</v>
      </c>
      <c r="G15" s="41">
        <f>VLOOKUP(F15,B$3:C$34,2,FALSE)-VLOOKUP(F15,'Preseason Power Ratings'!B$2:C$33,2,FALSE)</f>
        <v>1.2999999999999998</v>
      </c>
    </row>
    <row r="16" spans="1:12" s="38" customFormat="1" ht="16" x14ac:dyDescent="0.2">
      <c r="A16" s="40">
        <f t="shared" si="0"/>
        <v>14</v>
      </c>
      <c r="B16" s="40" t="s">
        <v>101</v>
      </c>
      <c r="C16" s="40">
        <v>0.8</v>
      </c>
      <c r="E16" s="41">
        <f t="shared" si="1"/>
        <v>14</v>
      </c>
      <c r="F16" s="40" t="s">
        <v>101</v>
      </c>
      <c r="G16" s="41">
        <f>VLOOKUP(F16,B$3:C$34,2,FALSE)-VLOOKUP(F16,'Preseason Power Ratings'!B$2:C$33,2,FALSE)</f>
        <v>1.2000000000000002</v>
      </c>
    </row>
    <row r="17" spans="1:7" s="38" customFormat="1" ht="16" x14ac:dyDescent="0.2">
      <c r="A17" s="40">
        <f t="shared" si="0"/>
        <v>15</v>
      </c>
      <c r="B17" s="40" t="s">
        <v>100</v>
      </c>
      <c r="C17" s="40">
        <v>0.4</v>
      </c>
      <c r="E17" s="41">
        <f t="shared" si="1"/>
        <v>15</v>
      </c>
      <c r="F17" s="40" t="s">
        <v>94</v>
      </c>
      <c r="G17" s="41">
        <f>VLOOKUP(F17,B$3:C$34,2,FALSE)-VLOOKUP(F17,'Preseason Power Ratings'!B$2:C$33,2,FALSE)</f>
        <v>1.0999999999999999</v>
      </c>
    </row>
    <row r="18" spans="1:7" s="38" customFormat="1" ht="16" x14ac:dyDescent="0.2">
      <c r="A18" s="40">
        <f t="shared" si="0"/>
        <v>16</v>
      </c>
      <c r="B18" s="40" t="s">
        <v>102</v>
      </c>
      <c r="C18" s="40">
        <v>0.3</v>
      </c>
      <c r="E18" s="41">
        <f t="shared" si="1"/>
        <v>16</v>
      </c>
      <c r="F18" s="40" t="s">
        <v>90</v>
      </c>
      <c r="G18" s="41">
        <f>VLOOKUP(F18,B$3:C$34,2,FALSE)-VLOOKUP(F18,'Preseason Power Ratings'!B$2:C$33,2,FALSE)</f>
        <v>0.29999999999999982</v>
      </c>
    </row>
    <row r="19" spans="1:7" s="38" customFormat="1" ht="16" x14ac:dyDescent="0.2">
      <c r="A19" s="40">
        <f t="shared" si="0"/>
        <v>17</v>
      </c>
      <c r="B19" s="40" t="s">
        <v>103</v>
      </c>
      <c r="C19" s="40">
        <v>0.2</v>
      </c>
      <c r="E19" s="41">
        <f t="shared" si="1"/>
        <v>17</v>
      </c>
      <c r="F19" s="40" t="s">
        <v>110</v>
      </c>
      <c r="G19" s="41">
        <f>VLOOKUP(F19,B$3:C$34,2,FALSE)-VLOOKUP(F19,'Preseason Power Ratings'!B$2:C$33,2,FALSE)</f>
        <v>0.20000000000000018</v>
      </c>
    </row>
    <row r="20" spans="1:7" s="38" customFormat="1" ht="16" x14ac:dyDescent="0.2">
      <c r="A20" s="40">
        <f t="shared" si="0"/>
        <v>18</v>
      </c>
      <c r="B20" s="40" t="s">
        <v>97</v>
      </c>
      <c r="C20" s="40">
        <v>0</v>
      </c>
      <c r="E20" s="41">
        <f t="shared" si="1"/>
        <v>18</v>
      </c>
      <c r="F20" s="40" t="s">
        <v>103</v>
      </c>
      <c r="G20" s="41">
        <f>VLOOKUP(F20,B$3:C$34,2,FALSE)-VLOOKUP(F20,'Preseason Power Ratings'!B$2:C$33,2,FALSE)</f>
        <v>-0.8</v>
      </c>
    </row>
    <row r="21" spans="1:7" s="38" customFormat="1" ht="16" x14ac:dyDescent="0.2">
      <c r="A21" s="40">
        <f t="shared" si="0"/>
        <v>19</v>
      </c>
      <c r="B21" s="40" t="s">
        <v>104</v>
      </c>
      <c r="C21" s="40">
        <v>-0.1</v>
      </c>
      <c r="E21" s="41">
        <f t="shared" si="1"/>
        <v>19</v>
      </c>
      <c r="F21" s="40" t="s">
        <v>106</v>
      </c>
      <c r="G21" s="41">
        <f>VLOOKUP(F21,B$3:C$34,2,FALSE)-VLOOKUP(F21,'Preseason Power Ratings'!B$2:C$33,2,FALSE)</f>
        <v>-0.89999999999999991</v>
      </c>
    </row>
    <row r="22" spans="1:7" s="38" customFormat="1" ht="16" x14ac:dyDescent="0.2">
      <c r="A22" s="40">
        <f t="shared" si="0"/>
        <v>20</v>
      </c>
      <c r="B22" s="40" t="s">
        <v>105</v>
      </c>
      <c r="C22" s="40">
        <v>-0.2</v>
      </c>
      <c r="E22" s="41">
        <f t="shared" si="1"/>
        <v>20</v>
      </c>
      <c r="F22" s="40" t="s">
        <v>108</v>
      </c>
      <c r="G22" s="41">
        <f>VLOOKUP(F22,B$3:C$34,2,FALSE)-VLOOKUP(F22,'Preseason Power Ratings'!B$2:C$33,2,FALSE)</f>
        <v>-1</v>
      </c>
    </row>
    <row r="23" spans="1:7" s="38" customFormat="1" ht="16" x14ac:dyDescent="0.2">
      <c r="A23" s="40">
        <f t="shared" si="0"/>
        <v>21</v>
      </c>
      <c r="B23" s="40" t="s">
        <v>106</v>
      </c>
      <c r="C23" s="40">
        <v>-0.7</v>
      </c>
      <c r="E23" s="41">
        <f t="shared" si="1"/>
        <v>21</v>
      </c>
      <c r="F23" s="40" t="s">
        <v>98</v>
      </c>
      <c r="G23" s="41">
        <f>VLOOKUP(F23,B$3:C$34,2,FALSE)-VLOOKUP(F23,'Preseason Power Ratings'!B$2:C$33,2,FALSE)</f>
        <v>-1.0999999999999999</v>
      </c>
    </row>
    <row r="24" spans="1:7" s="38" customFormat="1" ht="16" x14ac:dyDescent="0.2">
      <c r="A24" s="40">
        <f t="shared" si="0"/>
        <v>22</v>
      </c>
      <c r="B24" s="40" t="s">
        <v>107</v>
      </c>
      <c r="C24" s="40">
        <v>-1.2</v>
      </c>
      <c r="E24" s="41">
        <f t="shared" si="1"/>
        <v>22</v>
      </c>
      <c r="F24" s="40" t="s">
        <v>114</v>
      </c>
      <c r="G24" s="41">
        <f>VLOOKUP(F24,B$3:C$34,2,FALSE)-VLOOKUP(F24,'Preseason Power Ratings'!B$2:C$33,2,FALSE)</f>
        <v>-1.2000000000000002</v>
      </c>
    </row>
    <row r="25" spans="1:7" s="38" customFormat="1" ht="16" x14ac:dyDescent="0.2">
      <c r="A25" s="40">
        <f t="shared" si="0"/>
        <v>23</v>
      </c>
      <c r="B25" s="40" t="s">
        <v>108</v>
      </c>
      <c r="C25" s="40">
        <v>-1.7</v>
      </c>
      <c r="E25" s="41">
        <f t="shared" si="1"/>
        <v>23</v>
      </c>
      <c r="F25" s="40" t="s">
        <v>107</v>
      </c>
      <c r="G25" s="41">
        <f>VLOOKUP(F25,B$3:C$34,2,FALSE)-VLOOKUP(F25,'Preseason Power Ratings'!B$2:C$33,2,FALSE)</f>
        <v>-1.5</v>
      </c>
    </row>
    <row r="26" spans="1:7" s="38" customFormat="1" ht="16" x14ac:dyDescent="0.2">
      <c r="A26" s="40">
        <f t="shared" si="0"/>
        <v>24</v>
      </c>
      <c r="B26" s="40" t="s">
        <v>110</v>
      </c>
      <c r="C26" s="40">
        <v>-3</v>
      </c>
      <c r="E26" s="41">
        <f t="shared" si="1"/>
        <v>24</v>
      </c>
      <c r="F26" s="40" t="s">
        <v>113</v>
      </c>
      <c r="G26" s="41">
        <f>VLOOKUP(F26,B$3:C$34,2,FALSE)-VLOOKUP(F26,'Preseason Power Ratings'!B$2:C$33,2,FALSE)</f>
        <v>-2</v>
      </c>
    </row>
    <row r="27" spans="1:7" s="38" customFormat="1" ht="16" x14ac:dyDescent="0.2">
      <c r="A27" s="40">
        <f t="shared" si="0"/>
        <v>25</v>
      </c>
      <c r="B27" s="40" t="s">
        <v>111</v>
      </c>
      <c r="C27" s="40">
        <v>-3.8</v>
      </c>
      <c r="E27" s="41">
        <f t="shared" si="1"/>
        <v>25</v>
      </c>
      <c r="F27" s="40" t="s">
        <v>105</v>
      </c>
      <c r="G27" s="41">
        <f>VLOOKUP(F27,B$3:C$34,2,FALSE)-VLOOKUP(F27,'Preseason Power Ratings'!B$2:C$33,2,FALSE)</f>
        <v>-2.3000000000000003</v>
      </c>
    </row>
    <row r="28" spans="1:7" s="38" customFormat="1" ht="16" x14ac:dyDescent="0.2">
      <c r="A28" s="40">
        <f t="shared" si="0"/>
        <v>26</v>
      </c>
      <c r="B28" s="40" t="s">
        <v>113</v>
      </c>
      <c r="C28" s="40">
        <v>-3.9</v>
      </c>
      <c r="E28" s="41">
        <f t="shared" si="1"/>
        <v>26</v>
      </c>
      <c r="F28" s="40" t="s">
        <v>117</v>
      </c>
      <c r="G28" s="41">
        <f>VLOOKUP(F28,B$3:C$34,2,FALSE)-VLOOKUP(F28,'Preseason Power Ratings'!B$2:C$33,2,FALSE)</f>
        <v>-2.8</v>
      </c>
    </row>
    <row r="29" spans="1:7" s="38" customFormat="1" ht="16" x14ac:dyDescent="0.2">
      <c r="A29" s="40">
        <f t="shared" si="0"/>
        <v>27</v>
      </c>
      <c r="B29" s="40" t="s">
        <v>109</v>
      </c>
      <c r="C29" s="40">
        <v>-4</v>
      </c>
      <c r="E29" s="41">
        <f t="shared" si="1"/>
        <v>27</v>
      </c>
      <c r="F29" s="40" t="s">
        <v>115</v>
      </c>
      <c r="G29" s="41">
        <f>VLOOKUP(F29,B$3:C$34,2,FALSE)-VLOOKUP(F29,'Preseason Power Ratings'!B$2:C$33,2,FALSE)</f>
        <v>-3.0000000000000004</v>
      </c>
    </row>
    <row r="30" spans="1:7" s="38" customFormat="1" ht="16" x14ac:dyDescent="0.2">
      <c r="A30" s="40">
        <f t="shared" si="0"/>
        <v>28</v>
      </c>
      <c r="B30" s="40" t="s">
        <v>112</v>
      </c>
      <c r="C30" s="40">
        <v>-4.8</v>
      </c>
      <c r="E30" s="41">
        <f t="shared" si="1"/>
        <v>28</v>
      </c>
      <c r="F30" s="40" t="s">
        <v>95</v>
      </c>
      <c r="G30" s="41">
        <f>VLOOKUP(F30,B$3:C$34,2,FALSE)-VLOOKUP(F30,'Preseason Power Ratings'!B$2:C$33,2,FALSE)</f>
        <v>-3.5</v>
      </c>
    </row>
    <row r="31" spans="1:7" s="38" customFormat="1" ht="16" x14ac:dyDescent="0.2">
      <c r="A31" s="40">
        <f t="shared" si="0"/>
        <v>29</v>
      </c>
      <c r="B31" s="40" t="s">
        <v>114</v>
      </c>
      <c r="C31" s="40">
        <v>-5.4</v>
      </c>
      <c r="E31" s="41">
        <f t="shared" si="1"/>
        <v>29</v>
      </c>
      <c r="F31" s="40" t="s">
        <v>109</v>
      </c>
      <c r="G31" s="41">
        <f>VLOOKUP(F31,B$3:C$34,2,FALSE)-VLOOKUP(F31,'Preseason Power Ratings'!B$2:C$33,2,FALSE)</f>
        <v>-3.8</v>
      </c>
    </row>
    <row r="32" spans="1:7" s="38" customFormat="1" ht="16" x14ac:dyDescent="0.2">
      <c r="A32" s="40">
        <f t="shared" si="0"/>
        <v>29</v>
      </c>
      <c r="B32" s="40" t="s">
        <v>115</v>
      </c>
      <c r="C32" s="40">
        <v>-5.4</v>
      </c>
      <c r="E32" s="41">
        <f t="shared" si="1"/>
        <v>30</v>
      </c>
      <c r="F32" s="40" t="s">
        <v>116</v>
      </c>
      <c r="G32" s="41">
        <f>VLOOKUP(F32,B$3:C$34,2,FALSE)-VLOOKUP(F32,'Preseason Power Ratings'!B$2:C$33,2,FALSE)</f>
        <v>-4.5999999999999996</v>
      </c>
    </row>
    <row r="33" spans="1:7" s="38" customFormat="1" ht="16" x14ac:dyDescent="0.2">
      <c r="A33" s="40">
        <f t="shared" si="0"/>
        <v>31</v>
      </c>
      <c r="B33" s="40" t="s">
        <v>117</v>
      </c>
      <c r="C33" s="40">
        <v>-7.8</v>
      </c>
      <c r="E33" s="41">
        <f t="shared" si="1"/>
        <v>31</v>
      </c>
      <c r="F33" s="40" t="s">
        <v>111</v>
      </c>
      <c r="G33" s="41">
        <f>VLOOKUP(F33,B$3:C$34,2,FALSE)-VLOOKUP(F33,'Preseason Power Ratings'!B$2:C$33,2,FALSE)</f>
        <v>-4.8</v>
      </c>
    </row>
    <row r="34" spans="1:7" s="38" customFormat="1" ht="16" x14ac:dyDescent="0.2">
      <c r="A34" s="40">
        <f t="shared" si="0"/>
        <v>32</v>
      </c>
      <c r="B34" s="40" t="s">
        <v>116</v>
      </c>
      <c r="C34" s="40">
        <v>-8.1</v>
      </c>
      <c r="E34" s="41">
        <f t="shared" si="1"/>
        <v>32</v>
      </c>
      <c r="F34" s="40" t="s">
        <v>112</v>
      </c>
      <c r="G34" s="41">
        <f>VLOOKUP(F34,B$3:C$34,2,FALSE)-VLOOKUP(F34,'Preseason Power Ratings'!B$2:C$33,2,FALSE)</f>
        <v>-6.9</v>
      </c>
    </row>
    <row r="35" spans="1:7" s="38" customFormat="1" ht="16" x14ac:dyDescent="0.2"/>
    <row r="36" spans="1:7" s="38" customFormat="1" ht="16" x14ac:dyDescent="0.2"/>
    <row r="37" spans="1:7" s="38" customFormat="1" ht="16" x14ac:dyDescent="0.2"/>
    <row r="38" spans="1:7" s="38" customFormat="1" ht="16" x14ac:dyDescent="0.2"/>
    <row r="39" spans="1:7" s="38" customFormat="1" ht="16" x14ac:dyDescent="0.2"/>
    <row r="40" spans="1:7" s="38" customFormat="1" ht="16" x14ac:dyDescent="0.2"/>
    <row r="41" spans="1:7" s="38" customFormat="1" ht="16" x14ac:dyDescent="0.2"/>
    <row r="42" spans="1:7" s="38" customFormat="1" ht="16" x14ac:dyDescent="0.2"/>
    <row r="43" spans="1:7" s="38" customFormat="1" ht="16" x14ac:dyDescent="0.2"/>
    <row r="44" spans="1:7" s="38" customFormat="1" ht="16" x14ac:dyDescent="0.2"/>
    <row r="45" spans="1:7" s="38" customFormat="1" ht="16" x14ac:dyDescent="0.2"/>
    <row r="46" spans="1:7" s="38" customFormat="1" ht="16" x14ac:dyDescent="0.2"/>
    <row r="47" spans="1:7" s="38" customFormat="1" ht="16" x14ac:dyDescent="0.2"/>
    <row r="48" spans="1:7" ht="16" x14ac:dyDescent="0.2">
      <c r="A48" s="38"/>
      <c r="B48" s="38"/>
      <c r="C48" s="38"/>
    </row>
  </sheetData>
  <sortState xmlns:xlrd2="http://schemas.microsoft.com/office/spreadsheetml/2017/richdata2" ref="E3:G34">
    <sortCondition ref="E2:E34"/>
  </sortState>
  <mergeCells count="2">
    <mergeCell ref="E1:G1"/>
    <mergeCell ref="A1:C1"/>
  </mergeCells>
  <dataValidations count="1">
    <dataValidation type="list" allowBlank="1" showInputMessage="1" showErrorMessage="1" sqref="K7 L7" xr:uid="{51057762-1DDB-D744-92A4-4DE8B23A9D75}">
      <formula1>$B$3:$B$34</formula1>
    </dataValidation>
  </dataValidations>
  <hyperlinks>
    <hyperlink ref="J3" r:id="rId1" xr:uid="{F2FDEE7B-2DB7-F341-B816-FBC3CACF392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8A48-F98E-2547-B231-E1195A99D97C}">
  <dimension ref="A1:C33"/>
  <sheetViews>
    <sheetView workbookViewId="0">
      <selection activeCell="K34" sqref="K34"/>
    </sheetView>
  </sheetViews>
  <sheetFormatPr baseColWidth="10" defaultRowHeight="16" x14ac:dyDescent="0.2"/>
  <sheetData>
    <row r="1" spans="1:3" x14ac:dyDescent="0.2">
      <c r="A1" s="39" t="s">
        <v>40</v>
      </c>
      <c r="B1" s="39" t="s">
        <v>39</v>
      </c>
      <c r="C1" s="39" t="s">
        <v>118</v>
      </c>
    </row>
    <row r="2" spans="1:3" x14ac:dyDescent="0.2">
      <c r="A2" s="40">
        <v>1</v>
      </c>
      <c r="B2" s="40" t="s">
        <v>95</v>
      </c>
      <c r="C2" s="40">
        <v>5.2</v>
      </c>
    </row>
    <row r="3" spans="1:3" x14ac:dyDescent="0.2">
      <c r="A3" s="40">
        <v>2</v>
      </c>
      <c r="B3" s="40" t="s">
        <v>90</v>
      </c>
      <c r="C3" s="40">
        <v>4.3</v>
      </c>
    </row>
    <row r="4" spans="1:3" x14ac:dyDescent="0.2">
      <c r="A4" s="40">
        <v>3</v>
      </c>
      <c r="B4" s="40" t="s">
        <v>88</v>
      </c>
      <c r="C4" s="40">
        <v>4</v>
      </c>
    </row>
    <row r="5" spans="1:3" x14ac:dyDescent="0.2">
      <c r="A5" s="40">
        <v>4</v>
      </c>
      <c r="B5" s="40" t="s">
        <v>98</v>
      </c>
      <c r="C5" s="40">
        <v>2.9</v>
      </c>
    </row>
    <row r="6" spans="1:3" x14ac:dyDescent="0.2">
      <c r="A6" s="40">
        <v>5</v>
      </c>
      <c r="B6" s="40" t="s">
        <v>86</v>
      </c>
      <c r="C6" s="40">
        <v>2.7</v>
      </c>
    </row>
    <row r="7" spans="1:3" x14ac:dyDescent="0.2">
      <c r="A7" s="40">
        <v>6</v>
      </c>
      <c r="B7" s="40" t="s">
        <v>87</v>
      </c>
      <c r="C7" s="40">
        <v>2.6</v>
      </c>
    </row>
    <row r="8" spans="1:3" x14ac:dyDescent="0.2">
      <c r="A8" s="40">
        <v>7</v>
      </c>
      <c r="B8" s="40" t="s">
        <v>105</v>
      </c>
      <c r="C8" s="40">
        <v>2.1</v>
      </c>
    </row>
    <row r="9" spans="1:3" x14ac:dyDescent="0.2">
      <c r="A9" s="40">
        <v>8</v>
      </c>
      <c r="B9" s="40" t="s">
        <v>112</v>
      </c>
      <c r="C9" s="40">
        <v>2.1</v>
      </c>
    </row>
    <row r="10" spans="1:3" x14ac:dyDescent="0.2">
      <c r="A10" s="40">
        <v>9</v>
      </c>
      <c r="B10" s="40" t="s">
        <v>91</v>
      </c>
      <c r="C10" s="40">
        <v>2</v>
      </c>
    </row>
    <row r="11" spans="1:3" x14ac:dyDescent="0.2">
      <c r="A11" s="40">
        <v>10</v>
      </c>
      <c r="B11" s="40" t="s">
        <v>94</v>
      </c>
      <c r="C11" s="40">
        <v>1.7</v>
      </c>
    </row>
    <row r="12" spans="1:3" x14ac:dyDescent="0.2">
      <c r="A12" s="40">
        <v>11</v>
      </c>
      <c r="B12" s="40" t="s">
        <v>89</v>
      </c>
      <c r="C12" s="40">
        <v>1.6</v>
      </c>
    </row>
    <row r="13" spans="1:3" x14ac:dyDescent="0.2">
      <c r="A13" s="40">
        <v>12</v>
      </c>
      <c r="B13" s="40" t="s">
        <v>92</v>
      </c>
      <c r="C13" s="40">
        <v>1.6</v>
      </c>
    </row>
    <row r="14" spans="1:3" x14ac:dyDescent="0.2">
      <c r="A14" s="40">
        <v>13</v>
      </c>
      <c r="B14" s="40" t="s">
        <v>103</v>
      </c>
      <c r="C14" s="40">
        <v>1</v>
      </c>
    </row>
    <row r="15" spans="1:3" x14ac:dyDescent="0.2">
      <c r="A15" s="40">
        <v>14</v>
      </c>
      <c r="B15" s="40" t="s">
        <v>111</v>
      </c>
      <c r="C15" s="40">
        <v>1</v>
      </c>
    </row>
    <row r="16" spans="1:3" x14ac:dyDescent="0.2">
      <c r="A16" s="40">
        <v>15</v>
      </c>
      <c r="B16" s="40" t="s">
        <v>107</v>
      </c>
      <c r="C16" s="40">
        <v>0.3</v>
      </c>
    </row>
    <row r="17" spans="1:3" x14ac:dyDescent="0.2">
      <c r="A17" s="40">
        <v>16</v>
      </c>
      <c r="B17" s="40" t="s">
        <v>106</v>
      </c>
      <c r="C17" s="40">
        <v>0.2</v>
      </c>
    </row>
    <row r="18" spans="1:3" x14ac:dyDescent="0.2">
      <c r="A18" s="40">
        <v>17</v>
      </c>
      <c r="B18" s="40" t="s">
        <v>109</v>
      </c>
      <c r="C18" s="40">
        <v>-0.2</v>
      </c>
    </row>
    <row r="19" spans="1:3" x14ac:dyDescent="0.2">
      <c r="A19" s="40">
        <v>18</v>
      </c>
      <c r="B19" s="40" t="s">
        <v>101</v>
      </c>
      <c r="C19" s="40">
        <v>-0.4</v>
      </c>
    </row>
    <row r="20" spans="1:3" x14ac:dyDescent="0.2">
      <c r="A20" s="40">
        <v>19</v>
      </c>
      <c r="B20" s="40" t="s">
        <v>96</v>
      </c>
      <c r="C20" s="40">
        <v>-0.5</v>
      </c>
    </row>
    <row r="21" spans="1:3" x14ac:dyDescent="0.2">
      <c r="A21" s="40">
        <v>20</v>
      </c>
      <c r="B21" s="40" t="s">
        <v>108</v>
      </c>
      <c r="C21" s="40">
        <v>-0.7</v>
      </c>
    </row>
    <row r="22" spans="1:3" x14ac:dyDescent="0.2">
      <c r="A22" s="40">
        <v>21</v>
      </c>
      <c r="B22" s="40" t="s">
        <v>104</v>
      </c>
      <c r="C22" s="40">
        <v>-1.4</v>
      </c>
    </row>
    <row r="23" spans="1:3" x14ac:dyDescent="0.2">
      <c r="A23" s="40">
        <v>22</v>
      </c>
      <c r="B23" s="40" t="s">
        <v>97</v>
      </c>
      <c r="C23" s="40">
        <v>-1.6</v>
      </c>
    </row>
    <row r="24" spans="1:3" x14ac:dyDescent="0.2">
      <c r="A24" s="40">
        <v>23</v>
      </c>
      <c r="B24" s="40" t="s">
        <v>93</v>
      </c>
      <c r="C24" s="40">
        <v>-1.9</v>
      </c>
    </row>
    <row r="25" spans="1:3" x14ac:dyDescent="0.2">
      <c r="A25" s="40">
        <v>24</v>
      </c>
      <c r="B25" s="40" t="s">
        <v>113</v>
      </c>
      <c r="C25" s="40">
        <v>-1.9</v>
      </c>
    </row>
    <row r="26" spans="1:3" x14ac:dyDescent="0.2">
      <c r="A26" s="40">
        <v>25</v>
      </c>
      <c r="B26" s="40" t="s">
        <v>100</v>
      </c>
      <c r="C26" s="40">
        <v>-2</v>
      </c>
    </row>
    <row r="27" spans="1:3" x14ac:dyDescent="0.2">
      <c r="A27" s="40">
        <v>26</v>
      </c>
      <c r="B27" s="40" t="s">
        <v>115</v>
      </c>
      <c r="C27" s="40">
        <v>-2.4</v>
      </c>
    </row>
    <row r="28" spans="1:3" x14ac:dyDescent="0.2">
      <c r="A28" s="40">
        <v>27</v>
      </c>
      <c r="B28" s="40" t="s">
        <v>99</v>
      </c>
      <c r="C28" s="40">
        <v>-2.9</v>
      </c>
    </row>
    <row r="29" spans="1:3" x14ac:dyDescent="0.2">
      <c r="A29" s="40">
        <v>28</v>
      </c>
      <c r="B29" s="40" t="s">
        <v>110</v>
      </c>
      <c r="C29" s="40">
        <v>-3.2</v>
      </c>
    </row>
    <row r="30" spans="1:3" x14ac:dyDescent="0.2">
      <c r="A30" s="40">
        <v>29</v>
      </c>
      <c r="B30" s="40" t="s">
        <v>116</v>
      </c>
      <c r="C30" s="40">
        <v>-3.5</v>
      </c>
    </row>
    <row r="31" spans="1:3" x14ac:dyDescent="0.2">
      <c r="A31" s="40">
        <v>30</v>
      </c>
      <c r="B31" s="40" t="s">
        <v>102</v>
      </c>
      <c r="C31" s="40">
        <v>-3.7</v>
      </c>
    </row>
    <row r="32" spans="1:3" x14ac:dyDescent="0.2">
      <c r="A32" s="40">
        <v>31</v>
      </c>
      <c r="B32" s="40" t="s">
        <v>114</v>
      </c>
      <c r="C32" s="40">
        <v>-4.2</v>
      </c>
    </row>
    <row r="33" spans="1:3" x14ac:dyDescent="0.2">
      <c r="A33" s="40">
        <v>32</v>
      </c>
      <c r="B33" s="40" t="s">
        <v>117</v>
      </c>
      <c r="C33" s="40">
        <v>-5</v>
      </c>
    </row>
  </sheetData>
  <autoFilter ref="A1:C1" xr:uid="{AB898A48-F98E-2547-B231-E1195A99D97C}">
    <sortState xmlns:xlrd2="http://schemas.microsoft.com/office/spreadsheetml/2017/richdata2" ref="A2:C33">
      <sortCondition descending="1" ref="C1:C3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030D-3C9E-B148-B98A-ECB60E872240}">
  <dimension ref="A1:K14"/>
  <sheetViews>
    <sheetView workbookViewId="0">
      <selection activeCell="J12" sqref="J12"/>
    </sheetView>
  </sheetViews>
  <sheetFormatPr baseColWidth="10" defaultRowHeight="16" x14ac:dyDescent="0.2"/>
  <cols>
    <col min="4" max="4" width="18.6640625" bestFit="1" customWidth="1"/>
    <col min="5" max="5" width="35.33203125" bestFit="1" customWidth="1"/>
    <col min="8" max="8" width="13" bestFit="1" customWidth="1"/>
    <col min="10" max="10" width="31.5" bestFit="1" customWidth="1"/>
  </cols>
  <sheetData>
    <row r="1" spans="1:11" x14ac:dyDescent="0.2">
      <c r="A1" s="2" t="s">
        <v>32</v>
      </c>
      <c r="B1" s="2" t="s">
        <v>33</v>
      </c>
      <c r="C1" s="2" t="s">
        <v>34</v>
      </c>
      <c r="D1" s="2" t="s">
        <v>48</v>
      </c>
      <c r="E1" s="2" t="s">
        <v>35</v>
      </c>
      <c r="F1" s="2" t="s">
        <v>36</v>
      </c>
      <c r="G1" s="2" t="s">
        <v>37</v>
      </c>
      <c r="H1" s="2" t="s">
        <v>49</v>
      </c>
    </row>
    <row r="2" spans="1:11" x14ac:dyDescent="0.2">
      <c r="A2" t="s">
        <v>16</v>
      </c>
      <c r="B2" t="s">
        <v>26</v>
      </c>
      <c r="C2" s="1">
        <f>VLOOKUP(A2,'Week 12 Power Rankings'!B$1:C$33,2,FALSE)-VLOOKUP(B2,'Week 12 Power Rankings'!B$2:C$33,2,FALSE)-2</f>
        <v>3.6172152319692898</v>
      </c>
      <c r="D2">
        <v>3.5</v>
      </c>
      <c r="E2" t="s">
        <v>65</v>
      </c>
      <c r="F2" s="1">
        <f>C2-D2</f>
        <v>0.11721523196928985</v>
      </c>
      <c r="H2" t="s">
        <v>58</v>
      </c>
    </row>
    <row r="3" spans="1:11" x14ac:dyDescent="0.2">
      <c r="A3" t="s">
        <v>14</v>
      </c>
      <c r="B3" t="s">
        <v>23</v>
      </c>
      <c r="C3" s="1">
        <f>VLOOKUP(A3,'Week 12 Power Rankings'!B$1:C$33,2,FALSE)-VLOOKUP(B3,'Week 12 Power Rankings'!B$2:C$33,2,FALSE)-2</f>
        <v>2.8323601561508722</v>
      </c>
      <c r="D3">
        <v>3.5</v>
      </c>
      <c r="F3" s="1">
        <f>C3-D3</f>
        <v>-0.66763984384912778</v>
      </c>
      <c r="H3" t="s">
        <v>57</v>
      </c>
    </row>
    <row r="4" spans="1:11" x14ac:dyDescent="0.2">
      <c r="A4" t="s">
        <v>9</v>
      </c>
      <c r="B4" t="s">
        <v>28</v>
      </c>
      <c r="C4" s="1">
        <f>VLOOKUP(A4,'Week 12 Power Rankings'!B$1:C$33,2,FALSE)-VLOOKUP(B4,'Week 12 Power Rankings'!B$2:C$33,2,FALSE)-1.5</f>
        <v>7.1860674787665193</v>
      </c>
      <c r="D4">
        <v>6.5</v>
      </c>
      <c r="F4" s="1">
        <f t="shared" ref="F4:F14" si="0">C4-D4</f>
        <v>0.6860674787665193</v>
      </c>
      <c r="H4" t="s">
        <v>57</v>
      </c>
    </row>
    <row r="5" spans="1:11" x14ac:dyDescent="0.2">
      <c r="A5" t="s">
        <v>24</v>
      </c>
      <c r="B5" t="s">
        <v>20</v>
      </c>
      <c r="C5" s="1">
        <f>VLOOKUP(A5,'Week 12 Power Rankings'!B$1:C$33,2,FALSE)-VLOOKUP(B5,'Week 12 Power Rankings'!B$2:C$33,2,FALSE)-1</f>
        <v>-6.6050329686750402</v>
      </c>
      <c r="D5">
        <v>-7</v>
      </c>
      <c r="F5" s="1">
        <f t="shared" si="0"/>
        <v>0.39496703132495981</v>
      </c>
      <c r="H5" t="s">
        <v>58</v>
      </c>
    </row>
    <row r="6" spans="1:11" x14ac:dyDescent="0.2">
      <c r="A6" t="s">
        <v>27</v>
      </c>
      <c r="B6" t="s">
        <v>10</v>
      </c>
      <c r="C6" s="1">
        <f>VLOOKUP(A6,'Week 12 Power Rankings'!B$1:C$33,2,FALSE)-VLOOKUP(B6,'Week 12 Power Rankings'!B$2:C$33,2,FALSE)-0.75</f>
        <v>-8.8650282045218507</v>
      </c>
      <c r="D6">
        <v>-8</v>
      </c>
      <c r="E6" t="s">
        <v>79</v>
      </c>
      <c r="F6" s="1">
        <f>C6-D6</f>
        <v>-0.8650282045218507</v>
      </c>
      <c r="H6" t="s">
        <v>58</v>
      </c>
      <c r="J6" s="2" t="s">
        <v>56</v>
      </c>
      <c r="K6" s="24">
        <f>COUNTIF(H2:H14, "Yes") / COUNTA(H2:H14)</f>
        <v>0.38461538461538464</v>
      </c>
    </row>
    <row r="7" spans="1:11" x14ac:dyDescent="0.2">
      <c r="A7" t="s">
        <v>0</v>
      </c>
      <c r="B7" t="s">
        <v>31</v>
      </c>
      <c r="C7" s="1">
        <f>VLOOKUP(A7,'Week 12 Power Rankings'!B$1:C$33,2,FALSE)-VLOOKUP(B7,'Week 12 Power Rankings'!B$2:C$33,2,FALSE)-1.75</f>
        <v>14.28231695571392</v>
      </c>
      <c r="D7">
        <v>10.5</v>
      </c>
      <c r="E7" t="s">
        <v>78</v>
      </c>
      <c r="F7" s="1">
        <f t="shared" si="0"/>
        <v>3.7823169557139202</v>
      </c>
      <c r="H7" t="s">
        <v>58</v>
      </c>
      <c r="J7" s="2" t="s">
        <v>124</v>
      </c>
    </row>
    <row r="8" spans="1:11" x14ac:dyDescent="0.2">
      <c r="A8" t="s">
        <v>29</v>
      </c>
      <c r="B8" t="s">
        <v>8</v>
      </c>
      <c r="C8" s="1">
        <f>VLOOKUP(A8,'Week 12 Power Rankings'!B$1:C$33,2,FALSE)-VLOOKUP(B8,'Week 12 Power Rankings'!B$2:C$33,2,FALSE)-1.3</f>
        <v>-10.52465689886022</v>
      </c>
      <c r="D8">
        <v>-11</v>
      </c>
      <c r="E8" t="s">
        <v>80</v>
      </c>
      <c r="F8" s="1">
        <f>C8-D8</f>
        <v>0.47534310113977973</v>
      </c>
      <c r="H8" t="s">
        <v>57</v>
      </c>
      <c r="J8" s="2" t="s">
        <v>125</v>
      </c>
    </row>
    <row r="9" spans="1:11" x14ac:dyDescent="0.2">
      <c r="A9" t="s">
        <v>3</v>
      </c>
      <c r="B9" t="s">
        <v>22</v>
      </c>
      <c r="C9" s="1">
        <f>VLOOKUP(A9,'Week 12 Power Rankings'!B$1:C$33,2,FALSE)-VLOOKUP(B9,'Week 12 Power Rankings'!B$2:C$33,2,FALSE)-1.5</f>
        <v>7.6134822804366102</v>
      </c>
      <c r="D9">
        <v>7</v>
      </c>
      <c r="F9" s="1">
        <f t="shared" si="0"/>
        <v>0.61348228043661024</v>
      </c>
      <c r="H9" t="s">
        <v>57</v>
      </c>
    </row>
    <row r="10" spans="1:11" x14ac:dyDescent="0.2">
      <c r="A10" t="s">
        <v>17</v>
      </c>
      <c r="B10" t="s">
        <v>30</v>
      </c>
      <c r="C10" s="1">
        <f>VLOOKUP(A10,'Week 12 Power Rankings'!B$1:C$33,2,FALSE)-VLOOKUP(B10,'Week 12 Power Rankings'!B$2:C$33,2,FALSE)-2</f>
        <v>4.3725575775737404</v>
      </c>
      <c r="D10">
        <v>5.5</v>
      </c>
      <c r="F10" s="1">
        <f t="shared" si="0"/>
        <v>-1.1274424224262596</v>
      </c>
      <c r="H10" t="s">
        <v>58</v>
      </c>
    </row>
    <row r="11" spans="1:11" x14ac:dyDescent="0.2">
      <c r="A11" t="s">
        <v>13</v>
      </c>
      <c r="B11" t="s">
        <v>7</v>
      </c>
      <c r="C11" s="1">
        <f>VLOOKUP(A11,'Week 12 Power Rankings'!B$1:C$33,2,FALSE)-VLOOKUP(B11,'Week 12 Power Rankings'!B$2:C$33,2,FALSE)-4</f>
        <v>-4.7617819673611903</v>
      </c>
      <c r="D11">
        <v>-6</v>
      </c>
      <c r="E11" t="s">
        <v>38</v>
      </c>
      <c r="F11" s="1">
        <f>C11-D11</f>
        <v>1.2382180326388097</v>
      </c>
      <c r="H11" t="s">
        <v>58</v>
      </c>
    </row>
    <row r="12" spans="1:11" x14ac:dyDescent="0.2">
      <c r="A12" t="s">
        <v>4</v>
      </c>
      <c r="B12" t="s">
        <v>15</v>
      </c>
      <c r="C12" s="1">
        <f>VLOOKUP(A12,'Week 12 Power Rankings'!B$1:C$33,2,FALSE)-VLOOKUP(B12,'Week 12 Power Rankings'!B$2:C$33,2,FALSE)-1.75</f>
        <v>1.6444172360304403</v>
      </c>
      <c r="D12">
        <v>1</v>
      </c>
      <c r="F12" s="1">
        <f t="shared" si="0"/>
        <v>0.64441723603044032</v>
      </c>
      <c r="H12" t="s">
        <v>58</v>
      </c>
    </row>
    <row r="13" spans="1:11" x14ac:dyDescent="0.2">
      <c r="A13" t="s">
        <v>12</v>
      </c>
      <c r="B13" t="s">
        <v>11</v>
      </c>
      <c r="C13" s="1">
        <f>VLOOKUP(A13,'Week 12 Power Rankings'!B$1:C$33,2,FALSE)-VLOOKUP(B13,'Week 12 Power Rankings'!B$2:C$33,2,FALSE)-1.5</f>
        <v>-0.91660393019934983</v>
      </c>
      <c r="D13">
        <v>3</v>
      </c>
      <c r="F13" s="1">
        <f t="shared" si="0"/>
        <v>-3.9166039301993498</v>
      </c>
      <c r="H13" t="s">
        <v>58</v>
      </c>
    </row>
    <row r="14" spans="1:11" x14ac:dyDescent="0.2">
      <c r="A14" t="s">
        <v>1</v>
      </c>
      <c r="B14" t="s">
        <v>6</v>
      </c>
      <c r="C14" s="1">
        <f>VLOOKUP(A14,'Week 12 Power Rankings'!B$1:C$33,2,FALSE)-VLOOKUP(B14,'Week 12 Power Rankings'!B$2:C$33,2,FALSE)-1.5</f>
        <v>2.6323025153629107</v>
      </c>
      <c r="D14">
        <v>2.5</v>
      </c>
      <c r="F14" s="1">
        <f t="shared" si="0"/>
        <v>0.13230251536291071</v>
      </c>
      <c r="H1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Week 12 Power Rankings</vt:lpstr>
      <vt:lpstr>Week 13 Power Rankings</vt:lpstr>
      <vt:lpstr>Week 14 Power Rankings</vt:lpstr>
      <vt:lpstr>Week 15 Power Rankings</vt:lpstr>
      <vt:lpstr>Week 16 Power Rankings</vt:lpstr>
      <vt:lpstr>Teams Week to Week</vt:lpstr>
      <vt:lpstr>Vegas Power Rankings</vt:lpstr>
      <vt:lpstr>Preseason Power Ratings</vt:lpstr>
      <vt:lpstr>Week 12 Spreads</vt:lpstr>
      <vt:lpstr>Week 13 Spreads</vt:lpstr>
      <vt:lpstr>Week 14 Spreads</vt:lpstr>
      <vt:lpstr>Week 15 Spreads</vt:lpstr>
      <vt:lpstr>Week 16 Spreads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Caruso</dc:creator>
  <cp:lastModifiedBy>Jack Caruso</cp:lastModifiedBy>
  <dcterms:created xsi:type="dcterms:W3CDTF">2024-11-23T21:25:27Z</dcterms:created>
  <dcterms:modified xsi:type="dcterms:W3CDTF">2024-12-16T15:08:53Z</dcterms:modified>
</cp:coreProperties>
</file>